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228" tabRatio="856" firstSheet="1" activeTab="15"/>
  </bookViews>
  <sheets>
    <sheet name="12.22" sheetId="82" state="hidden" r:id="rId1"/>
    <sheet name="01.2023" sheetId="83" r:id="rId2"/>
    <sheet name="02.2023" sheetId="84" r:id="rId3"/>
    <sheet name="03.2023" sheetId="85" r:id="rId4"/>
    <sheet name="04.2023" sheetId="86" r:id="rId5"/>
    <sheet name="05.2023" sheetId="87" r:id="rId6"/>
    <sheet name="06.2023" sheetId="88" r:id="rId7"/>
    <sheet name="07.2023" sheetId="89" r:id="rId8"/>
    <sheet name="08.2023" sheetId="90" r:id="rId9"/>
    <sheet name="09.2023" sheetId="91" r:id="rId10"/>
    <sheet name="10.2023" sheetId="92" r:id="rId11"/>
    <sheet name="11.2023" sheetId="93" r:id="rId12"/>
    <sheet name="12.2023" sheetId="94" r:id="rId13"/>
    <sheet name="01.2024" sheetId="95" r:id="rId14"/>
    <sheet name="02.2024" sheetId="96" r:id="rId15"/>
    <sheet name="03.2024" sheetId="97" r:id="rId16"/>
  </sheets>
  <definedNames>
    <definedName name="_xlnm.Print_Area" localSheetId="1">'01.2023'!$A$1:$AG$56</definedName>
    <definedName name="_xlnm.Print_Area" localSheetId="13">'01.2024'!$A$1:$AG$109</definedName>
    <definedName name="_xlnm.Print_Area" localSheetId="2">'02.2023'!$A$1:$AG$55</definedName>
    <definedName name="_xlnm.Print_Area" localSheetId="14">'02.2024'!$A$1:$AG$62</definedName>
    <definedName name="_xlnm.Print_Area" localSheetId="3">'03.2023'!$A$1:$AH$55</definedName>
    <definedName name="_xlnm.Print_Area" localSheetId="15">'03.2024'!$A$1:$AG$63</definedName>
    <definedName name="_xlnm.Print_Area" localSheetId="4">'04.2023'!$A$1:$AG$56</definedName>
    <definedName name="_xlnm.Print_Area" localSheetId="5">'05.2023'!$A$1:$AG$58</definedName>
    <definedName name="_xlnm.Print_Area" localSheetId="6">'06.2023'!$A$1:$AG$57</definedName>
    <definedName name="_xlnm.Print_Area" localSheetId="7">'07.2023'!$A$1:$AG$61</definedName>
    <definedName name="_xlnm.Print_Area" localSheetId="8">'08.2023'!$A$1:$AG$72</definedName>
    <definedName name="_xlnm.Print_Area" localSheetId="9">'09.2023'!$A$1:$AG$86</definedName>
    <definedName name="_xlnm.Print_Area" localSheetId="10">'10.2023'!$A$1:$AG$91</definedName>
    <definedName name="_xlnm.Print_Area" localSheetId="11">'11.2023'!$A$1:$AG$98</definedName>
    <definedName name="_xlnm.Print_Area" localSheetId="12">'12.2023'!$A$1:$AG$105</definedName>
    <definedName name="_xlnm.Print_Area" localSheetId="0">'12.22'!$A$1:$AG$59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97" l="1"/>
  <c r="S20" i="97" l="1"/>
  <c r="D20" i="97"/>
  <c r="N48" i="97" l="1"/>
  <c r="T19" i="97"/>
  <c r="N46" i="97"/>
  <c r="U19" i="97"/>
  <c r="S19" i="97"/>
  <c r="B17" i="97" l="1"/>
  <c r="T18" i="97" l="1"/>
  <c r="T17" i="97"/>
  <c r="G17" i="97" l="1"/>
  <c r="S17" i="97" l="1"/>
  <c r="D17" i="97"/>
  <c r="G16" i="97" l="1"/>
  <c r="W15" i="97" l="1"/>
  <c r="S15" i="97" l="1"/>
  <c r="G15" i="97" l="1"/>
  <c r="Z9" i="97" l="1"/>
  <c r="U15" i="97"/>
  <c r="U10" i="97"/>
  <c r="U9" i="97"/>
  <c r="M46" i="97"/>
  <c r="M45" i="97"/>
  <c r="T15" i="97" l="1"/>
  <c r="D15" i="97" l="1"/>
  <c r="W11" i="97" l="1"/>
  <c r="D11" i="97" l="1"/>
  <c r="T10" i="97" l="1"/>
  <c r="T11" i="97" s="1"/>
  <c r="G10" i="97" l="1"/>
  <c r="W10" i="97" l="1"/>
  <c r="D10" i="97"/>
  <c r="S10" i="97" l="1"/>
  <c r="S11" i="97" s="1"/>
  <c r="G9" i="97" l="1"/>
  <c r="U7" i="97" l="1"/>
  <c r="W9" i="97" l="1"/>
  <c r="S9" i="97" l="1"/>
  <c r="Z15" i="97" l="1"/>
  <c r="N45" i="97" s="1"/>
  <c r="G8" i="97" l="1"/>
  <c r="D8" i="97" l="1"/>
  <c r="Z8" i="97" l="1"/>
  <c r="U8" i="97"/>
  <c r="T8" i="97"/>
  <c r="W8" i="97" l="1"/>
  <c r="S8" i="97" l="1"/>
  <c r="S5" i="97" l="1"/>
  <c r="D5" i="97"/>
  <c r="R36" i="96" l="1"/>
  <c r="G32" i="96"/>
  <c r="G5" i="97"/>
  <c r="S33" i="96" l="1"/>
  <c r="D33" i="96"/>
  <c r="N48" i="96"/>
  <c r="T33" i="96"/>
  <c r="W32" i="96" l="1"/>
  <c r="D32" i="96"/>
  <c r="G31" i="96" l="1"/>
  <c r="S31" i="96" l="1"/>
  <c r="D31" i="96"/>
  <c r="W31" i="96" l="1"/>
  <c r="T31" i="96"/>
  <c r="S30" i="96" l="1"/>
  <c r="G30" i="96" l="1"/>
  <c r="Z30" i="96" l="1"/>
  <c r="N45" i="96" s="1"/>
  <c r="T30" i="96"/>
  <c r="D30" i="96"/>
  <c r="W26" i="96" l="1"/>
  <c r="W25" i="96"/>
  <c r="S26" i="96" l="1"/>
  <c r="T26" i="96"/>
  <c r="G25" i="96" l="1"/>
  <c r="Z25" i="96" l="1"/>
  <c r="D25" i="96" l="1"/>
  <c r="U5" i="97" l="1"/>
  <c r="V5" i="97"/>
  <c r="W5" i="97"/>
  <c r="X5" i="97"/>
  <c r="Y5" i="97"/>
  <c r="Z5" i="97"/>
  <c r="T5" i="97"/>
  <c r="M44" i="97"/>
  <c r="M43" i="97"/>
  <c r="N36" i="97"/>
  <c r="K36" i="97"/>
  <c r="J36" i="97"/>
  <c r="H36" i="97"/>
  <c r="C36" i="97"/>
  <c r="R35" i="97"/>
  <c r="M35" i="97"/>
  <c r="F35" i="97"/>
  <c r="R34" i="97"/>
  <c r="M34" i="97"/>
  <c r="F34" i="97"/>
  <c r="R33" i="97"/>
  <c r="M33" i="97"/>
  <c r="F33" i="97"/>
  <c r="R32" i="97"/>
  <c r="M32" i="97"/>
  <c r="F32" i="97"/>
  <c r="R31" i="97"/>
  <c r="M31" i="97"/>
  <c r="F31" i="97"/>
  <c r="R30" i="97"/>
  <c r="M30" i="97"/>
  <c r="F30" i="97"/>
  <c r="R29" i="97"/>
  <c r="M29" i="97"/>
  <c r="F29" i="97"/>
  <c r="R28" i="97"/>
  <c r="M28" i="97"/>
  <c r="F28" i="97"/>
  <c r="R27" i="97"/>
  <c r="M27" i="97"/>
  <c r="F27" i="97"/>
  <c r="R26" i="97"/>
  <c r="M26" i="97"/>
  <c r="F26" i="97"/>
  <c r="AA25" i="97"/>
  <c r="R25" i="97"/>
  <c r="M25" i="97"/>
  <c r="F25" i="97"/>
  <c r="M24" i="97"/>
  <c r="R24" i="97"/>
  <c r="F24" i="97"/>
  <c r="R23" i="97"/>
  <c r="M23" i="97"/>
  <c r="F23" i="97"/>
  <c r="AC22" i="97"/>
  <c r="R22" i="97"/>
  <c r="M22" i="97"/>
  <c r="F22" i="97"/>
  <c r="R21" i="97"/>
  <c r="M21" i="97"/>
  <c r="F21" i="97"/>
  <c r="M20" i="97"/>
  <c r="F20" i="97"/>
  <c r="R20" i="97"/>
  <c r="R19" i="97"/>
  <c r="M19" i="97"/>
  <c r="F19" i="97"/>
  <c r="N43" i="97"/>
  <c r="N51" i="97" s="1"/>
  <c r="Z40" i="97" s="1"/>
  <c r="R18" i="97"/>
  <c r="M18" i="97"/>
  <c r="F18" i="97"/>
  <c r="R17" i="97"/>
  <c r="M17" i="97"/>
  <c r="F17" i="97"/>
  <c r="D36" i="97"/>
  <c r="M16" i="97"/>
  <c r="F16" i="97"/>
  <c r="B36" i="97"/>
  <c r="R15" i="97"/>
  <c r="M15" i="97"/>
  <c r="F15" i="97"/>
  <c r="AE14" i="97"/>
  <c r="R14" i="97"/>
  <c r="M14" i="97"/>
  <c r="F14" i="97"/>
  <c r="AE13" i="97"/>
  <c r="M13" i="97"/>
  <c r="R13" i="97"/>
  <c r="F13" i="97"/>
  <c r="R12" i="97"/>
  <c r="M12" i="97"/>
  <c r="F12" i="97"/>
  <c r="R11" i="97"/>
  <c r="M11" i="97"/>
  <c r="F11" i="97"/>
  <c r="S36" i="97"/>
  <c r="Z39" i="97" s="1"/>
  <c r="M10" i="97"/>
  <c r="R10" i="97"/>
  <c r="F10" i="97"/>
  <c r="M9" i="97"/>
  <c r="R9" i="97"/>
  <c r="F9" i="97"/>
  <c r="AD8" i="97"/>
  <c r="AC8" i="97"/>
  <c r="R8" i="97"/>
  <c r="M8" i="97"/>
  <c r="F8" i="97"/>
  <c r="R7" i="97"/>
  <c r="M7" i="97"/>
  <c r="F7" i="97"/>
  <c r="M6" i="97"/>
  <c r="R6" i="97"/>
  <c r="F6" i="97"/>
  <c r="AD5" i="97"/>
  <c r="AC5" i="97"/>
  <c r="AB5" i="97"/>
  <c r="AA5" i="97"/>
  <c r="R5" i="97"/>
  <c r="M5" i="97"/>
  <c r="G36" i="97"/>
  <c r="F5" i="97"/>
  <c r="F36" i="97" l="1"/>
  <c r="M36" i="97"/>
  <c r="P36" i="97"/>
  <c r="R16" i="97"/>
  <c r="R36" i="97" s="1"/>
  <c r="M46" i="96" l="1"/>
  <c r="M45" i="96"/>
  <c r="S25" i="96"/>
  <c r="G24" i="96" l="1"/>
  <c r="AI23" i="96" l="1"/>
  <c r="G23" i="96" l="1"/>
  <c r="B20" i="96" l="1"/>
  <c r="S23" i="96" l="1"/>
  <c r="N50" i="96"/>
  <c r="U23" i="96"/>
  <c r="U25" i="96" s="1"/>
  <c r="N46" i="96" s="1"/>
  <c r="G20" i="96" l="1"/>
  <c r="G19" i="96" l="1"/>
  <c r="G18" i="96" l="1"/>
  <c r="G17" i="96" l="1"/>
  <c r="Z18" i="96" l="1"/>
  <c r="U18" i="96"/>
  <c r="D17" i="96" l="1"/>
  <c r="B16" i="96"/>
  <c r="M43" i="96" l="1"/>
  <c r="M44" i="96"/>
  <c r="G13" i="96" l="1"/>
  <c r="AI11" i="96" l="1"/>
  <c r="G10" i="96" l="1"/>
  <c r="S10" i="96" l="1"/>
  <c r="U10" i="96"/>
  <c r="Z10" i="96" l="1"/>
  <c r="G9" i="96" l="1"/>
  <c r="G6" i="96" l="1"/>
  <c r="U5" i="96" l="1"/>
  <c r="U6" i="96" s="1"/>
  <c r="Z5" i="96"/>
  <c r="Z6" i="96" s="1"/>
  <c r="G5" i="96" l="1"/>
  <c r="V5" i="96"/>
  <c r="X5" i="96"/>
  <c r="Y5" i="96"/>
  <c r="T5" i="96"/>
  <c r="G35" i="95" l="1"/>
  <c r="D35" i="95" l="1"/>
  <c r="G33" i="95" l="1"/>
  <c r="D32" i="95" l="1"/>
  <c r="N36" i="96" l="1"/>
  <c r="K36" i="96"/>
  <c r="J36" i="96"/>
  <c r="H36" i="96"/>
  <c r="C36" i="96"/>
  <c r="B36" i="96"/>
  <c r="R35" i="96"/>
  <c r="M35" i="96"/>
  <c r="F35" i="96"/>
  <c r="R34" i="96"/>
  <c r="M34" i="96"/>
  <c r="F34" i="96"/>
  <c r="R33" i="96"/>
  <c r="M33" i="96"/>
  <c r="F33" i="96"/>
  <c r="R32" i="96"/>
  <c r="M32" i="96"/>
  <c r="F32" i="96"/>
  <c r="R31" i="96"/>
  <c r="M31" i="96"/>
  <c r="F31" i="96"/>
  <c r="R30" i="96"/>
  <c r="M30" i="96"/>
  <c r="F30" i="96"/>
  <c r="R29" i="96"/>
  <c r="M29" i="96"/>
  <c r="F29" i="96"/>
  <c r="M28" i="96"/>
  <c r="R28" i="96"/>
  <c r="F28" i="96"/>
  <c r="R27" i="96"/>
  <c r="M27" i="96"/>
  <c r="F27" i="96"/>
  <c r="R26" i="96"/>
  <c r="M26" i="96"/>
  <c r="F26" i="96"/>
  <c r="AA25" i="96"/>
  <c r="R25" i="96"/>
  <c r="M25" i="96"/>
  <c r="F25" i="96"/>
  <c r="R24" i="96"/>
  <c r="M24" i="96"/>
  <c r="F24" i="96"/>
  <c r="R23" i="96"/>
  <c r="M23" i="96"/>
  <c r="F23" i="96"/>
  <c r="AC22" i="96"/>
  <c r="R22" i="96"/>
  <c r="M22" i="96"/>
  <c r="F22" i="96"/>
  <c r="R21" i="96"/>
  <c r="M21" i="96"/>
  <c r="F21" i="96"/>
  <c r="M20" i="96"/>
  <c r="R20" i="96"/>
  <c r="F20" i="96"/>
  <c r="R19" i="96"/>
  <c r="M19" i="96"/>
  <c r="F19" i="96"/>
  <c r="R18" i="96"/>
  <c r="M18" i="96"/>
  <c r="F18" i="96"/>
  <c r="M17" i="96"/>
  <c r="F17" i="96"/>
  <c r="R17" i="96"/>
  <c r="R16" i="96"/>
  <c r="M16" i="96"/>
  <c r="F16" i="96"/>
  <c r="D36" i="96"/>
  <c r="R15" i="96"/>
  <c r="M15" i="96"/>
  <c r="F15" i="96"/>
  <c r="AE14" i="96"/>
  <c r="M14" i="96"/>
  <c r="R14" i="96"/>
  <c r="F14" i="96"/>
  <c r="AE13" i="96"/>
  <c r="R13" i="96"/>
  <c r="M13" i="96"/>
  <c r="F13" i="96"/>
  <c r="R12" i="96"/>
  <c r="M12" i="96"/>
  <c r="F12" i="96"/>
  <c r="R11" i="96"/>
  <c r="M11" i="96"/>
  <c r="F11" i="96"/>
  <c r="R10" i="96"/>
  <c r="M10" i="96"/>
  <c r="F10" i="96"/>
  <c r="R9" i="96"/>
  <c r="M9" i="96"/>
  <c r="F9" i="96"/>
  <c r="AD8" i="96"/>
  <c r="AC8" i="96"/>
  <c r="R8" i="96"/>
  <c r="M8" i="96"/>
  <c r="F8" i="96"/>
  <c r="R7" i="96"/>
  <c r="M7" i="96"/>
  <c r="F7" i="96"/>
  <c r="R6" i="96"/>
  <c r="M6" i="96"/>
  <c r="F6" i="96"/>
  <c r="AD5" i="96"/>
  <c r="AC5" i="96"/>
  <c r="AB5" i="96"/>
  <c r="AA5" i="96"/>
  <c r="R5" i="96"/>
  <c r="M5" i="96"/>
  <c r="F5" i="96"/>
  <c r="F36" i="96" l="1"/>
  <c r="Z40" i="96"/>
  <c r="M36" i="96"/>
  <c r="G36" i="96"/>
  <c r="P36" i="96" s="1"/>
  <c r="S36" i="96"/>
  <c r="Z39" i="96" s="1"/>
  <c r="Z33" i="95"/>
  <c r="S33" i="95"/>
  <c r="D33" i="95"/>
  <c r="Z32" i="95"/>
  <c r="Z31" i="95"/>
  <c r="S32" i="95" l="1"/>
  <c r="S31" i="95"/>
  <c r="S29" i="95"/>
  <c r="S30" i="95" s="1"/>
  <c r="S28" i="95"/>
  <c r="Z30" i="95"/>
  <c r="Z29" i="95"/>
  <c r="N82" i="95"/>
  <c r="Z28" i="95"/>
  <c r="Z27" i="95"/>
  <c r="S27" i="95"/>
  <c r="G29" i="95" l="1"/>
  <c r="T29" i="95" l="1"/>
  <c r="G28" i="95" l="1"/>
  <c r="S26" i="95" l="1"/>
  <c r="N83" i="95" l="1"/>
  <c r="U28" i="95"/>
  <c r="G26" i="95" l="1"/>
  <c r="W26" i="95" l="1"/>
  <c r="T26" i="95" l="1"/>
  <c r="M83" i="95" l="1"/>
  <c r="M82" i="95"/>
  <c r="Z26" i="95"/>
  <c r="D26" i="95"/>
  <c r="G23" i="95"/>
  <c r="G22" i="95" l="1"/>
  <c r="S22" i="95" l="1"/>
  <c r="U22" i="95"/>
  <c r="T22" i="95"/>
  <c r="U21" i="95" l="1"/>
  <c r="S21" i="95"/>
  <c r="T21" i="95" l="1"/>
  <c r="G20" i="95" l="1"/>
  <c r="B19" i="95" l="1"/>
  <c r="S20" i="95" l="1"/>
  <c r="D20" i="95"/>
  <c r="G19" i="95" l="1"/>
  <c r="Z19" i="95" l="1"/>
  <c r="U19" i="95"/>
  <c r="S19" i="95" l="1"/>
  <c r="S18" i="95"/>
  <c r="S17" i="95"/>
  <c r="D19" i="95"/>
  <c r="D17" i="95"/>
  <c r="B17" i="95" l="1"/>
  <c r="S16" i="95" l="1"/>
  <c r="D16" i="95"/>
  <c r="M86" i="95" l="1"/>
  <c r="M85" i="95"/>
  <c r="G13" i="95"/>
  <c r="G14" i="95"/>
  <c r="S14" i="95" l="1"/>
  <c r="S15" i="95" s="1"/>
  <c r="AI12" i="95" l="1"/>
  <c r="S10" i="95" l="1"/>
  <c r="S8" i="95" l="1"/>
  <c r="S6" i="95"/>
  <c r="B18" i="94" l="1"/>
  <c r="G33" i="94" l="1"/>
  <c r="U5" i="95" l="1"/>
  <c r="U6" i="95" s="1"/>
  <c r="V5" i="95"/>
  <c r="W5" i="95"/>
  <c r="X5" i="95"/>
  <c r="Y5" i="95"/>
  <c r="Z5" i="95"/>
  <c r="T5" i="95"/>
  <c r="M88" i="95"/>
  <c r="M87" i="95"/>
  <c r="N36" i="95"/>
  <c r="K36" i="95"/>
  <c r="J36" i="95"/>
  <c r="H36" i="95"/>
  <c r="C36" i="95"/>
  <c r="R35" i="95"/>
  <c r="M35" i="95"/>
  <c r="F35" i="95"/>
  <c r="R34" i="95"/>
  <c r="M34" i="95"/>
  <c r="F34" i="95"/>
  <c r="R33" i="95"/>
  <c r="M33" i="95"/>
  <c r="F33" i="95"/>
  <c r="R32" i="95"/>
  <c r="M32" i="95"/>
  <c r="F32" i="95"/>
  <c r="M31" i="95"/>
  <c r="R31" i="95"/>
  <c r="F31" i="95"/>
  <c r="R30" i="95"/>
  <c r="M30" i="95"/>
  <c r="F30" i="95"/>
  <c r="R29" i="95"/>
  <c r="M29" i="95"/>
  <c r="F29" i="95"/>
  <c r="R28" i="95"/>
  <c r="M28" i="95"/>
  <c r="F28" i="95"/>
  <c r="R27" i="95"/>
  <c r="M27" i="95"/>
  <c r="F27" i="95"/>
  <c r="B36" i="95"/>
  <c r="R26" i="95"/>
  <c r="M26" i="95"/>
  <c r="F26" i="95"/>
  <c r="AA25" i="95"/>
  <c r="R25" i="95"/>
  <c r="M25" i="95"/>
  <c r="F25" i="95"/>
  <c r="R24" i="95"/>
  <c r="M24" i="95"/>
  <c r="F24" i="95"/>
  <c r="M23" i="95"/>
  <c r="R23" i="95"/>
  <c r="F23" i="95"/>
  <c r="AC22" i="95"/>
  <c r="M22" i="95"/>
  <c r="R22" i="95"/>
  <c r="F22" i="95"/>
  <c r="R21" i="95"/>
  <c r="M21" i="95"/>
  <c r="F21" i="95"/>
  <c r="R20" i="95"/>
  <c r="M20" i="95"/>
  <c r="F20" i="95"/>
  <c r="R19" i="95"/>
  <c r="M19" i="95"/>
  <c r="F19" i="95"/>
  <c r="M18" i="95"/>
  <c r="R18" i="95"/>
  <c r="F18" i="95"/>
  <c r="M17" i="95"/>
  <c r="R17" i="95"/>
  <c r="F17" i="95"/>
  <c r="R16" i="95"/>
  <c r="M16" i="95"/>
  <c r="F16" i="95"/>
  <c r="R15" i="95"/>
  <c r="M15" i="95"/>
  <c r="F15" i="95"/>
  <c r="AE14" i="95"/>
  <c r="R14" i="95"/>
  <c r="M14" i="95"/>
  <c r="F14" i="95"/>
  <c r="AE13" i="95"/>
  <c r="R13" i="95"/>
  <c r="M13" i="95"/>
  <c r="F13" i="95"/>
  <c r="M12" i="95"/>
  <c r="R12" i="95"/>
  <c r="F12" i="95"/>
  <c r="R11" i="95"/>
  <c r="M11" i="95"/>
  <c r="F11" i="95"/>
  <c r="M10" i="95"/>
  <c r="R10" i="95"/>
  <c r="F10" i="95"/>
  <c r="M9" i="95"/>
  <c r="R9" i="95"/>
  <c r="F9" i="95"/>
  <c r="AD8" i="95"/>
  <c r="AC8" i="95"/>
  <c r="R8" i="95"/>
  <c r="M8" i="95"/>
  <c r="F8" i="95"/>
  <c r="R7" i="95"/>
  <c r="M7" i="95"/>
  <c r="F7" i="95"/>
  <c r="R6" i="95"/>
  <c r="M6" i="95"/>
  <c r="F6" i="95"/>
  <c r="AD5" i="95"/>
  <c r="AC5" i="95"/>
  <c r="AB5" i="95"/>
  <c r="AA5" i="95"/>
  <c r="M5" i="95"/>
  <c r="R5" i="95"/>
  <c r="F5" i="95"/>
  <c r="T10" i="95" l="1"/>
  <c r="T14" i="95" s="1"/>
  <c r="T15" i="95" s="1"/>
  <c r="T6" i="95"/>
  <c r="T8" i="95"/>
  <c r="Y10" i="95"/>
  <c r="Y19" i="95" s="1"/>
  <c r="Y8" i="95"/>
  <c r="Y6" i="95"/>
  <c r="U10" i="95"/>
  <c r="U8" i="95"/>
  <c r="U9" i="95"/>
  <c r="U7" i="95"/>
  <c r="Z8" i="95"/>
  <c r="Z6" i="95"/>
  <c r="R36" i="95"/>
  <c r="D36" i="95"/>
  <c r="G36" i="95"/>
  <c r="P36" i="95" s="1"/>
  <c r="M36" i="95"/>
  <c r="F36" i="95"/>
  <c r="S36" i="95"/>
  <c r="Z39" i="95" s="1"/>
  <c r="N47" i="94"/>
  <c r="T33" i="94"/>
  <c r="Z14" i="95" l="1"/>
  <c r="Z12" i="95"/>
  <c r="Z10" i="95"/>
  <c r="Z15" i="95"/>
  <c r="Z13" i="95"/>
  <c r="Z11" i="95"/>
  <c r="Z9" i="95"/>
  <c r="U15" i="95"/>
  <c r="U13" i="95"/>
  <c r="U11" i="95"/>
  <c r="U14" i="95"/>
  <c r="U12" i="95"/>
  <c r="N97" i="95"/>
  <c r="Z40" i="95" s="1"/>
  <c r="D33" i="94"/>
  <c r="G32" i="94" l="1"/>
  <c r="T29" i="94" l="1"/>
  <c r="S32" i="94" l="1"/>
  <c r="D32" i="94"/>
  <c r="G31" i="94"/>
  <c r="G30" i="94" l="1"/>
  <c r="G29" i="94" l="1"/>
  <c r="S30" i="94"/>
  <c r="D30" i="94"/>
  <c r="S29" i="94"/>
  <c r="AI27" i="94" l="1"/>
  <c r="S28" i="94" l="1"/>
  <c r="B27" i="94" l="1"/>
  <c r="G26" i="94"/>
  <c r="Z25" i="94" l="1"/>
  <c r="U25" i="94"/>
  <c r="G25" i="94"/>
  <c r="Y25" i="94" l="1"/>
  <c r="M82" i="94" l="1"/>
  <c r="M81" i="94"/>
  <c r="N81" i="94" s="1"/>
  <c r="T25" i="94" l="1"/>
  <c r="S25" i="94"/>
  <c r="G24" i="94" l="1"/>
  <c r="G23" i="94" l="1"/>
  <c r="S23" i="94" l="1"/>
  <c r="Y23" i="94"/>
  <c r="G22" i="94" l="1"/>
  <c r="D22" i="94" l="1"/>
  <c r="G19" i="94" l="1"/>
  <c r="AI18" i="94" l="1"/>
  <c r="D23" i="94" l="1"/>
  <c r="S22" i="94"/>
  <c r="S18" i="94"/>
  <c r="G18" i="94" l="1"/>
  <c r="G17" i="94" l="1"/>
  <c r="T17" i="94" l="1"/>
  <c r="Z17" i="94"/>
  <c r="U17" i="94"/>
  <c r="Y17" i="94" l="1"/>
  <c r="G16" i="94" l="1"/>
  <c r="S16" i="94" l="1"/>
  <c r="D16" i="94"/>
  <c r="G15" i="94" l="1"/>
  <c r="M84" i="94" l="1"/>
  <c r="M83" i="94"/>
  <c r="Z22" i="94" s="1"/>
  <c r="Z23" i="94" s="1"/>
  <c r="T14" i="94"/>
  <c r="T15" i="94" s="1"/>
  <c r="T16" i="94" s="1"/>
  <c r="S15" i="94"/>
  <c r="D15" i="94"/>
  <c r="U28" i="94" l="1"/>
  <c r="U18" i="94"/>
  <c r="G12" i="94"/>
  <c r="U29" i="94" l="1"/>
  <c r="N82" i="94"/>
  <c r="G11" i="94"/>
  <c r="G10" i="94" l="1"/>
  <c r="S10" i="94" l="1"/>
  <c r="S11" i="94" s="1"/>
  <c r="S12" i="94" s="1"/>
  <c r="S13" i="94" s="1"/>
  <c r="G9" i="94" l="1"/>
  <c r="T9" i="94" l="1"/>
  <c r="S9" i="94" l="1"/>
  <c r="D9" i="94"/>
  <c r="G8" i="94" l="1"/>
  <c r="U8" i="94" l="1"/>
  <c r="E5" i="94" l="1"/>
  <c r="T8" i="94" l="1"/>
  <c r="S8" i="94"/>
  <c r="G5" i="94" l="1"/>
  <c r="Z5" i="94" l="1"/>
  <c r="S5" i="94"/>
  <c r="Z7" i="94" l="1"/>
  <c r="Z8" i="94"/>
  <c r="Z14" i="94" s="1"/>
  <c r="Z6" i="94"/>
  <c r="N47" i="93"/>
  <c r="Z15" i="94" l="1"/>
  <c r="Z16" i="94" s="1"/>
  <c r="S34" i="93"/>
  <c r="N78" i="93"/>
  <c r="Z34" i="93"/>
  <c r="U34" i="93"/>
  <c r="G34" i="93" l="1"/>
  <c r="G33" i="93" l="1"/>
  <c r="G32" i="93" l="1"/>
  <c r="G31" i="93" l="1"/>
  <c r="T31" i="93" l="1"/>
  <c r="U5" i="94" l="1"/>
  <c r="V5" i="94"/>
  <c r="W5" i="94"/>
  <c r="X5" i="94"/>
  <c r="Y5" i="94"/>
  <c r="T5" i="94"/>
  <c r="D28" i="93" l="1"/>
  <c r="G28" i="93" l="1"/>
  <c r="N36" i="94" l="1"/>
  <c r="K36" i="94"/>
  <c r="J36" i="94"/>
  <c r="H36" i="94"/>
  <c r="C36" i="94"/>
  <c r="R35" i="94"/>
  <c r="M35" i="94"/>
  <c r="F35" i="94"/>
  <c r="R34" i="94"/>
  <c r="M34" i="94"/>
  <c r="F34" i="94"/>
  <c r="R33" i="94"/>
  <c r="M33" i="94"/>
  <c r="F33" i="94"/>
  <c r="R32" i="94"/>
  <c r="M32" i="94"/>
  <c r="F32" i="94"/>
  <c r="R31" i="94"/>
  <c r="M31" i="94"/>
  <c r="F31" i="94"/>
  <c r="R30" i="94"/>
  <c r="M30" i="94"/>
  <c r="F30" i="94"/>
  <c r="R29" i="94"/>
  <c r="M29" i="94"/>
  <c r="F29" i="94"/>
  <c r="R28" i="94"/>
  <c r="M28" i="94"/>
  <c r="F28" i="94"/>
  <c r="R27" i="94"/>
  <c r="M27" i="94"/>
  <c r="F27" i="94"/>
  <c r="R26" i="94"/>
  <c r="M26" i="94"/>
  <c r="F26" i="94"/>
  <c r="AA25" i="94"/>
  <c r="M25" i="94"/>
  <c r="R25" i="94"/>
  <c r="F25" i="94"/>
  <c r="R24" i="94"/>
  <c r="M24" i="94"/>
  <c r="F24" i="94"/>
  <c r="R23" i="94"/>
  <c r="M23" i="94"/>
  <c r="F23" i="94"/>
  <c r="AC22" i="94"/>
  <c r="R22" i="94"/>
  <c r="M22" i="94"/>
  <c r="F22" i="94"/>
  <c r="M21" i="94"/>
  <c r="F21" i="94"/>
  <c r="R21" i="94"/>
  <c r="R20" i="94"/>
  <c r="M20" i="94"/>
  <c r="F20" i="94"/>
  <c r="M19" i="94"/>
  <c r="R19" i="94"/>
  <c r="F19" i="94"/>
  <c r="R18" i="94"/>
  <c r="M18" i="94"/>
  <c r="F18" i="94"/>
  <c r="R17" i="94"/>
  <c r="M17" i="94"/>
  <c r="F17" i="94"/>
  <c r="R16" i="94"/>
  <c r="M16" i="94"/>
  <c r="F16" i="94"/>
  <c r="R15" i="94"/>
  <c r="M15" i="94"/>
  <c r="F15" i="94"/>
  <c r="AE14" i="94"/>
  <c r="M14" i="94"/>
  <c r="R14" i="94"/>
  <c r="F14" i="94"/>
  <c r="M13" i="94"/>
  <c r="R13" i="94"/>
  <c r="F13" i="94"/>
  <c r="R12" i="94"/>
  <c r="M12" i="94"/>
  <c r="F12" i="94"/>
  <c r="AE13" i="94"/>
  <c r="R11" i="94"/>
  <c r="M11" i="94"/>
  <c r="F11" i="94"/>
  <c r="D36" i="94"/>
  <c r="R10" i="94"/>
  <c r="M10" i="94"/>
  <c r="F10" i="94"/>
  <c r="R9" i="94"/>
  <c r="M9" i="94"/>
  <c r="F9" i="94"/>
  <c r="AD8" i="94"/>
  <c r="AC8" i="94"/>
  <c r="M8" i="94"/>
  <c r="F8" i="94"/>
  <c r="R7" i="94"/>
  <c r="M7" i="94"/>
  <c r="F7" i="94"/>
  <c r="R6" i="94"/>
  <c r="M6" i="94"/>
  <c r="F6" i="94"/>
  <c r="AD5" i="94"/>
  <c r="AC5" i="94"/>
  <c r="AB5" i="94"/>
  <c r="AA5" i="94"/>
  <c r="R5" i="94"/>
  <c r="M5" i="94"/>
  <c r="O5" i="94" s="1"/>
  <c r="G36" i="94"/>
  <c r="F5" i="94"/>
  <c r="I5" i="94" s="1"/>
  <c r="F36" i="94" l="1"/>
  <c r="I6" i="94"/>
  <c r="I7" i="94" s="1"/>
  <c r="I8" i="94" s="1"/>
  <c r="I9" i="94" s="1"/>
  <c r="I10" i="94" s="1"/>
  <c r="I11" i="94" s="1"/>
  <c r="I12" i="94" s="1"/>
  <c r="I13" i="94" s="1"/>
  <c r="I14" i="94" s="1"/>
  <c r="I15" i="94" s="1"/>
  <c r="I16" i="94" s="1"/>
  <c r="I17" i="94" s="1"/>
  <c r="I18" i="94" s="1"/>
  <c r="I19" i="94" s="1"/>
  <c r="I20" i="94" s="1"/>
  <c r="I21" i="94" s="1"/>
  <c r="I22" i="94" s="1"/>
  <c r="I23" i="94" s="1"/>
  <c r="I24" i="94" s="1"/>
  <c r="I25" i="94" s="1"/>
  <c r="I26" i="94" s="1"/>
  <c r="I27" i="94" s="1"/>
  <c r="I28" i="94" s="1"/>
  <c r="I29" i="94" s="1"/>
  <c r="I30" i="94" s="1"/>
  <c r="I31" i="94" s="1"/>
  <c r="I32" i="94" s="1"/>
  <c r="I33" i="94" s="1"/>
  <c r="I34" i="94" s="1"/>
  <c r="I35" i="94" s="1"/>
  <c r="I5" i="95" s="1"/>
  <c r="I6" i="95" s="1"/>
  <c r="I7" i="95" s="1"/>
  <c r="I8" i="95" s="1"/>
  <c r="I9" i="95" s="1"/>
  <c r="I10" i="95" s="1"/>
  <c r="I11" i="95" s="1"/>
  <c r="I12" i="95" s="1"/>
  <c r="I13" i="95" s="1"/>
  <c r="I14" i="95" s="1"/>
  <c r="I15" i="95" s="1"/>
  <c r="I16" i="95" s="1"/>
  <c r="I17" i="95" s="1"/>
  <c r="I18" i="95" s="1"/>
  <c r="I19" i="95" s="1"/>
  <c r="I20" i="95" s="1"/>
  <c r="I21" i="95" s="1"/>
  <c r="I22" i="95" s="1"/>
  <c r="I23" i="95" s="1"/>
  <c r="I24" i="95" s="1"/>
  <c r="I25" i="95" s="1"/>
  <c r="I26" i="95" s="1"/>
  <c r="I27" i="95" s="1"/>
  <c r="I28" i="95" s="1"/>
  <c r="I29" i="95" s="1"/>
  <c r="I30" i="95" s="1"/>
  <c r="I31" i="95" s="1"/>
  <c r="I32" i="95" s="1"/>
  <c r="I33" i="95" s="1"/>
  <c r="I34" i="95" s="1"/>
  <c r="I35" i="95" s="1"/>
  <c r="I5" i="96" s="1"/>
  <c r="I6" i="96" s="1"/>
  <c r="I7" i="96" s="1"/>
  <c r="I8" i="96" s="1"/>
  <c r="I9" i="96" s="1"/>
  <c r="I10" i="96" s="1"/>
  <c r="I11" i="96" s="1"/>
  <c r="I12" i="96" s="1"/>
  <c r="I13" i="96" s="1"/>
  <c r="I14" i="96" s="1"/>
  <c r="I15" i="96" s="1"/>
  <c r="I16" i="96" s="1"/>
  <c r="I17" i="96" s="1"/>
  <c r="I18" i="96" s="1"/>
  <c r="I19" i="96" s="1"/>
  <c r="I20" i="96" s="1"/>
  <c r="I21" i="96" s="1"/>
  <c r="I22" i="96" s="1"/>
  <c r="I23" i="96" s="1"/>
  <c r="I24" i="96" s="1"/>
  <c r="I25" i="96" s="1"/>
  <c r="I26" i="96" s="1"/>
  <c r="I27" i="96" s="1"/>
  <c r="I28" i="96" s="1"/>
  <c r="I29" i="96" s="1"/>
  <c r="I30" i="96" s="1"/>
  <c r="I31" i="96" s="1"/>
  <c r="I32" i="96" s="1"/>
  <c r="I33" i="96" s="1"/>
  <c r="I34" i="96" s="1"/>
  <c r="I35" i="96" s="1"/>
  <c r="I5" i="97" s="1"/>
  <c r="I6" i="97" s="1"/>
  <c r="I7" i="97" s="1"/>
  <c r="I8" i="97" s="1"/>
  <c r="I9" i="97" s="1"/>
  <c r="I10" i="97" s="1"/>
  <c r="I11" i="97" s="1"/>
  <c r="I12" i="97" s="1"/>
  <c r="I13" i="97" s="1"/>
  <c r="I14" i="97" s="1"/>
  <c r="I15" i="97" s="1"/>
  <c r="I16" i="97" s="1"/>
  <c r="I17" i="97" s="1"/>
  <c r="I18" i="97" s="1"/>
  <c r="I19" i="97" s="1"/>
  <c r="I20" i="97" s="1"/>
  <c r="I21" i="97" s="1"/>
  <c r="I22" i="97" s="1"/>
  <c r="I23" i="97" s="1"/>
  <c r="I24" i="97" s="1"/>
  <c r="I25" i="97" s="1"/>
  <c r="I26" i="97" s="1"/>
  <c r="I27" i="97" s="1"/>
  <c r="I28" i="97" s="1"/>
  <c r="I29" i="97" s="1"/>
  <c r="I30" i="97" s="1"/>
  <c r="I31" i="97" s="1"/>
  <c r="I32" i="97" s="1"/>
  <c r="I33" i="97" s="1"/>
  <c r="I34" i="97" s="1"/>
  <c r="I35" i="97" s="1"/>
  <c r="B36" i="94"/>
  <c r="P36" i="94" s="1"/>
  <c r="R8" i="94"/>
  <c r="M36" i="94"/>
  <c r="R36" i="94"/>
  <c r="N93" i="94"/>
  <c r="Z40" i="94" s="1"/>
  <c r="E6" i="94"/>
  <c r="G27" i="93"/>
  <c r="S36" i="94" l="1"/>
  <c r="Z39" i="94" s="1"/>
  <c r="E7" i="94"/>
  <c r="E8" i="94" l="1"/>
  <c r="S27" i="93"/>
  <c r="D27" i="93"/>
  <c r="G26" i="93"/>
  <c r="E9" i="94" l="1"/>
  <c r="Z26" i="93"/>
  <c r="N79" i="93"/>
  <c r="U26" i="93"/>
  <c r="E10" i="94" l="1"/>
  <c r="M79" i="93"/>
  <c r="E11" i="94" l="1"/>
  <c r="S26" i="93"/>
  <c r="D26" i="93"/>
  <c r="E12" i="94" l="1"/>
  <c r="S25" i="93"/>
  <c r="G25" i="93"/>
  <c r="E13" i="94" l="1"/>
  <c r="M78" i="93"/>
  <c r="E14" i="94" l="1"/>
  <c r="S24" i="93"/>
  <c r="G24" i="93"/>
  <c r="E15" i="94" l="1"/>
  <c r="G21" i="93"/>
  <c r="B21" i="93"/>
  <c r="E16" i="94" l="1"/>
  <c r="S21" i="93"/>
  <c r="U21" i="93"/>
  <c r="E17" i="94" l="1"/>
  <c r="S20" i="93"/>
  <c r="E18" i="94" l="1"/>
  <c r="G20" i="93"/>
  <c r="E19" i="94" l="1"/>
  <c r="Z20" i="93"/>
  <c r="E20" i="94" l="1"/>
  <c r="G19" i="93"/>
  <c r="E21" i="94" l="1"/>
  <c r="S19" i="93"/>
  <c r="E22" i="94" l="1"/>
  <c r="G18" i="93"/>
  <c r="E23" i="94" l="1"/>
  <c r="G17" i="93"/>
  <c r="E24" i="94" l="1"/>
  <c r="Z17" i="93"/>
  <c r="U17" i="93"/>
  <c r="E25" i="94" l="1"/>
  <c r="M81" i="93"/>
  <c r="M80" i="93"/>
  <c r="E26" i="94" l="1"/>
  <c r="G14" i="93"/>
  <c r="E27" i="94" l="1"/>
  <c r="AI13" i="93"/>
  <c r="E28" i="94" l="1"/>
  <c r="S14" i="93"/>
  <c r="S18" i="93" s="1"/>
  <c r="Y14" i="93"/>
  <c r="E29" i="94" l="1"/>
  <c r="G13" i="93"/>
  <c r="E30" i="94" l="1"/>
  <c r="D13" i="93"/>
  <c r="E31" i="94" l="1"/>
  <c r="D12" i="93"/>
  <c r="E32" i="94" l="1"/>
  <c r="G11" i="93"/>
  <c r="E33" i="94" l="1"/>
  <c r="AI8" i="93"/>
  <c r="E34" i="94" l="1"/>
  <c r="D14" i="93"/>
  <c r="S13" i="93"/>
  <c r="S12" i="93"/>
  <c r="B8" i="93"/>
  <c r="S11" i="93"/>
  <c r="D11" i="93"/>
  <c r="E35" i="94" l="1"/>
  <c r="E5" i="95" s="1"/>
  <c r="G7" i="93"/>
  <c r="E6" i="95" l="1"/>
  <c r="E7" i="95" s="1"/>
  <c r="E8" i="95" s="1"/>
  <c r="E9" i="95" s="1"/>
  <c r="E10" i="95" s="1"/>
  <c r="E11" i="95" s="1"/>
  <c r="E12" i="95" s="1"/>
  <c r="E13" i="95" s="1"/>
  <c r="E14" i="95" s="1"/>
  <c r="E15" i="95" s="1"/>
  <c r="E16" i="95" s="1"/>
  <c r="E17" i="95" s="1"/>
  <c r="E18" i="95" s="1"/>
  <c r="E19" i="95" s="1"/>
  <c r="E20" i="95" s="1"/>
  <c r="E21" i="95" s="1"/>
  <c r="E22" i="95" s="1"/>
  <c r="E23" i="95" s="1"/>
  <c r="E24" i="95" s="1"/>
  <c r="E25" i="95" s="1"/>
  <c r="E26" i="95" s="1"/>
  <c r="E27" i="95" s="1"/>
  <c r="E28" i="95" s="1"/>
  <c r="E29" i="95" s="1"/>
  <c r="E30" i="95" s="1"/>
  <c r="E31" i="95" s="1"/>
  <c r="E32" i="95" s="1"/>
  <c r="E33" i="95" s="1"/>
  <c r="E34" i="95" s="1"/>
  <c r="E35" i="95" s="1"/>
  <c r="E5" i="96" s="1"/>
  <c r="E36" i="94"/>
  <c r="Z38" i="94" s="1"/>
  <c r="Z41" i="94" s="1"/>
  <c r="G6" i="93"/>
  <c r="E6" i="96" l="1"/>
  <c r="E36" i="95"/>
  <c r="Z38" i="95" s="1"/>
  <c r="Z41" i="95" s="1"/>
  <c r="T6" i="93"/>
  <c r="T13" i="93" s="1"/>
  <c r="E7" i="96" l="1"/>
  <c r="G5" i="93"/>
  <c r="E8" i="96" l="1"/>
  <c r="T5" i="93"/>
  <c r="E9" i="96" l="1"/>
  <c r="S5" i="93"/>
  <c r="Z5" i="93"/>
  <c r="Z6" i="93" s="1"/>
  <c r="V5" i="93"/>
  <c r="W5" i="93"/>
  <c r="X5" i="93"/>
  <c r="U5" i="93"/>
  <c r="U6" i="93" s="1"/>
  <c r="U11" i="93" s="1"/>
  <c r="M85" i="93"/>
  <c r="M84" i="93"/>
  <c r="M83" i="93"/>
  <c r="M82" i="93"/>
  <c r="N36" i="93"/>
  <c r="K36" i="93"/>
  <c r="J36" i="93"/>
  <c r="H36" i="93"/>
  <c r="C36" i="93"/>
  <c r="R35" i="93"/>
  <c r="M35" i="93"/>
  <c r="F35" i="93"/>
  <c r="R34" i="93"/>
  <c r="M34" i="93"/>
  <c r="F34" i="93"/>
  <c r="R33" i="93"/>
  <c r="M33" i="93"/>
  <c r="F33" i="93"/>
  <c r="R32" i="93"/>
  <c r="M32" i="93"/>
  <c r="F32" i="93"/>
  <c r="R31" i="93"/>
  <c r="M31" i="93"/>
  <c r="F31" i="93"/>
  <c r="M30" i="93"/>
  <c r="R30" i="93"/>
  <c r="F30" i="93"/>
  <c r="M29" i="93"/>
  <c r="R29" i="93"/>
  <c r="F29" i="93"/>
  <c r="R28" i="93"/>
  <c r="M28" i="93"/>
  <c r="F28" i="93"/>
  <c r="M27" i="93"/>
  <c r="R27" i="93"/>
  <c r="F27" i="93"/>
  <c r="R26" i="93"/>
  <c r="M26" i="93"/>
  <c r="F26" i="93"/>
  <c r="AA25" i="93"/>
  <c r="R25" i="93"/>
  <c r="M25" i="93"/>
  <c r="F25" i="93"/>
  <c r="M24" i="93"/>
  <c r="R24" i="93"/>
  <c r="F24" i="93"/>
  <c r="M23" i="93"/>
  <c r="F23" i="93"/>
  <c r="R23" i="93"/>
  <c r="AC22" i="93"/>
  <c r="M22" i="93"/>
  <c r="R22" i="93"/>
  <c r="F22" i="93"/>
  <c r="R21" i="93"/>
  <c r="M21" i="93"/>
  <c r="F21" i="93"/>
  <c r="M20" i="93"/>
  <c r="R20" i="93"/>
  <c r="F20" i="93"/>
  <c r="R19" i="93"/>
  <c r="M19" i="93"/>
  <c r="F19" i="93"/>
  <c r="M18" i="93"/>
  <c r="F18" i="93"/>
  <c r="R18" i="93"/>
  <c r="M17" i="93"/>
  <c r="F17" i="93"/>
  <c r="M16" i="93"/>
  <c r="R16" i="93"/>
  <c r="F16" i="93"/>
  <c r="R15" i="93"/>
  <c r="M15" i="93"/>
  <c r="F15" i="93"/>
  <c r="AE14" i="93"/>
  <c r="M14" i="93"/>
  <c r="R14" i="93"/>
  <c r="F14" i="93"/>
  <c r="R13" i="93"/>
  <c r="M13" i="93"/>
  <c r="F13" i="93"/>
  <c r="R12" i="93"/>
  <c r="M12" i="93"/>
  <c r="F12" i="93"/>
  <c r="AE13" i="93"/>
  <c r="R11" i="93"/>
  <c r="M11" i="93"/>
  <c r="F11" i="93"/>
  <c r="M10" i="93"/>
  <c r="R10" i="93"/>
  <c r="F10" i="93"/>
  <c r="M9" i="93"/>
  <c r="R9" i="93"/>
  <c r="F9" i="93"/>
  <c r="AD8" i="93"/>
  <c r="AC8" i="93"/>
  <c r="R8" i="93"/>
  <c r="M8" i="93"/>
  <c r="F8" i="93"/>
  <c r="M7" i="93"/>
  <c r="R7" i="93"/>
  <c r="F7" i="93"/>
  <c r="M6" i="93"/>
  <c r="F6" i="93"/>
  <c r="AD5" i="93"/>
  <c r="AC5" i="93"/>
  <c r="AB5" i="93"/>
  <c r="AA5" i="93"/>
  <c r="R5" i="93"/>
  <c r="M5" i="93"/>
  <c r="F5" i="93"/>
  <c r="E10" i="96" l="1"/>
  <c r="U13" i="93"/>
  <c r="U12" i="93"/>
  <c r="S6" i="93"/>
  <c r="F36" i="93"/>
  <c r="M36" i="93"/>
  <c r="G36" i="93"/>
  <c r="R6" i="93"/>
  <c r="D36" i="93"/>
  <c r="B36" i="93"/>
  <c r="R17" i="93"/>
  <c r="N86" i="93"/>
  <c r="Z40" i="93" s="1"/>
  <c r="S35" i="92"/>
  <c r="S34" i="92"/>
  <c r="Y35" i="92"/>
  <c r="Y5" i="93" s="1"/>
  <c r="E11" i="96" l="1"/>
  <c r="S10" i="93"/>
  <c r="S8" i="93"/>
  <c r="S7" i="93"/>
  <c r="S9" i="93"/>
  <c r="R36" i="93"/>
  <c r="P36" i="93"/>
  <c r="B17" i="92"/>
  <c r="E12" i="96" l="1"/>
  <c r="S36" i="93"/>
  <c r="Z39" i="93" s="1"/>
  <c r="G35" i="92"/>
  <c r="E13" i="96" l="1"/>
  <c r="G34" i="92"/>
  <c r="E14" i="96" l="1"/>
  <c r="S33" i="92"/>
  <c r="Y33" i="92"/>
  <c r="Y34" i="92" s="1"/>
  <c r="E15" i="96" l="1"/>
  <c r="G29" i="92"/>
  <c r="G31" i="92"/>
  <c r="E16" i="96" l="1"/>
  <c r="G30" i="92"/>
  <c r="E17" i="96" l="1"/>
  <c r="T30" i="92"/>
  <c r="N45" i="92" s="1"/>
  <c r="E18" i="96" l="1"/>
  <c r="G28" i="92"/>
  <c r="D29" i="92"/>
  <c r="E19" i="96" l="1"/>
  <c r="W28" i="92"/>
  <c r="D28" i="92"/>
  <c r="E20" i="96" l="1"/>
  <c r="S28" i="92"/>
  <c r="G27" i="92"/>
  <c r="E21" i="96" l="1"/>
  <c r="W27" i="92"/>
  <c r="Z27" i="92"/>
  <c r="U27" i="92"/>
  <c r="E22" i="96" l="1"/>
  <c r="D27" i="92"/>
  <c r="E23" i="96" l="1"/>
  <c r="S27" i="92"/>
  <c r="E24" i="96" l="1"/>
  <c r="W26" i="92"/>
  <c r="S26" i="92"/>
  <c r="E25" i="96" l="1"/>
  <c r="D26" i="92"/>
  <c r="G24" i="92"/>
  <c r="E26" i="96" l="1"/>
  <c r="M76" i="92"/>
  <c r="N76" i="92" s="1"/>
  <c r="M75" i="92"/>
  <c r="N75" i="92" s="1"/>
  <c r="E27" i="96" l="1"/>
  <c r="D24" i="92"/>
  <c r="E28" i="96" l="1"/>
  <c r="S24" i="92"/>
  <c r="B23" i="92"/>
  <c r="E29" i="96" l="1"/>
  <c r="G23" i="92"/>
  <c r="E30" i="96" l="1"/>
  <c r="S22" i="92"/>
  <c r="E31" i="96" l="1"/>
  <c r="G22" i="92"/>
  <c r="E32" i="96" l="1"/>
  <c r="D21" i="92"/>
  <c r="E33" i="96" l="1"/>
  <c r="G21" i="92"/>
  <c r="E34" i="96" l="1"/>
  <c r="W21" i="92"/>
  <c r="W22" i="92" s="1"/>
  <c r="E35" i="96" l="1"/>
  <c r="E5" i="97" s="1"/>
  <c r="N81" i="92"/>
  <c r="E6" i="97" l="1"/>
  <c r="E36" i="96"/>
  <c r="Z38" i="96" s="1"/>
  <c r="Z41" i="96" s="1"/>
  <c r="D22" i="92"/>
  <c r="E7" i="97" l="1"/>
  <c r="G17" i="92"/>
  <c r="G16" i="92"/>
  <c r="E8" i="97" l="1"/>
  <c r="S20" i="92"/>
  <c r="E9" i="97" l="1"/>
  <c r="G20" i="92"/>
  <c r="E10" i="97" l="1"/>
  <c r="Y20" i="92"/>
  <c r="W20" i="92"/>
  <c r="D20" i="92"/>
  <c r="B18" i="92"/>
  <c r="E11" i="97" l="1"/>
  <c r="T17" i="92"/>
  <c r="E12" i="97" l="1"/>
  <c r="S17" i="92"/>
  <c r="Y17" i="92"/>
  <c r="D17" i="92"/>
  <c r="W16" i="92"/>
  <c r="W17" i="92" s="1"/>
  <c r="D16" i="92"/>
  <c r="E13" i="97" l="1"/>
  <c r="S16" i="92"/>
  <c r="E14" i="97" l="1"/>
  <c r="Z15" i="92"/>
  <c r="U15" i="92"/>
  <c r="Z16" i="92"/>
  <c r="Z17" i="92" s="1"/>
  <c r="E15" i="97" l="1"/>
  <c r="G15" i="92"/>
  <c r="E16" i="97" l="1"/>
  <c r="M78" i="92"/>
  <c r="M77" i="92"/>
  <c r="Z20" i="92" s="1"/>
  <c r="Z21" i="92" s="1"/>
  <c r="E17" i="97" l="1"/>
  <c r="U22" i="92"/>
  <c r="U16" i="92"/>
  <c r="U17" i="92" s="1"/>
  <c r="G14" i="92"/>
  <c r="E18" i="97" l="1"/>
  <c r="S14" i="92"/>
  <c r="Z14" i="92"/>
  <c r="E19" i="97" l="1"/>
  <c r="G13" i="92"/>
  <c r="E20" i="97" l="1"/>
  <c r="S13" i="92"/>
  <c r="Y13" i="92"/>
  <c r="E21" i="97" l="1"/>
  <c r="D12" i="92"/>
  <c r="W12" i="92" s="1"/>
  <c r="E22" i="97" l="1"/>
  <c r="G10" i="92"/>
  <c r="E23" i="97" l="1"/>
  <c r="T10" i="92"/>
  <c r="E24" i="97" l="1"/>
  <c r="G9" i="92"/>
  <c r="E25" i="97" l="1"/>
  <c r="S9" i="92"/>
  <c r="Y9" i="92"/>
  <c r="E26" i="97" l="1"/>
  <c r="S8" i="92"/>
  <c r="E27" i="97" l="1"/>
  <c r="Z8" i="92"/>
  <c r="Z7" i="92"/>
  <c r="U7" i="92"/>
  <c r="Y8" i="92"/>
  <c r="E28" i="97" l="1"/>
  <c r="G7" i="92"/>
  <c r="E29" i="97" l="1"/>
  <c r="D7" i="92"/>
  <c r="D8" i="92"/>
  <c r="E30" i="97" l="1"/>
  <c r="S7" i="92"/>
  <c r="Y34" i="91"/>
  <c r="E31" i="97" l="1"/>
  <c r="G6" i="92"/>
  <c r="E32" i="97" l="1"/>
  <c r="B34" i="91"/>
  <c r="E33" i="97" l="1"/>
  <c r="S5" i="92"/>
  <c r="E34" i="97" l="1"/>
  <c r="S34" i="91"/>
  <c r="T5" i="92"/>
  <c r="U5" i="92"/>
  <c r="V5" i="92"/>
  <c r="W5" i="92"/>
  <c r="X5" i="92"/>
  <c r="Y5" i="92"/>
  <c r="Y6" i="92" s="1"/>
  <c r="Y7" i="92" s="1"/>
  <c r="Z5" i="92"/>
  <c r="E35" i="97" l="1"/>
  <c r="N47" i="91"/>
  <c r="E36" i="97" l="1"/>
  <c r="Z38" i="97" s="1"/>
  <c r="Z41" i="97" s="1"/>
  <c r="G33" i="91"/>
  <c r="B32" i="91" l="1"/>
  <c r="S33" i="91" l="1"/>
  <c r="Y33" i="91"/>
  <c r="G32" i="91" l="1"/>
  <c r="Y32" i="91" l="1"/>
  <c r="G31" i="91" l="1"/>
  <c r="M80" i="92" l="1"/>
  <c r="M79" i="92"/>
  <c r="U8" i="92"/>
  <c r="N36" i="92"/>
  <c r="K36" i="92"/>
  <c r="J36" i="92"/>
  <c r="H36" i="92"/>
  <c r="R35" i="92"/>
  <c r="M35" i="92"/>
  <c r="F35" i="92"/>
  <c r="R34" i="92"/>
  <c r="M34" i="92"/>
  <c r="F34" i="92"/>
  <c r="R33" i="92"/>
  <c r="M33" i="92"/>
  <c r="F33" i="92"/>
  <c r="R32" i="92"/>
  <c r="M32" i="92"/>
  <c r="F32" i="92"/>
  <c r="R31" i="92"/>
  <c r="M31" i="92"/>
  <c r="F31" i="92"/>
  <c r="M30" i="92"/>
  <c r="F30" i="92"/>
  <c r="R30" i="92"/>
  <c r="M29" i="92"/>
  <c r="R29" i="92"/>
  <c r="F29" i="92"/>
  <c r="R28" i="92"/>
  <c r="M28" i="92"/>
  <c r="F28" i="92"/>
  <c r="R27" i="92"/>
  <c r="M27" i="92"/>
  <c r="F27" i="92"/>
  <c r="M26" i="92"/>
  <c r="R26" i="92"/>
  <c r="F26" i="92"/>
  <c r="AA25" i="92"/>
  <c r="R25" i="92"/>
  <c r="M25" i="92"/>
  <c r="F25" i="92"/>
  <c r="M24" i="92"/>
  <c r="R24" i="92"/>
  <c r="F24" i="92"/>
  <c r="M23" i="92"/>
  <c r="R23" i="92"/>
  <c r="F23" i="92"/>
  <c r="AC22" i="92"/>
  <c r="R22" i="92"/>
  <c r="M22" i="92"/>
  <c r="F22" i="92"/>
  <c r="R21" i="92"/>
  <c r="M21" i="92"/>
  <c r="F21" i="92"/>
  <c r="R20" i="92"/>
  <c r="M20" i="92"/>
  <c r="F20" i="92"/>
  <c r="M19" i="92"/>
  <c r="R19" i="92"/>
  <c r="F19" i="92"/>
  <c r="M18" i="92"/>
  <c r="R18" i="92"/>
  <c r="F18" i="92"/>
  <c r="R17" i="92"/>
  <c r="M17" i="92"/>
  <c r="F17" i="92"/>
  <c r="M16" i="92"/>
  <c r="R16" i="92"/>
  <c r="F16" i="92"/>
  <c r="M15" i="92"/>
  <c r="R15" i="92"/>
  <c r="F15" i="92"/>
  <c r="AE14" i="92"/>
  <c r="R14" i="92"/>
  <c r="M14" i="92"/>
  <c r="F14" i="92"/>
  <c r="AE13" i="92"/>
  <c r="R13" i="92"/>
  <c r="M13" i="92"/>
  <c r="F13" i="92"/>
  <c r="R12" i="92"/>
  <c r="M12" i="92"/>
  <c r="F12" i="92"/>
  <c r="M11" i="92"/>
  <c r="R11" i="92"/>
  <c r="C36" i="92"/>
  <c r="M10" i="92"/>
  <c r="R10" i="92"/>
  <c r="F10" i="92"/>
  <c r="M9" i="92"/>
  <c r="R9" i="92"/>
  <c r="F9" i="92"/>
  <c r="AD8" i="92"/>
  <c r="AC8" i="92"/>
  <c r="M8" i="92"/>
  <c r="R8" i="92"/>
  <c r="F8" i="92"/>
  <c r="R7" i="92"/>
  <c r="M7" i="92"/>
  <c r="F7" i="92"/>
  <c r="B36" i="92"/>
  <c r="R6" i="92"/>
  <c r="M6" i="92"/>
  <c r="F6" i="92"/>
  <c r="D36" i="92"/>
  <c r="AD5" i="92"/>
  <c r="AC5" i="92"/>
  <c r="AB5" i="92"/>
  <c r="AA5" i="92"/>
  <c r="M5" i="92"/>
  <c r="G36" i="92"/>
  <c r="F5" i="92"/>
  <c r="M36" i="92" l="1"/>
  <c r="P36" i="92"/>
  <c r="R5" i="92"/>
  <c r="R36" i="92" s="1"/>
  <c r="S36" i="92"/>
  <c r="Z39" i="92" s="1"/>
  <c r="Z40" i="92"/>
  <c r="F11" i="92"/>
  <c r="F36" i="92" s="1"/>
  <c r="B30" i="91"/>
  <c r="G30" i="91" l="1"/>
  <c r="T30" i="91" l="1"/>
  <c r="G29" i="91" l="1"/>
  <c r="D30" i="91" l="1"/>
  <c r="Y29" i="91" l="1"/>
  <c r="Y30" i="91" s="1"/>
  <c r="D29" i="91" l="1"/>
  <c r="D27" i="91" l="1"/>
  <c r="X28" i="91" s="1"/>
  <c r="G26" i="91" l="1"/>
  <c r="T26" i="91" l="1"/>
  <c r="U26" i="91"/>
  <c r="G25" i="91" l="1"/>
  <c r="D26" i="91" l="1"/>
  <c r="D25" i="91" l="1"/>
  <c r="W24" i="91" l="1"/>
  <c r="W25" i="91" s="1"/>
  <c r="W26" i="91" s="1"/>
  <c r="G24" i="91" l="1"/>
  <c r="M73" i="91"/>
  <c r="N73" i="91" s="1"/>
  <c r="M72" i="91"/>
  <c r="AA25" i="91" l="1"/>
  <c r="Y24" i="91"/>
  <c r="D24" i="91" l="1"/>
  <c r="Y25" i="91" l="1"/>
  <c r="Y26" i="91" s="1"/>
  <c r="X24" i="91"/>
  <c r="X25" i="91" s="1"/>
  <c r="X26" i="91" s="1"/>
  <c r="G23" i="91" l="1"/>
  <c r="Y22" i="91" l="1"/>
  <c r="Y23" i="91" s="1"/>
  <c r="T23" i="91"/>
  <c r="G22" i="91" l="1"/>
  <c r="AC22" i="91"/>
  <c r="D23" i="91" l="1"/>
  <c r="D22" i="91" l="1"/>
  <c r="G19" i="91" l="1"/>
  <c r="G18" i="91" l="1"/>
  <c r="G17" i="91" l="1"/>
  <c r="Y11" i="91" l="1"/>
  <c r="AI15" i="91" l="1"/>
  <c r="S30" i="91" l="1"/>
  <c r="S29" i="91"/>
  <c r="S26" i="91"/>
  <c r="S24" i="91"/>
  <c r="S23" i="91"/>
  <c r="S22" i="91"/>
  <c r="D16" i="91"/>
  <c r="Y17" i="91" l="1"/>
  <c r="Z17" i="91"/>
  <c r="U17" i="91"/>
  <c r="T17" i="91"/>
  <c r="S17" i="91"/>
  <c r="D17" i="91"/>
  <c r="S16" i="91"/>
  <c r="G16" i="91" l="1"/>
  <c r="G15" i="91" l="1"/>
  <c r="T15" i="91"/>
  <c r="U15" i="91"/>
  <c r="M75" i="91" l="1"/>
  <c r="M74" i="91"/>
  <c r="Z26" i="91" s="1"/>
  <c r="N72" i="91" s="1"/>
  <c r="U22" i="91" l="1"/>
  <c r="U16" i="91"/>
  <c r="Z12" i="91"/>
  <c r="Z13" i="91" s="1"/>
  <c r="G12" i="91"/>
  <c r="G11" i="91" l="1"/>
  <c r="C11" i="91"/>
  <c r="S11" i="91" l="1"/>
  <c r="S13" i="91" s="1"/>
  <c r="T11" i="91"/>
  <c r="G10" i="91" l="1"/>
  <c r="S10" i="91" l="1"/>
  <c r="D10" i="91"/>
  <c r="G9" i="91" l="1"/>
  <c r="T9" i="91" l="1"/>
  <c r="Y9" i="91"/>
  <c r="S8" i="91" l="1"/>
  <c r="AC8" i="91"/>
  <c r="AD8" i="91" l="1"/>
  <c r="G8" i="91" l="1"/>
  <c r="Z8" i="91" l="1"/>
  <c r="T8" i="91"/>
  <c r="S6" i="91" l="1"/>
  <c r="S7" i="91" l="1"/>
  <c r="B7" i="91"/>
  <c r="U6" i="91" l="1"/>
  <c r="T7" i="91"/>
  <c r="G5" i="91"/>
  <c r="U8" i="91" l="1"/>
  <c r="U9" i="91" s="1"/>
  <c r="U7" i="91"/>
  <c r="D6" i="91"/>
  <c r="T5" i="91" l="1"/>
  <c r="Y5" i="91"/>
  <c r="U5" i="91" l="1"/>
  <c r="V5" i="91"/>
  <c r="W5" i="91"/>
  <c r="X5" i="91"/>
  <c r="AA5" i="91"/>
  <c r="AB5" i="91"/>
  <c r="AC5" i="91"/>
  <c r="AD5" i="91"/>
  <c r="S35" i="90"/>
  <c r="S5" i="91" s="1"/>
  <c r="G35" i="90" l="1"/>
  <c r="G34" i="90" l="1"/>
  <c r="S22" i="90" l="1"/>
  <c r="S20" i="90"/>
  <c r="B33" i="90" l="1"/>
  <c r="G33" i="90" l="1"/>
  <c r="G32" i="90" l="1"/>
  <c r="Y32" i="90" l="1"/>
  <c r="N36" i="91" l="1"/>
  <c r="K36" i="91"/>
  <c r="J36" i="91"/>
  <c r="H36" i="91"/>
  <c r="C36" i="91"/>
  <c r="R35" i="91"/>
  <c r="M35" i="91"/>
  <c r="F35" i="91"/>
  <c r="R34" i="91"/>
  <c r="M34" i="91"/>
  <c r="F34" i="91"/>
  <c r="R33" i="91"/>
  <c r="M33" i="91"/>
  <c r="F33" i="91"/>
  <c r="R32" i="91"/>
  <c r="M32" i="91"/>
  <c r="F32" i="91"/>
  <c r="R31" i="91"/>
  <c r="M31" i="91"/>
  <c r="F31" i="91"/>
  <c r="R30" i="91"/>
  <c r="M30" i="91"/>
  <c r="F30" i="91"/>
  <c r="M29" i="91"/>
  <c r="F29" i="91"/>
  <c r="M28" i="91"/>
  <c r="R28" i="91"/>
  <c r="F28" i="91"/>
  <c r="M27" i="91"/>
  <c r="R27" i="91"/>
  <c r="F27" i="91"/>
  <c r="R26" i="91"/>
  <c r="M26" i="91"/>
  <c r="F26" i="91"/>
  <c r="M25" i="91"/>
  <c r="R25" i="91"/>
  <c r="F25" i="91"/>
  <c r="R24" i="91"/>
  <c r="M24" i="91"/>
  <c r="F24" i="91"/>
  <c r="R23" i="91"/>
  <c r="M23" i="91"/>
  <c r="F23" i="91"/>
  <c r="R22" i="91"/>
  <c r="M22" i="91"/>
  <c r="F22" i="91"/>
  <c r="R21" i="91"/>
  <c r="M21" i="91"/>
  <c r="F21" i="91"/>
  <c r="R20" i="91"/>
  <c r="M20" i="91"/>
  <c r="F20" i="91"/>
  <c r="M19" i="91"/>
  <c r="R19" i="91"/>
  <c r="F19" i="91"/>
  <c r="M18" i="91"/>
  <c r="R18" i="91"/>
  <c r="F18" i="91"/>
  <c r="R17" i="91"/>
  <c r="M17" i="91"/>
  <c r="F17" i="91"/>
  <c r="R16" i="91"/>
  <c r="M16" i="91"/>
  <c r="F16" i="91"/>
  <c r="R15" i="91"/>
  <c r="M15" i="91"/>
  <c r="F15" i="91"/>
  <c r="AE14" i="91"/>
  <c r="M14" i="91"/>
  <c r="R14" i="91"/>
  <c r="F14" i="91"/>
  <c r="R13" i="91"/>
  <c r="M13" i="91"/>
  <c r="F13" i="91"/>
  <c r="R12" i="91"/>
  <c r="M12" i="91"/>
  <c r="F12" i="91"/>
  <c r="M11" i="91"/>
  <c r="F11" i="91"/>
  <c r="R11" i="91"/>
  <c r="R10" i="91"/>
  <c r="M10" i="91"/>
  <c r="F10" i="91"/>
  <c r="R9" i="91"/>
  <c r="M9" i="91"/>
  <c r="F9" i="91"/>
  <c r="R8" i="91"/>
  <c r="M8" i="91"/>
  <c r="F8" i="91"/>
  <c r="M7" i="91"/>
  <c r="F7" i="91"/>
  <c r="AG6" i="91"/>
  <c r="M6" i="91"/>
  <c r="F6" i="91"/>
  <c r="M5" i="91"/>
  <c r="F5" i="91"/>
  <c r="B36" i="91" l="1"/>
  <c r="R5" i="91"/>
  <c r="R6" i="91"/>
  <c r="G36" i="91"/>
  <c r="F36" i="91"/>
  <c r="M36" i="91"/>
  <c r="S36" i="91"/>
  <c r="Z39" i="91" s="1"/>
  <c r="R7" i="91"/>
  <c r="D36" i="91"/>
  <c r="AE13" i="91"/>
  <c r="R29" i="91"/>
  <c r="B31" i="90"/>
  <c r="R36" i="91" l="1"/>
  <c r="P36" i="91"/>
  <c r="B29" i="90" l="1"/>
  <c r="T32" i="90" l="1"/>
  <c r="N45" i="90" s="1"/>
  <c r="S32" i="90"/>
  <c r="D32" i="90" l="1"/>
  <c r="G29" i="90"/>
  <c r="Z29" i="90" l="1"/>
  <c r="U29" i="90"/>
  <c r="M59" i="90"/>
  <c r="G28" i="90" l="1"/>
  <c r="D25" i="90" l="1"/>
  <c r="D13" i="90" l="1"/>
  <c r="AG6" i="90" l="1"/>
  <c r="D14" i="90" l="1"/>
  <c r="D28" i="90"/>
  <c r="G27" i="90" l="1"/>
  <c r="D27" i="90" l="1"/>
  <c r="G26" i="90"/>
  <c r="T25" i="90" l="1"/>
  <c r="G25" i="90" l="1"/>
  <c r="U25" i="90" l="1"/>
  <c r="S25" i="90"/>
  <c r="S27" i="90" s="1"/>
  <c r="S28" i="90" s="1"/>
  <c r="M61" i="90"/>
  <c r="N61" i="90" s="1"/>
  <c r="M60" i="90"/>
  <c r="T22" i="90"/>
  <c r="G22" i="90" l="1"/>
  <c r="D22" i="90" l="1"/>
  <c r="D21" i="90" l="1"/>
  <c r="G20" i="90" l="1"/>
  <c r="D20" i="90" l="1"/>
  <c r="G19" i="90" l="1"/>
  <c r="D19" i="90" l="1"/>
  <c r="G18" i="90" l="1"/>
  <c r="Q57" i="90" l="1"/>
  <c r="D18" i="90" l="1"/>
  <c r="U18" i="90" l="1"/>
  <c r="Z18" i="90"/>
  <c r="T18" i="90"/>
  <c r="G15" i="90" l="1"/>
  <c r="M58" i="90" l="1"/>
  <c r="Z35" i="90" s="1"/>
  <c r="Z5" i="91" l="1"/>
  <c r="N76" i="91" s="1"/>
  <c r="Z40" i="91" s="1"/>
  <c r="N59" i="90"/>
  <c r="U20" i="90"/>
  <c r="G14" i="90"/>
  <c r="S14" i="90" l="1"/>
  <c r="T14" i="90"/>
  <c r="AE14" i="90" l="1"/>
  <c r="G13" i="90" l="1"/>
  <c r="D12" i="90" l="1"/>
  <c r="AE13" i="90" s="1"/>
  <c r="G12" i="90" l="1"/>
  <c r="B11" i="90" l="1"/>
  <c r="S13" i="90" l="1"/>
  <c r="Y12" i="90" l="1"/>
  <c r="G11" i="90" l="1"/>
  <c r="T11" i="90" l="1"/>
  <c r="Y11" i="90" l="1"/>
  <c r="W11" i="90" l="1"/>
  <c r="S10" i="90" l="1"/>
  <c r="G8" i="90" l="1"/>
  <c r="S7" i="90" l="1"/>
  <c r="S6" i="90"/>
  <c r="B7" i="90" l="1"/>
  <c r="Y8" i="90"/>
  <c r="G7" i="90" l="1"/>
  <c r="S5" i="90" l="1"/>
  <c r="U7" i="90"/>
  <c r="Y7" i="90"/>
  <c r="T7" i="90" l="1"/>
  <c r="G6" i="90" l="1"/>
  <c r="B5" i="90" l="1"/>
  <c r="G5" i="90" l="1"/>
  <c r="N54" i="90" l="1"/>
  <c r="N53" i="90"/>
  <c r="N62" i="90" l="1"/>
  <c r="Y5" i="90"/>
  <c r="B35" i="89" l="1"/>
  <c r="U10" i="90" l="1"/>
  <c r="N36" i="90"/>
  <c r="K36" i="90"/>
  <c r="J36" i="90"/>
  <c r="H36" i="90"/>
  <c r="C36" i="90"/>
  <c r="B36" i="90"/>
  <c r="R35" i="90"/>
  <c r="M35" i="90"/>
  <c r="F35" i="90"/>
  <c r="R34" i="90"/>
  <c r="M34" i="90"/>
  <c r="F34" i="90"/>
  <c r="R33" i="90"/>
  <c r="M33" i="90"/>
  <c r="F33" i="90"/>
  <c r="M32" i="90"/>
  <c r="R32" i="90"/>
  <c r="F32" i="90"/>
  <c r="M31" i="90"/>
  <c r="R31" i="90"/>
  <c r="F31" i="90"/>
  <c r="M30" i="90"/>
  <c r="R30" i="90"/>
  <c r="F30" i="90"/>
  <c r="R29" i="90"/>
  <c r="M29" i="90"/>
  <c r="F29" i="90"/>
  <c r="R28" i="90"/>
  <c r="M28" i="90"/>
  <c r="F28" i="90"/>
  <c r="R27" i="90"/>
  <c r="M27" i="90"/>
  <c r="F27" i="90"/>
  <c r="R26" i="90"/>
  <c r="M26" i="90"/>
  <c r="F26" i="90"/>
  <c r="M25" i="90"/>
  <c r="R25" i="90"/>
  <c r="F25" i="90"/>
  <c r="R24" i="90"/>
  <c r="M24" i="90"/>
  <c r="F24" i="90"/>
  <c r="M23" i="90"/>
  <c r="F23" i="90"/>
  <c r="R23" i="90"/>
  <c r="M22" i="90"/>
  <c r="R22" i="90"/>
  <c r="F22" i="90"/>
  <c r="R21" i="90"/>
  <c r="M21" i="90"/>
  <c r="F21" i="90"/>
  <c r="R20" i="90"/>
  <c r="M20" i="90"/>
  <c r="F20" i="90"/>
  <c r="R19" i="90"/>
  <c r="M19" i="90"/>
  <c r="F19" i="90"/>
  <c r="M18" i="90"/>
  <c r="R18" i="90"/>
  <c r="F18" i="90"/>
  <c r="R17" i="90"/>
  <c r="M17" i="90"/>
  <c r="F17" i="90"/>
  <c r="R16" i="90"/>
  <c r="M16" i="90"/>
  <c r="F16" i="90"/>
  <c r="M15" i="90"/>
  <c r="R15" i="90"/>
  <c r="F15" i="90"/>
  <c r="M14" i="90"/>
  <c r="R14" i="90"/>
  <c r="F14" i="90"/>
  <c r="R13" i="90"/>
  <c r="M13" i="90"/>
  <c r="F13" i="90"/>
  <c r="R12" i="90"/>
  <c r="M12" i="90"/>
  <c r="F12" i="90"/>
  <c r="M11" i="90"/>
  <c r="R11" i="90"/>
  <c r="F11" i="90"/>
  <c r="M10" i="90"/>
  <c r="F10" i="90"/>
  <c r="R9" i="90"/>
  <c r="M9" i="90"/>
  <c r="F9" i="90"/>
  <c r="R8" i="90"/>
  <c r="M8" i="90"/>
  <c r="F8" i="90"/>
  <c r="D36" i="90"/>
  <c r="M7" i="90"/>
  <c r="F7" i="90"/>
  <c r="R6" i="90"/>
  <c r="M6" i="90"/>
  <c r="F6" i="90"/>
  <c r="R5" i="90"/>
  <c r="M5" i="90"/>
  <c r="F5" i="90"/>
  <c r="D35" i="89"/>
  <c r="G35" i="89"/>
  <c r="Z5" i="90" l="1"/>
  <c r="F36" i="90"/>
  <c r="M36" i="90"/>
  <c r="S36" i="90"/>
  <c r="Z39" i="90" s="1"/>
  <c r="G36" i="90"/>
  <c r="P36" i="90" s="1"/>
  <c r="R7" i="90"/>
  <c r="R10" i="90"/>
  <c r="S35" i="89"/>
  <c r="G32" i="89"/>
  <c r="Z7" i="90" l="1"/>
  <c r="Z40" i="90" s="1"/>
  <c r="Z6" i="90"/>
  <c r="R36" i="90"/>
  <c r="N48" i="89"/>
  <c r="G31" i="89" l="1"/>
  <c r="T31" i="89" l="1"/>
  <c r="N45" i="89" s="1"/>
  <c r="T30" i="89"/>
  <c r="U31" i="89" l="1"/>
  <c r="G30" i="89"/>
  <c r="U30" i="89" l="1"/>
  <c r="U29" i="89"/>
  <c r="G29" i="89" l="1"/>
  <c r="G28" i="89" l="1"/>
  <c r="Z28" i="89" l="1"/>
  <c r="M50" i="89"/>
  <c r="N50" i="89" s="1"/>
  <c r="S28" i="89" l="1"/>
  <c r="T28" i="89"/>
  <c r="D26" i="89"/>
  <c r="G25" i="89"/>
  <c r="D28" i="89"/>
  <c r="S27" i="89" l="1"/>
  <c r="S26" i="89" l="1"/>
  <c r="M49" i="89" l="1"/>
  <c r="N49" i="89" s="1"/>
  <c r="G24" i="89" l="1"/>
  <c r="S23" i="89"/>
  <c r="B23" i="89" l="1"/>
  <c r="T24" i="89" l="1"/>
  <c r="G23" i="89"/>
  <c r="N47" i="89" l="1"/>
  <c r="T23" i="89"/>
  <c r="N46" i="89" l="1"/>
  <c r="G22" i="89" l="1"/>
  <c r="S22" i="89" l="1"/>
  <c r="D22" i="89"/>
  <c r="G21" i="89" l="1"/>
  <c r="G18" i="89" l="1"/>
  <c r="S18" i="89" l="1"/>
  <c r="D18" i="89" l="1"/>
  <c r="G17" i="89" l="1"/>
  <c r="S17" i="89" l="1"/>
  <c r="G16" i="89" l="1"/>
  <c r="S16" i="89" l="1"/>
  <c r="D16" i="89"/>
  <c r="G15" i="89" l="1"/>
  <c r="M52" i="89" l="1"/>
  <c r="M51" i="89"/>
  <c r="U27" i="89" l="1"/>
  <c r="U28" i="89" s="1"/>
  <c r="U16" i="89"/>
  <c r="U18" i="89" s="1"/>
  <c r="Z17" i="89"/>
  <c r="Z18" i="89" s="1"/>
  <c r="Z23" i="89" s="1"/>
  <c r="G14" i="89"/>
  <c r="G11" i="89" l="1"/>
  <c r="S14" i="89" l="1"/>
  <c r="T14" i="89" l="1"/>
  <c r="B10" i="89" l="1"/>
  <c r="G10" i="89" l="1"/>
  <c r="G9" i="89" l="1"/>
  <c r="U9" i="89" l="1"/>
  <c r="S9" i="89"/>
  <c r="G8" i="89" l="1"/>
  <c r="Z8" i="89" l="1"/>
  <c r="U8" i="89"/>
  <c r="T8" i="89"/>
  <c r="D8" i="89" l="1"/>
  <c r="G7" i="89"/>
  <c r="S8" i="89" l="1"/>
  <c r="S7" i="89" l="1"/>
  <c r="T7" i="89" l="1"/>
  <c r="N53" i="89" l="1"/>
  <c r="U5" i="89"/>
  <c r="V5" i="89"/>
  <c r="W5" i="89"/>
  <c r="X5" i="89"/>
  <c r="Y5" i="89"/>
  <c r="Z5" i="89"/>
  <c r="T5" i="89"/>
  <c r="G34" i="88" l="1"/>
  <c r="S34" i="88" l="1"/>
  <c r="S5" i="89" s="1"/>
  <c r="D34" i="88"/>
  <c r="S33" i="88" l="1"/>
  <c r="G23" i="88" l="1"/>
  <c r="G32" i="88"/>
  <c r="S32" i="88" l="1"/>
  <c r="B30" i="88"/>
  <c r="G30" i="88" l="1"/>
  <c r="G27" i="88" l="1"/>
  <c r="D30" i="88"/>
  <c r="S30" i="88" s="1"/>
  <c r="S27" i="88" l="1"/>
  <c r="N50" i="88" l="1"/>
  <c r="N48" i="88"/>
  <c r="Z26" i="88" l="1"/>
  <c r="U26" i="88"/>
  <c r="S25" i="88" l="1"/>
  <c r="G25" i="88" l="1"/>
  <c r="S24" i="88" l="1"/>
  <c r="S23" i="88"/>
  <c r="S22" i="88" l="1"/>
  <c r="G20" i="88" l="1"/>
  <c r="S21" i="88" l="1"/>
  <c r="G18" i="88" l="1"/>
  <c r="Z17" i="88" l="1"/>
  <c r="S17" i="88"/>
  <c r="G17" i="88"/>
  <c r="S16" i="88" l="1"/>
  <c r="AK38" i="88" l="1"/>
  <c r="M49" i="88" l="1"/>
  <c r="M47" i="88"/>
  <c r="Z22" i="88" l="1"/>
  <c r="Z15" i="88"/>
  <c r="U25" i="88"/>
  <c r="U17" i="88"/>
  <c r="S13" i="88"/>
  <c r="S14" i="88" l="1"/>
  <c r="S15" i="88"/>
  <c r="G13" i="88"/>
  <c r="Z7" i="86" l="1"/>
  <c r="U5" i="86"/>
  <c r="U7" i="86" s="1"/>
  <c r="T21" i="86"/>
  <c r="T22" i="86" s="1"/>
  <c r="T23" i="86" s="1"/>
  <c r="T24" i="86" s="1"/>
  <c r="T25" i="86" s="1"/>
  <c r="T26" i="86" s="1"/>
  <c r="T31" i="86" s="1"/>
  <c r="T20" i="86"/>
  <c r="G12" i="88" l="1"/>
  <c r="G11" i="88" l="1"/>
  <c r="N36" i="89"/>
  <c r="K36" i="89"/>
  <c r="J36" i="89"/>
  <c r="H36" i="89"/>
  <c r="C36" i="89"/>
  <c r="B36" i="89"/>
  <c r="R35" i="89"/>
  <c r="M35" i="89"/>
  <c r="F35" i="89"/>
  <c r="R34" i="89"/>
  <c r="M34" i="89"/>
  <c r="F34" i="89"/>
  <c r="R33" i="89"/>
  <c r="M33" i="89"/>
  <c r="F33" i="89"/>
  <c r="R32" i="89"/>
  <c r="M32" i="89"/>
  <c r="F32" i="89"/>
  <c r="R31" i="89"/>
  <c r="M31" i="89"/>
  <c r="F31" i="89"/>
  <c r="R30" i="89"/>
  <c r="M30" i="89"/>
  <c r="F30" i="89"/>
  <c r="R29" i="89"/>
  <c r="M29" i="89"/>
  <c r="F29" i="89"/>
  <c r="R28" i="89"/>
  <c r="M28" i="89"/>
  <c r="F28" i="89"/>
  <c r="R27" i="89"/>
  <c r="M27" i="89"/>
  <c r="F27" i="89"/>
  <c r="R26" i="89"/>
  <c r="M26" i="89"/>
  <c r="F26" i="89"/>
  <c r="R25" i="89"/>
  <c r="M25" i="89"/>
  <c r="F25" i="89"/>
  <c r="R24" i="89"/>
  <c r="M24" i="89"/>
  <c r="F24" i="89"/>
  <c r="R23" i="89"/>
  <c r="M23" i="89"/>
  <c r="F23" i="89"/>
  <c r="R22" i="89"/>
  <c r="M22" i="89"/>
  <c r="F22" i="89"/>
  <c r="R21" i="89"/>
  <c r="M21" i="89"/>
  <c r="F21" i="89"/>
  <c r="R20" i="89"/>
  <c r="M20" i="89"/>
  <c r="F20" i="89"/>
  <c r="R19" i="89"/>
  <c r="M19" i="89"/>
  <c r="F19" i="89"/>
  <c r="R18" i="89"/>
  <c r="M18" i="89"/>
  <c r="F18" i="89"/>
  <c r="R17" i="89"/>
  <c r="M17" i="89"/>
  <c r="F17" i="89"/>
  <c r="R16" i="89"/>
  <c r="M16" i="89"/>
  <c r="F16" i="89"/>
  <c r="R15" i="89"/>
  <c r="M15" i="89"/>
  <c r="F15" i="89"/>
  <c r="R14" i="89"/>
  <c r="M14" i="89"/>
  <c r="F14" i="89"/>
  <c r="R13" i="89"/>
  <c r="M13" i="89"/>
  <c r="F13" i="89"/>
  <c r="R12" i="89"/>
  <c r="M12" i="89"/>
  <c r="F12" i="89"/>
  <c r="R11" i="89"/>
  <c r="M11" i="89"/>
  <c r="F11" i="89"/>
  <c r="Z40" i="89"/>
  <c r="R10" i="89"/>
  <c r="M10" i="89"/>
  <c r="F10" i="89"/>
  <c r="M9" i="89"/>
  <c r="F9" i="89"/>
  <c r="R8" i="89"/>
  <c r="M8" i="89"/>
  <c r="F8" i="89"/>
  <c r="R7" i="89"/>
  <c r="M7" i="89"/>
  <c r="F7" i="89"/>
  <c r="R6" i="89"/>
  <c r="M6" i="89"/>
  <c r="F6" i="89"/>
  <c r="D36" i="89"/>
  <c r="AF5" i="89"/>
  <c r="AB5" i="89"/>
  <c r="AA5" i="89"/>
  <c r="R5" i="89"/>
  <c r="M5" i="89"/>
  <c r="F5" i="89"/>
  <c r="M36" i="89" l="1"/>
  <c r="R9" i="89"/>
  <c r="R36" i="89" s="1"/>
  <c r="G36" i="89"/>
  <c r="P36" i="89" s="1"/>
  <c r="F36" i="89"/>
  <c r="S36" i="89"/>
  <c r="Z39" i="89" s="1"/>
  <c r="G10" i="88" l="1"/>
  <c r="G9" i="88" l="1"/>
  <c r="D10" i="88" l="1"/>
  <c r="AI5" i="88" l="1"/>
  <c r="S10" i="88" s="1"/>
  <c r="D9" i="88" l="1"/>
  <c r="S9" i="88"/>
  <c r="S6" i="88" l="1"/>
  <c r="G6" i="88"/>
  <c r="G5" i="88" l="1"/>
  <c r="D6" i="88"/>
  <c r="V5" i="88" l="1"/>
  <c r="W5" i="88"/>
  <c r="X5" i="88"/>
  <c r="Y5" i="88"/>
  <c r="S5" i="88"/>
  <c r="G35" i="87" l="1"/>
  <c r="G34" i="87" l="1"/>
  <c r="N36" i="88" l="1"/>
  <c r="K36" i="88"/>
  <c r="J36" i="88"/>
  <c r="H36" i="88"/>
  <c r="C36" i="88"/>
  <c r="B36" i="88"/>
  <c r="R35" i="88"/>
  <c r="M35" i="88"/>
  <c r="F35" i="88"/>
  <c r="R34" i="88"/>
  <c r="M34" i="88"/>
  <c r="F34" i="88"/>
  <c r="M33" i="88"/>
  <c r="R33" i="88"/>
  <c r="F33" i="88"/>
  <c r="R32" i="88"/>
  <c r="M32" i="88"/>
  <c r="F32" i="88"/>
  <c r="R31" i="88"/>
  <c r="M31" i="88"/>
  <c r="F31" i="88"/>
  <c r="M30" i="88"/>
  <c r="R30" i="88"/>
  <c r="F30" i="88"/>
  <c r="M29" i="88"/>
  <c r="R29" i="88"/>
  <c r="F29" i="88"/>
  <c r="M28" i="88"/>
  <c r="R28" i="88"/>
  <c r="F28" i="88"/>
  <c r="M27" i="88"/>
  <c r="R27" i="88"/>
  <c r="F27" i="88"/>
  <c r="M26" i="88"/>
  <c r="R26" i="88"/>
  <c r="F26" i="88"/>
  <c r="R25" i="88"/>
  <c r="M25" i="88"/>
  <c r="F25" i="88"/>
  <c r="R24" i="88"/>
  <c r="M24" i="88"/>
  <c r="F24" i="88"/>
  <c r="M23" i="88"/>
  <c r="R23" i="88"/>
  <c r="F23" i="88"/>
  <c r="M22" i="88"/>
  <c r="R22" i="88"/>
  <c r="F22" i="88"/>
  <c r="M21" i="88"/>
  <c r="R21" i="88"/>
  <c r="F21" i="88"/>
  <c r="R20" i="88"/>
  <c r="M20" i="88"/>
  <c r="F20" i="88"/>
  <c r="M19" i="88"/>
  <c r="R19" i="88"/>
  <c r="F19" i="88"/>
  <c r="R18" i="88"/>
  <c r="M18" i="88"/>
  <c r="F18" i="88"/>
  <c r="R17" i="88"/>
  <c r="F17" i="88"/>
  <c r="M16" i="88"/>
  <c r="R16" i="88"/>
  <c r="F16" i="88"/>
  <c r="M15" i="88"/>
  <c r="R15" i="88"/>
  <c r="F15" i="88"/>
  <c r="M14" i="88"/>
  <c r="R14" i="88"/>
  <c r="F14" i="88"/>
  <c r="R13" i="88"/>
  <c r="M13" i="88"/>
  <c r="F13" i="88"/>
  <c r="R12" i="88"/>
  <c r="M12" i="88"/>
  <c r="F12" i="88"/>
  <c r="R11" i="88"/>
  <c r="M11" i="88"/>
  <c r="F11" i="88"/>
  <c r="R10" i="88"/>
  <c r="M10" i="88"/>
  <c r="F10" i="88"/>
  <c r="M9" i="88"/>
  <c r="R9" i="88"/>
  <c r="F9" i="88"/>
  <c r="M8" i="88"/>
  <c r="R8" i="88"/>
  <c r="F8" i="88"/>
  <c r="M7" i="88"/>
  <c r="R7" i="88"/>
  <c r="F7" i="88"/>
  <c r="M6" i="88"/>
  <c r="F6" i="88"/>
  <c r="AF5" i="88"/>
  <c r="AE5" i="88"/>
  <c r="AD5" i="88"/>
  <c r="AC5" i="88"/>
  <c r="AB5" i="88"/>
  <c r="AA5" i="88"/>
  <c r="R5" i="88"/>
  <c r="M5" i="88"/>
  <c r="F5" i="88"/>
  <c r="S36" i="88" l="1"/>
  <c r="Z39" i="88" s="1"/>
  <c r="D36" i="88"/>
  <c r="M36" i="88"/>
  <c r="G36" i="88"/>
  <c r="P36" i="88" s="1"/>
  <c r="R6" i="88"/>
  <c r="R36" i="88" s="1"/>
  <c r="F36" i="88"/>
  <c r="G33" i="87"/>
  <c r="S33" i="87" l="1"/>
  <c r="S30" i="87"/>
  <c r="G30" i="87" l="1"/>
  <c r="D30" i="87" l="1"/>
  <c r="G29" i="87" l="1"/>
  <c r="S29" i="87" l="1"/>
  <c r="G28" i="87" l="1"/>
  <c r="G27" i="87" l="1"/>
  <c r="S28" i="87"/>
  <c r="D28" i="87"/>
  <c r="G26" i="87" l="1"/>
  <c r="D26" i="87" l="1"/>
  <c r="W26" i="87" s="1"/>
  <c r="M50" i="87" l="1"/>
  <c r="M48" i="87"/>
  <c r="G23" i="87" l="1"/>
  <c r="G22" i="87" l="1"/>
  <c r="S22" i="87" l="1"/>
  <c r="G21" i="87" l="1"/>
  <c r="W21" i="87" l="1"/>
  <c r="S21" i="87" l="1"/>
  <c r="G19" i="87" l="1"/>
  <c r="D20" i="87"/>
  <c r="G16" i="87" l="1"/>
  <c r="D16" i="87" l="1"/>
  <c r="S16" i="87"/>
  <c r="G15" i="87" l="1"/>
  <c r="M49" i="87" l="1"/>
  <c r="M47" i="87"/>
  <c r="G14" i="87" l="1"/>
  <c r="S14" i="87" l="1"/>
  <c r="D14" i="87"/>
  <c r="G9" i="87" l="1"/>
  <c r="G8" i="87" l="1"/>
  <c r="S8" i="87" l="1"/>
  <c r="S9" i="87" s="1"/>
  <c r="G7" i="87" l="1"/>
  <c r="D8" i="87" l="1"/>
  <c r="S7" i="87" l="1"/>
  <c r="G6" i="87" l="1"/>
  <c r="S6" i="87" l="1"/>
  <c r="D6" i="87"/>
  <c r="S5" i="87" l="1"/>
  <c r="V5" i="87"/>
  <c r="X5" i="87"/>
  <c r="Y5" i="87"/>
  <c r="T5" i="87"/>
  <c r="T7" i="87" s="1"/>
  <c r="T8" i="87" s="1"/>
  <c r="T9" i="87" s="1"/>
  <c r="T14" i="87" s="1"/>
  <c r="T16" i="87" s="1"/>
  <c r="T29" i="87" s="1"/>
  <c r="T35" i="87" s="1"/>
  <c r="N45" i="86"/>
  <c r="T5" i="88" l="1"/>
  <c r="T6" i="88" s="1"/>
  <c r="T7" i="88" s="1"/>
  <c r="T8" i="88" s="1"/>
  <c r="T9" i="88" s="1"/>
  <c r="T10" i="88" s="1"/>
  <c r="T16" i="88" s="1"/>
  <c r="T17" i="88" s="1"/>
  <c r="T23" i="88" s="1"/>
  <c r="T25" i="88" s="1"/>
  <c r="T27" i="88" s="1"/>
  <c r="T30" i="88" s="1"/>
  <c r="T33" i="88" s="1"/>
  <c r="N46" i="88" s="1"/>
  <c r="N51" i="88" s="1"/>
  <c r="N46" i="87"/>
  <c r="G34" i="86"/>
  <c r="N36" i="87" l="1"/>
  <c r="K36" i="87"/>
  <c r="J36" i="87"/>
  <c r="H36" i="87"/>
  <c r="C36" i="87"/>
  <c r="B36" i="87"/>
  <c r="R35" i="87"/>
  <c r="M35" i="87"/>
  <c r="F35" i="87"/>
  <c r="R34" i="87"/>
  <c r="M34" i="87"/>
  <c r="F34" i="87"/>
  <c r="R33" i="87"/>
  <c r="M33" i="87"/>
  <c r="F33" i="87"/>
  <c r="R32" i="87"/>
  <c r="M32" i="87"/>
  <c r="F32" i="87"/>
  <c r="M31" i="87"/>
  <c r="R31" i="87"/>
  <c r="F31" i="87"/>
  <c r="M30" i="87"/>
  <c r="R30" i="87"/>
  <c r="F30" i="87"/>
  <c r="M29" i="87"/>
  <c r="R29" i="87"/>
  <c r="F29" i="87"/>
  <c r="M28" i="87"/>
  <c r="R28" i="87"/>
  <c r="F28" i="87"/>
  <c r="R27" i="87"/>
  <c r="M27" i="87"/>
  <c r="F27" i="87"/>
  <c r="R26" i="87"/>
  <c r="M26" i="87"/>
  <c r="F26" i="87"/>
  <c r="R25" i="87"/>
  <c r="M25" i="87"/>
  <c r="F25" i="87"/>
  <c r="M24" i="87"/>
  <c r="R24" i="87"/>
  <c r="F24" i="87"/>
  <c r="R23" i="87"/>
  <c r="M23" i="87"/>
  <c r="F23" i="87"/>
  <c r="M22" i="87"/>
  <c r="R22" i="87"/>
  <c r="F22" i="87"/>
  <c r="M21" i="87"/>
  <c r="R21" i="87"/>
  <c r="F21" i="87"/>
  <c r="R20" i="87"/>
  <c r="M20" i="87"/>
  <c r="F20" i="87"/>
  <c r="R19" i="87"/>
  <c r="M19" i="87"/>
  <c r="F19" i="87"/>
  <c r="M18" i="87"/>
  <c r="R18" i="87"/>
  <c r="F18" i="87"/>
  <c r="R17" i="87"/>
  <c r="M17" i="87"/>
  <c r="F17" i="87"/>
  <c r="M16" i="87"/>
  <c r="R16" i="87"/>
  <c r="F16" i="87"/>
  <c r="M15" i="87"/>
  <c r="R15" i="87"/>
  <c r="F15" i="87"/>
  <c r="R14" i="87"/>
  <c r="M14" i="87"/>
  <c r="F14" i="87"/>
  <c r="R13" i="87"/>
  <c r="M13" i="87"/>
  <c r="F13" i="87"/>
  <c r="R12" i="87"/>
  <c r="M12" i="87"/>
  <c r="F12" i="87"/>
  <c r="M11" i="87"/>
  <c r="R11" i="87"/>
  <c r="F11" i="87"/>
  <c r="M10" i="87"/>
  <c r="R10" i="87"/>
  <c r="F10" i="87"/>
  <c r="M9" i="87"/>
  <c r="R9" i="87"/>
  <c r="F9" i="87"/>
  <c r="M8" i="87"/>
  <c r="R8" i="87"/>
  <c r="F8" i="87"/>
  <c r="M7" i="87"/>
  <c r="R7" i="87"/>
  <c r="F7" i="87"/>
  <c r="R6" i="87"/>
  <c r="M6" i="87"/>
  <c r="F6" i="87"/>
  <c r="AF5" i="87"/>
  <c r="AE5" i="87"/>
  <c r="AD5" i="87"/>
  <c r="AC5" i="87"/>
  <c r="AB5" i="87"/>
  <c r="AA5" i="87"/>
  <c r="S36" i="87"/>
  <c r="Z39" i="87" s="1"/>
  <c r="R5" i="87"/>
  <c r="M5" i="87"/>
  <c r="F5" i="87"/>
  <c r="M36" i="87" l="1"/>
  <c r="F36" i="87"/>
  <c r="R36" i="87"/>
  <c r="D36" i="87"/>
  <c r="G36" i="87"/>
  <c r="P36" i="87" s="1"/>
  <c r="G31" i="86"/>
  <c r="G30" i="86" l="1"/>
  <c r="S30" i="86" l="1"/>
  <c r="G29" i="86" l="1"/>
  <c r="D30" i="86"/>
  <c r="G28" i="86" l="1"/>
  <c r="S28" i="86" l="1"/>
  <c r="M48" i="86"/>
  <c r="U10" i="86" s="1"/>
  <c r="U17" i="86" s="1"/>
  <c r="U18" i="86" s="1"/>
  <c r="U23" i="86" s="1"/>
  <c r="M46" i="86"/>
  <c r="Z10" i="86" s="1"/>
  <c r="Z17" i="86" s="1"/>
  <c r="Z22" i="86" s="1"/>
  <c r="Z28" i="86" s="1"/>
  <c r="Z29" i="86" s="1"/>
  <c r="D28" i="86"/>
  <c r="S27" i="86"/>
  <c r="Z34" i="86" l="1"/>
  <c r="Z5" i="87" s="1"/>
  <c r="Z9" i="87" s="1"/>
  <c r="Z14" i="87" s="1"/>
  <c r="Z16" i="87" s="1"/>
  <c r="Z28" i="87" s="1"/>
  <c r="Z29" i="87" s="1"/>
  <c r="Z33" i="87" s="1"/>
  <c r="M49" i="86"/>
  <c r="N49" i="86" s="1"/>
  <c r="M47" i="86"/>
  <c r="N47" i="86" s="1"/>
  <c r="N50" i="86" s="1"/>
  <c r="Z35" i="87" l="1"/>
  <c r="Z5" i="88" s="1"/>
  <c r="Z6" i="88" s="1"/>
  <c r="Z7" i="88" s="1"/>
  <c r="Z40" i="88" s="1"/>
  <c r="N48" i="87"/>
  <c r="S25" i="86"/>
  <c r="D25" i="86"/>
  <c r="G24" i="86" l="1"/>
  <c r="S24" i="86" l="1"/>
  <c r="S23" i="86"/>
  <c r="U24" i="86"/>
  <c r="U29" i="86" s="1"/>
  <c r="U34" i="86" l="1"/>
  <c r="U5" i="87" s="1"/>
  <c r="U7" i="87" s="1"/>
  <c r="U9" i="87" s="1"/>
  <c r="U14" i="87" s="1"/>
  <c r="U16" i="87" s="1"/>
  <c r="U21" i="87" s="1"/>
  <c r="U22" i="87" s="1"/>
  <c r="U28" i="87" s="1"/>
  <c r="U30" i="87" s="1"/>
  <c r="S22" i="86"/>
  <c r="U35" i="87" l="1"/>
  <c r="U5" i="88" s="1"/>
  <c r="U6" i="88" s="1"/>
  <c r="U7" i="88" s="1"/>
  <c r="N50" i="87"/>
  <c r="N52" i="87" s="1"/>
  <c r="Z40" i="87" s="1"/>
  <c r="G22" i="86"/>
  <c r="D22" i="86" l="1"/>
  <c r="G21" i="86" l="1"/>
  <c r="S19" i="86" l="1"/>
  <c r="D19" i="86"/>
  <c r="G18" i="86" l="1"/>
  <c r="S18" i="86" l="1"/>
  <c r="S17" i="86" l="1"/>
  <c r="D17" i="86"/>
  <c r="G16" i="86" l="1"/>
  <c r="S15" i="86" l="1"/>
  <c r="G15" i="86" l="1"/>
  <c r="G11" i="86" l="1"/>
  <c r="G10" i="86" l="1"/>
  <c r="S10" i="86" l="1"/>
  <c r="G9" i="86" l="1"/>
  <c r="G8" i="86" l="1"/>
  <c r="S8" i="86" l="1"/>
  <c r="G7" i="86" l="1"/>
  <c r="S7" i="86" l="1"/>
  <c r="S5" i="86"/>
  <c r="S6" i="86" s="1"/>
  <c r="D7" i="86"/>
  <c r="G35" i="85" l="1"/>
  <c r="G34" i="85" l="1"/>
  <c r="Z5" i="86" l="1"/>
  <c r="T5" i="86"/>
  <c r="T6" i="86" s="1"/>
  <c r="T10" i="86" s="1"/>
  <c r="T15" i="86" s="1"/>
  <c r="S35" i="85"/>
  <c r="D35" i="85"/>
  <c r="U33" i="85"/>
  <c r="G33" i="85" l="1"/>
  <c r="S33" i="85" l="1"/>
  <c r="G32" i="85" l="1"/>
  <c r="U34" i="85" l="1"/>
  <c r="N44" i="85" s="1"/>
  <c r="S32" i="85" l="1"/>
  <c r="G31" i="85"/>
  <c r="S31" i="85" l="1"/>
  <c r="D31" i="85"/>
  <c r="G28" i="85" l="1"/>
  <c r="M45" i="84"/>
  <c r="T26" i="82"/>
  <c r="T30" i="82" s="1"/>
  <c r="T35" i="82" s="1"/>
  <c r="S26" i="85" l="1"/>
  <c r="G26" i="85" l="1"/>
  <c r="D26" i="85" l="1"/>
  <c r="S25" i="85" l="1"/>
  <c r="G25" i="85" l="1"/>
  <c r="M48" i="85" l="1"/>
  <c r="M46" i="85"/>
  <c r="G24" i="85" l="1"/>
  <c r="G21" i="85" l="1"/>
  <c r="S20" i="85" l="1"/>
  <c r="G20" i="85" l="1"/>
  <c r="G19" i="85" l="1"/>
  <c r="B18" i="85" l="1"/>
  <c r="S18" i="85" l="1"/>
  <c r="N36" i="86" l="1"/>
  <c r="K36" i="86"/>
  <c r="J36" i="86"/>
  <c r="H36" i="86"/>
  <c r="C36" i="86"/>
  <c r="B36" i="86"/>
  <c r="R35" i="86"/>
  <c r="M35" i="86"/>
  <c r="F35" i="86"/>
  <c r="R34" i="86"/>
  <c r="M34" i="86"/>
  <c r="F34" i="86"/>
  <c r="R33" i="86"/>
  <c r="M33" i="86"/>
  <c r="F33" i="86"/>
  <c r="R32" i="86"/>
  <c r="M32" i="86"/>
  <c r="F32" i="86"/>
  <c r="R31" i="86"/>
  <c r="M31" i="86"/>
  <c r="F31" i="86"/>
  <c r="R30" i="86"/>
  <c r="M30" i="86"/>
  <c r="F30" i="86"/>
  <c r="R29" i="86"/>
  <c r="M29" i="86"/>
  <c r="F29" i="86"/>
  <c r="R28" i="86"/>
  <c r="M28" i="86"/>
  <c r="F28" i="86"/>
  <c r="R27" i="86"/>
  <c r="M27" i="86"/>
  <c r="F27" i="86"/>
  <c r="R26" i="86"/>
  <c r="M26" i="86"/>
  <c r="F26" i="86"/>
  <c r="R25" i="86"/>
  <c r="M25" i="86"/>
  <c r="F25" i="86"/>
  <c r="R24" i="86"/>
  <c r="M24" i="86"/>
  <c r="F24" i="86"/>
  <c r="R23" i="86"/>
  <c r="M23" i="86"/>
  <c r="F23" i="86"/>
  <c r="R22" i="86"/>
  <c r="M22" i="86"/>
  <c r="F22" i="86"/>
  <c r="R21" i="86"/>
  <c r="M21" i="86"/>
  <c r="F21" i="86"/>
  <c r="R20" i="86"/>
  <c r="M20" i="86"/>
  <c r="F20" i="86"/>
  <c r="R19" i="86"/>
  <c r="M19" i="86"/>
  <c r="F19" i="86"/>
  <c r="R18" i="86"/>
  <c r="M18" i="86"/>
  <c r="F18" i="86"/>
  <c r="M17" i="86"/>
  <c r="R17" i="86"/>
  <c r="F17" i="86"/>
  <c r="R16" i="86"/>
  <c r="M16" i="86"/>
  <c r="F16" i="86"/>
  <c r="R15" i="86"/>
  <c r="M15" i="86"/>
  <c r="F15" i="86"/>
  <c r="M14" i="86"/>
  <c r="R14" i="86"/>
  <c r="F14" i="86"/>
  <c r="M13" i="86"/>
  <c r="R13" i="86"/>
  <c r="F13" i="86"/>
  <c r="R12" i="86"/>
  <c r="M12" i="86"/>
  <c r="F12" i="86"/>
  <c r="M11" i="86"/>
  <c r="R11" i="86"/>
  <c r="F11" i="86"/>
  <c r="M10" i="86"/>
  <c r="R10" i="86"/>
  <c r="F10" i="86"/>
  <c r="R9" i="86"/>
  <c r="M9" i="86"/>
  <c r="F9" i="86"/>
  <c r="R8" i="86"/>
  <c r="M8" i="86"/>
  <c r="F8" i="86"/>
  <c r="M7" i="86"/>
  <c r="F7" i="86"/>
  <c r="R6" i="86"/>
  <c r="M6" i="86"/>
  <c r="F6" i="86"/>
  <c r="AF5" i="86"/>
  <c r="AE5" i="86"/>
  <c r="AD5" i="86"/>
  <c r="AC5" i="86"/>
  <c r="AB5" i="86"/>
  <c r="AA5" i="86"/>
  <c r="R5" i="86"/>
  <c r="M5" i="86"/>
  <c r="F5" i="86"/>
  <c r="Z40" i="86" l="1"/>
  <c r="D36" i="86"/>
  <c r="F36" i="86"/>
  <c r="S36" i="86"/>
  <c r="Z39" i="86" s="1"/>
  <c r="M36" i="86"/>
  <c r="G36" i="86"/>
  <c r="P36" i="86" s="1"/>
  <c r="R7" i="86"/>
  <c r="R36" i="86" s="1"/>
  <c r="G17" i="85"/>
  <c r="M47" i="85" l="1"/>
  <c r="M45" i="85"/>
  <c r="D17" i="85" l="1"/>
  <c r="G14" i="85" l="1"/>
  <c r="S14" i="85" l="1"/>
  <c r="D14" i="85"/>
  <c r="G13" i="85"/>
  <c r="S13" i="85" l="1"/>
  <c r="D13" i="85"/>
  <c r="G11" i="85" l="1"/>
  <c r="S11" i="85" l="1"/>
  <c r="G10" i="85" l="1"/>
  <c r="S8" i="85" l="1"/>
  <c r="G7" i="85" l="1"/>
  <c r="G6" i="85" l="1"/>
  <c r="AA5" i="85" l="1"/>
  <c r="V5" i="85"/>
  <c r="V6" i="85" s="1"/>
  <c r="V17" i="85" s="1"/>
  <c r="V18" i="85" s="1"/>
  <c r="N36" i="85"/>
  <c r="K36" i="85"/>
  <c r="J36" i="85"/>
  <c r="H36" i="85"/>
  <c r="C36" i="85"/>
  <c r="B36" i="85"/>
  <c r="R35" i="85"/>
  <c r="M35" i="85"/>
  <c r="F35" i="85"/>
  <c r="R34" i="85"/>
  <c r="M34" i="85"/>
  <c r="F34" i="85"/>
  <c r="R33" i="85"/>
  <c r="M33" i="85"/>
  <c r="F33" i="85"/>
  <c r="R32" i="85"/>
  <c r="M32" i="85"/>
  <c r="F32" i="85"/>
  <c r="M31" i="85"/>
  <c r="R31" i="85"/>
  <c r="F31" i="85"/>
  <c r="R30" i="85"/>
  <c r="M30" i="85"/>
  <c r="F30" i="85"/>
  <c r="R29" i="85"/>
  <c r="M29" i="85"/>
  <c r="F29" i="85"/>
  <c r="R28" i="85"/>
  <c r="M28" i="85"/>
  <c r="F28" i="85"/>
  <c r="R27" i="85"/>
  <c r="M27" i="85"/>
  <c r="F27" i="85"/>
  <c r="M26" i="85"/>
  <c r="R26" i="85"/>
  <c r="F26" i="85"/>
  <c r="R25" i="85"/>
  <c r="M25" i="85"/>
  <c r="F25" i="85"/>
  <c r="R24" i="85"/>
  <c r="M24" i="85"/>
  <c r="F24" i="85"/>
  <c r="R23" i="85"/>
  <c r="M23" i="85"/>
  <c r="F23" i="85"/>
  <c r="R22" i="85"/>
  <c r="M22" i="85"/>
  <c r="F22" i="85"/>
  <c r="M21" i="85"/>
  <c r="R21" i="85"/>
  <c r="F21" i="85"/>
  <c r="M20" i="85"/>
  <c r="R20" i="85"/>
  <c r="F20" i="85"/>
  <c r="M19" i="85"/>
  <c r="R19" i="85"/>
  <c r="F19" i="85"/>
  <c r="R18" i="85"/>
  <c r="M18" i="85"/>
  <c r="F18" i="85"/>
  <c r="R17" i="85"/>
  <c r="M17" i="85"/>
  <c r="F17" i="85"/>
  <c r="R16" i="85"/>
  <c r="M16" i="85"/>
  <c r="F16" i="85"/>
  <c r="R15" i="85"/>
  <c r="M15" i="85"/>
  <c r="F15" i="85"/>
  <c r="M14" i="85"/>
  <c r="R14" i="85"/>
  <c r="F14" i="85"/>
  <c r="R13" i="85"/>
  <c r="M13" i="85"/>
  <c r="F13" i="85"/>
  <c r="M12" i="85"/>
  <c r="R12" i="85"/>
  <c r="F12" i="85"/>
  <c r="M11" i="85"/>
  <c r="R11" i="85"/>
  <c r="F11" i="85"/>
  <c r="R10" i="85"/>
  <c r="M10" i="85"/>
  <c r="F10" i="85"/>
  <c r="D36" i="85"/>
  <c r="R9" i="85"/>
  <c r="M9" i="85"/>
  <c r="F9" i="85"/>
  <c r="R8" i="85"/>
  <c r="M8" i="85"/>
  <c r="F8" i="85"/>
  <c r="M7" i="85"/>
  <c r="R7" i="85"/>
  <c r="F7" i="85"/>
  <c r="R6" i="85"/>
  <c r="M6" i="85"/>
  <c r="F6" i="85"/>
  <c r="AG5" i="85"/>
  <c r="AF5" i="85"/>
  <c r="AE5" i="85"/>
  <c r="AD5" i="85"/>
  <c r="AC5" i="85"/>
  <c r="AB5" i="85"/>
  <c r="R5" i="85"/>
  <c r="M5" i="85"/>
  <c r="F5" i="85"/>
  <c r="AA6" i="85" l="1"/>
  <c r="AA7" i="85"/>
  <c r="V25" i="85"/>
  <c r="V26" i="85" s="1"/>
  <c r="V27" i="85" s="1"/>
  <c r="V28" i="85" s="1"/>
  <c r="V19" i="85"/>
  <c r="V20" i="85" s="1"/>
  <c r="V21" i="85" s="1"/>
  <c r="V22" i="85" s="1"/>
  <c r="V23" i="85" s="1"/>
  <c r="V24" i="85" s="1"/>
  <c r="F36" i="85"/>
  <c r="G36" i="85"/>
  <c r="P36" i="85" s="1"/>
  <c r="M36" i="85"/>
  <c r="R36" i="85"/>
  <c r="S36" i="85"/>
  <c r="AA39" i="85" s="1"/>
  <c r="G31" i="84"/>
  <c r="AA11" i="85" l="1"/>
  <c r="AA8" i="85"/>
  <c r="AA9" i="85" s="1"/>
  <c r="AA10" i="85" s="1"/>
  <c r="N48" i="85"/>
  <c r="V29" i="85"/>
  <c r="S31" i="84"/>
  <c r="AA12" i="85" l="1"/>
  <c r="AA13" i="85" s="1"/>
  <c r="AA14" i="85" s="1"/>
  <c r="AA15" i="85" s="1"/>
  <c r="AA16" i="85" s="1"/>
  <c r="AA17" i="85"/>
  <c r="AA18" i="85" s="1"/>
  <c r="G26" i="84"/>
  <c r="AA19" i="85" l="1"/>
  <c r="AA20" i="85"/>
  <c r="U15" i="84"/>
  <c r="U18" i="84" s="1"/>
  <c r="Z5" i="84"/>
  <c r="AA21" i="85" l="1"/>
  <c r="AA22" i="85" s="1"/>
  <c r="AA23" i="85" s="1"/>
  <c r="AA24" i="85"/>
  <c r="G25" i="84"/>
  <c r="AA25" i="85" l="1"/>
  <c r="AA26" i="85" s="1"/>
  <c r="AA27" i="85" s="1"/>
  <c r="AA28" i="85"/>
  <c r="D25" i="84"/>
  <c r="AA29" i="85" l="1"/>
  <c r="N46" i="85"/>
  <c r="M48" i="84"/>
  <c r="N48" i="84" s="1"/>
  <c r="M46" i="84"/>
  <c r="N46" i="84" s="1"/>
  <c r="G24" i="84" l="1"/>
  <c r="AI23" i="84" l="1"/>
  <c r="S26" i="84" l="1"/>
  <c r="D31" i="84"/>
  <c r="S25" i="84"/>
  <c r="G21" i="84"/>
  <c r="S24" i="84"/>
  <c r="D24" i="84"/>
  <c r="S23" i="84"/>
  <c r="G20" i="84" l="1"/>
  <c r="S19" i="84" l="1"/>
  <c r="G19" i="84" l="1"/>
  <c r="G18" i="84" l="1"/>
  <c r="G14" i="83" l="1"/>
  <c r="G26" i="82"/>
  <c r="G27" i="82"/>
  <c r="G24" i="82"/>
  <c r="G9" i="82"/>
  <c r="S17" i="84" l="1"/>
  <c r="D17" i="84"/>
  <c r="M47" i="84"/>
  <c r="G14" i="84"/>
  <c r="U19" i="84" l="1"/>
  <c r="U23" i="84" s="1"/>
  <c r="Z6" i="84"/>
  <c r="Z14" i="84" s="1"/>
  <c r="G13" i="84"/>
  <c r="Z17" i="84" l="1"/>
  <c r="Z18" i="84" s="1"/>
  <c r="Z19" i="84" s="1"/>
  <c r="S13" i="84"/>
  <c r="D13" i="84"/>
  <c r="S12" i="84"/>
  <c r="G12" i="84"/>
  <c r="G11" i="84" l="1"/>
  <c r="X11" i="84" l="1"/>
  <c r="D12" i="84"/>
  <c r="G10" i="84" l="1"/>
  <c r="D10" i="84" l="1"/>
  <c r="S10" i="84" l="1"/>
  <c r="G7" i="84" l="1"/>
  <c r="S6" i="84" l="1"/>
  <c r="G5" i="84"/>
  <c r="S5" i="84" l="1"/>
  <c r="G35" i="83" l="1"/>
  <c r="G34" i="83" l="1"/>
  <c r="U5" i="84" l="1"/>
  <c r="U6" i="84" s="1"/>
  <c r="U14" i="84" s="1"/>
  <c r="W5" i="84"/>
  <c r="X5" i="84"/>
  <c r="N36" i="84"/>
  <c r="K36" i="84"/>
  <c r="J36" i="84"/>
  <c r="H36" i="84"/>
  <c r="C36" i="84"/>
  <c r="B36" i="84"/>
  <c r="R35" i="84"/>
  <c r="M35" i="84"/>
  <c r="F35" i="84"/>
  <c r="R34" i="84"/>
  <c r="M34" i="84"/>
  <c r="F34" i="84"/>
  <c r="R33" i="84"/>
  <c r="M33" i="84"/>
  <c r="F33" i="84"/>
  <c r="R32" i="84"/>
  <c r="M32" i="84"/>
  <c r="F32" i="84"/>
  <c r="R31" i="84"/>
  <c r="M31" i="84"/>
  <c r="F31" i="84"/>
  <c r="R30" i="84"/>
  <c r="M30" i="84"/>
  <c r="F30" i="84"/>
  <c r="R29" i="84"/>
  <c r="M29" i="84"/>
  <c r="F29" i="84"/>
  <c r="R28" i="84"/>
  <c r="M28" i="84"/>
  <c r="F28" i="84"/>
  <c r="R27" i="84"/>
  <c r="M27" i="84"/>
  <c r="F27" i="84"/>
  <c r="R26" i="84"/>
  <c r="M26" i="84"/>
  <c r="F26" i="84"/>
  <c r="R25" i="84"/>
  <c r="M25" i="84"/>
  <c r="F25" i="84"/>
  <c r="R24" i="84"/>
  <c r="M24" i="84"/>
  <c r="F24" i="84"/>
  <c r="M23" i="84"/>
  <c r="R23" i="84"/>
  <c r="F23" i="84"/>
  <c r="M22" i="84"/>
  <c r="R22" i="84"/>
  <c r="F22" i="84"/>
  <c r="R21" i="84"/>
  <c r="M21" i="84"/>
  <c r="F21" i="84"/>
  <c r="R20" i="84"/>
  <c r="M20" i="84"/>
  <c r="F20" i="84"/>
  <c r="R19" i="84"/>
  <c r="M19" i="84"/>
  <c r="F19" i="84"/>
  <c r="R18" i="84"/>
  <c r="M18" i="84"/>
  <c r="F18" i="84"/>
  <c r="R17" i="84"/>
  <c r="M17" i="84"/>
  <c r="F17" i="84"/>
  <c r="R16" i="84"/>
  <c r="M16" i="84"/>
  <c r="F16" i="84"/>
  <c r="M15" i="84"/>
  <c r="R15" i="84"/>
  <c r="F15" i="84"/>
  <c r="R14" i="84"/>
  <c r="M14" i="84"/>
  <c r="F14" i="84"/>
  <c r="R13" i="84"/>
  <c r="M13" i="84"/>
  <c r="F13" i="84"/>
  <c r="R12" i="84"/>
  <c r="M12" i="84"/>
  <c r="F12" i="84"/>
  <c r="R11" i="84"/>
  <c r="M11" i="84"/>
  <c r="F11" i="84"/>
  <c r="R10" i="84"/>
  <c r="M10" i="84"/>
  <c r="F10" i="84"/>
  <c r="R9" i="84"/>
  <c r="M9" i="84"/>
  <c r="F9" i="84"/>
  <c r="R8" i="84"/>
  <c r="M8" i="84"/>
  <c r="F8" i="84"/>
  <c r="R7" i="84"/>
  <c r="M7" i="84"/>
  <c r="F7" i="84"/>
  <c r="R6" i="84"/>
  <c r="M6" i="84"/>
  <c r="F6" i="84"/>
  <c r="D36" i="84"/>
  <c r="AF5" i="84"/>
  <c r="AE5" i="84"/>
  <c r="AD5" i="84"/>
  <c r="AC5" i="84"/>
  <c r="AB5" i="84"/>
  <c r="AA5" i="84"/>
  <c r="R5" i="84"/>
  <c r="M5" i="84"/>
  <c r="F5" i="84"/>
  <c r="D35" i="83"/>
  <c r="M36" i="84" l="1"/>
  <c r="F36" i="84"/>
  <c r="R36" i="84"/>
  <c r="S36" i="84"/>
  <c r="Z39" i="84" s="1"/>
  <c r="G36" i="84"/>
  <c r="P36" i="84" s="1"/>
  <c r="S34" i="83"/>
  <c r="S33" i="83"/>
  <c r="D33" i="83"/>
  <c r="G31" i="83" l="1"/>
  <c r="G30" i="83" l="1"/>
  <c r="N49" i="85" l="1"/>
  <c r="AA40" i="85" s="1"/>
  <c r="Z23" i="82"/>
  <c r="Z28" i="82" s="1"/>
  <c r="V19" i="82" l="1"/>
  <c r="V25" i="82" s="1"/>
  <c r="G29" i="83" l="1"/>
  <c r="G28" i="83" l="1"/>
  <c r="U28" i="83" l="1"/>
  <c r="S28" i="83" l="1"/>
  <c r="G27" i="83" l="1"/>
  <c r="S27" i="83" l="1"/>
  <c r="M44" i="83" l="1"/>
  <c r="M47" i="83"/>
  <c r="M49" i="83"/>
  <c r="N49" i="83" s="1"/>
  <c r="M48" i="83"/>
  <c r="G24" i="83"/>
  <c r="D27" i="83" l="1"/>
  <c r="S24" i="83" l="1"/>
  <c r="G23" i="83"/>
  <c r="S23" i="83" l="1"/>
  <c r="D24" i="83"/>
  <c r="G22" i="83" l="1"/>
  <c r="G21" i="83" l="1"/>
  <c r="D22" i="83"/>
  <c r="D21" i="83"/>
  <c r="S21" i="83" l="1"/>
  <c r="G20" i="83" l="1"/>
  <c r="S18" i="83" l="1"/>
  <c r="G17" i="83" l="1"/>
  <c r="U16" i="83" l="1"/>
  <c r="Y16" i="83" l="1"/>
  <c r="S16" i="83" l="1"/>
  <c r="G15" i="83" l="1"/>
  <c r="D16" i="83" l="1"/>
  <c r="M46" i="83" l="1"/>
  <c r="Y18" i="83" l="1"/>
  <c r="Y28" i="83"/>
  <c r="N47" i="83" s="1"/>
  <c r="U23" i="83"/>
  <c r="U15" i="83"/>
  <c r="S13" i="83"/>
  <c r="G13" i="83" l="1"/>
  <c r="E5" i="82" l="1"/>
  <c r="D13" i="83" l="1"/>
  <c r="S8" i="83"/>
  <c r="S9" i="83" s="1"/>
  <c r="Y9" i="83"/>
  <c r="U7" i="83" l="1"/>
  <c r="S7" i="83"/>
  <c r="D6" i="83"/>
  <c r="U5" i="83" l="1"/>
  <c r="V5" i="83"/>
  <c r="W5" i="83"/>
  <c r="X5" i="83"/>
  <c r="Y5" i="83"/>
  <c r="Z5" i="83"/>
  <c r="T5" i="83"/>
  <c r="T8" i="83" s="1"/>
  <c r="T13" i="83" s="1"/>
  <c r="T14" i="83" s="1"/>
  <c r="T16" i="83" s="1"/>
  <c r="T20" i="83" s="1"/>
  <c r="T21" i="83" s="1"/>
  <c r="T27" i="83" s="1"/>
  <c r="T28" i="83" s="1"/>
  <c r="N36" i="83"/>
  <c r="K36" i="83"/>
  <c r="J36" i="83"/>
  <c r="H36" i="83"/>
  <c r="C36" i="83"/>
  <c r="B36" i="83"/>
  <c r="R35" i="83"/>
  <c r="M35" i="83"/>
  <c r="F35" i="83"/>
  <c r="R34" i="83"/>
  <c r="M34" i="83"/>
  <c r="F34" i="83"/>
  <c r="M33" i="83"/>
  <c r="R33" i="83"/>
  <c r="F33" i="83"/>
  <c r="R32" i="83"/>
  <c r="M32" i="83"/>
  <c r="F32" i="83"/>
  <c r="R31" i="83"/>
  <c r="M31" i="83"/>
  <c r="F31" i="83"/>
  <c r="R30" i="83"/>
  <c r="M30" i="83"/>
  <c r="F30" i="83"/>
  <c r="R29" i="83"/>
  <c r="M29" i="83"/>
  <c r="F29" i="83"/>
  <c r="R28" i="83"/>
  <c r="M28" i="83"/>
  <c r="F28" i="83"/>
  <c r="R27" i="83"/>
  <c r="M27" i="83"/>
  <c r="F27" i="83"/>
  <c r="R26" i="83"/>
  <c r="M26" i="83"/>
  <c r="F26" i="83"/>
  <c r="R25" i="83"/>
  <c r="M25" i="83"/>
  <c r="F25" i="83"/>
  <c r="R24" i="83"/>
  <c r="M24" i="83"/>
  <c r="F24" i="83"/>
  <c r="M23" i="83"/>
  <c r="R23" i="83"/>
  <c r="F23" i="83"/>
  <c r="R22" i="83"/>
  <c r="M22" i="83"/>
  <c r="F22" i="83"/>
  <c r="R21" i="83"/>
  <c r="M21" i="83"/>
  <c r="F21" i="83"/>
  <c r="M20" i="83"/>
  <c r="R20" i="83"/>
  <c r="F20" i="83"/>
  <c r="R19" i="83"/>
  <c r="M19" i="83"/>
  <c r="F19" i="83"/>
  <c r="R18" i="83"/>
  <c r="M18" i="83"/>
  <c r="F18" i="83"/>
  <c r="M17" i="83"/>
  <c r="R17" i="83"/>
  <c r="F17" i="83"/>
  <c r="R16" i="83"/>
  <c r="M16" i="83"/>
  <c r="F16" i="83"/>
  <c r="R15" i="83"/>
  <c r="M15" i="83"/>
  <c r="F15" i="83"/>
  <c r="R14" i="83"/>
  <c r="M14" i="83"/>
  <c r="F14" i="83"/>
  <c r="M13" i="83"/>
  <c r="R13" i="83"/>
  <c r="F13" i="83"/>
  <c r="M12" i="83"/>
  <c r="R12" i="83"/>
  <c r="F12" i="83"/>
  <c r="R11" i="83"/>
  <c r="M11" i="83"/>
  <c r="F11" i="83"/>
  <c r="R10" i="83"/>
  <c r="M10" i="83"/>
  <c r="F10" i="83"/>
  <c r="R9" i="83"/>
  <c r="M9" i="83"/>
  <c r="F9" i="83"/>
  <c r="R8" i="83"/>
  <c r="M8" i="83"/>
  <c r="F8" i="83"/>
  <c r="R7" i="83"/>
  <c r="M7" i="83"/>
  <c r="F7" i="83"/>
  <c r="D36" i="83"/>
  <c r="M6" i="83"/>
  <c r="R6" i="83"/>
  <c r="F6" i="83"/>
  <c r="AF5" i="83"/>
  <c r="AE5" i="83"/>
  <c r="AD5" i="83"/>
  <c r="AC5" i="83"/>
  <c r="AB5" i="83"/>
  <c r="AA5" i="83"/>
  <c r="M5" i="83"/>
  <c r="F5" i="83"/>
  <c r="T35" i="83" l="1"/>
  <c r="T5" i="84" s="1"/>
  <c r="T6" i="84" s="1"/>
  <c r="T12" i="84" s="1"/>
  <c r="T14" i="84" s="1"/>
  <c r="T18" i="84" s="1"/>
  <c r="T19" i="84" s="1"/>
  <c r="T26" i="84" s="1"/>
  <c r="N45" i="83"/>
  <c r="N50" i="83" s="1"/>
  <c r="G36" i="83"/>
  <c r="R5" i="83"/>
  <c r="R36" i="83" s="1"/>
  <c r="P36" i="83"/>
  <c r="M36" i="83"/>
  <c r="S36" i="83"/>
  <c r="Z39" i="83" s="1"/>
  <c r="F36" i="83"/>
  <c r="Z40" i="83"/>
  <c r="N46" i="82"/>
  <c r="T32" i="84" l="1"/>
  <c r="T5" i="85" s="1"/>
  <c r="N43" i="84"/>
  <c r="N49" i="84" s="1"/>
  <c r="Z40" i="84" s="1"/>
  <c r="S35" i="82"/>
  <c r="D35" i="82"/>
  <c r="G34" i="82"/>
  <c r="T6" i="85" l="1"/>
  <c r="T7" i="85"/>
  <c r="T8" i="85" s="1"/>
  <c r="T17" i="85" s="1"/>
  <c r="G33" i="82"/>
  <c r="T18" i="85" l="1"/>
  <c r="T19" i="85" s="1"/>
  <c r="T20" i="85"/>
  <c r="T21" i="85" s="1"/>
  <c r="T25" i="85" s="1"/>
  <c r="T26" i="85" s="1"/>
  <c r="S33" i="82"/>
  <c r="D33" i="82"/>
  <c r="G32" i="82" l="1"/>
  <c r="Y32" i="82" l="1"/>
  <c r="N49" i="82" s="1"/>
  <c r="U32" i="82"/>
  <c r="N52" i="82" s="1"/>
  <c r="G31" i="82" l="1"/>
  <c r="Y30" i="82" l="1"/>
  <c r="Y29" i="82"/>
  <c r="Y31" i="82"/>
  <c r="Z29" i="82" l="1"/>
  <c r="S30" i="82" l="1"/>
  <c r="G30" i="82"/>
  <c r="S28" i="82" l="1"/>
  <c r="G25" i="82" l="1"/>
  <c r="S27" i="82" l="1"/>
  <c r="S26" i="82"/>
  <c r="S25" i="82" l="1"/>
  <c r="G23" i="82" l="1"/>
  <c r="T23" i="82" l="1"/>
  <c r="G20" i="82" l="1"/>
  <c r="AJ40" i="82" l="1"/>
  <c r="AI40" i="82"/>
  <c r="T22" i="82"/>
  <c r="S23" i="82"/>
  <c r="S22" i="82" l="1"/>
  <c r="S20" i="82" l="1"/>
  <c r="G19" i="82" l="1"/>
  <c r="G18" i="82" l="1"/>
  <c r="T17" i="82" l="1"/>
  <c r="G17" i="82"/>
  <c r="S16" i="82" l="1"/>
  <c r="G16" i="82"/>
  <c r="Z11" i="82" l="1"/>
  <c r="V11" i="82"/>
  <c r="D16" i="82"/>
  <c r="S13" i="82"/>
  <c r="S14" i="82"/>
  <c r="T12" i="82"/>
  <c r="S12" i="82"/>
  <c r="S11" i="82"/>
  <c r="G13" i="82"/>
  <c r="G12" i="82"/>
  <c r="G11" i="82"/>
  <c r="G10" i="82"/>
  <c r="T7" i="82" l="1"/>
  <c r="G6" i="82"/>
  <c r="G5" i="82" l="1"/>
  <c r="M47" i="82" l="1"/>
  <c r="Z7" i="82" l="1"/>
  <c r="V16" i="82"/>
  <c r="Z16" i="82"/>
  <c r="Z20" i="82" s="1"/>
  <c r="M50" i="82"/>
  <c r="V7" i="82" s="1"/>
  <c r="W5" i="82" l="1"/>
  <c r="X5" i="82"/>
  <c r="AA5" i="82"/>
  <c r="AB5" i="82"/>
  <c r="AC5" i="82"/>
  <c r="AD5" i="82"/>
  <c r="AE5" i="82"/>
  <c r="AF5" i="82"/>
  <c r="N36" i="82"/>
  <c r="K36" i="82"/>
  <c r="J36" i="82"/>
  <c r="H36" i="82"/>
  <c r="C36" i="82"/>
  <c r="R35" i="82"/>
  <c r="M35" i="82"/>
  <c r="F35" i="82"/>
  <c r="R34" i="82"/>
  <c r="M34" i="82"/>
  <c r="F34" i="82"/>
  <c r="R33" i="82"/>
  <c r="M33" i="82"/>
  <c r="F33" i="82"/>
  <c r="M32" i="82"/>
  <c r="R32" i="82"/>
  <c r="F32" i="82"/>
  <c r="R31" i="82"/>
  <c r="M31" i="82"/>
  <c r="F31" i="82"/>
  <c r="R30" i="82"/>
  <c r="M30" i="82"/>
  <c r="F30" i="82"/>
  <c r="M29" i="82"/>
  <c r="R29" i="82"/>
  <c r="F29" i="82"/>
  <c r="M28" i="82"/>
  <c r="R28" i="82"/>
  <c r="F28" i="82"/>
  <c r="M27" i="82"/>
  <c r="R27" i="82"/>
  <c r="R25" i="82" s="1"/>
  <c r="F27" i="82"/>
  <c r="M26" i="82"/>
  <c r="R26" i="82"/>
  <c r="F26" i="82"/>
  <c r="M25" i="82"/>
  <c r="F25" i="82"/>
  <c r="R24" i="82"/>
  <c r="M24" i="82"/>
  <c r="F24" i="82"/>
  <c r="R23" i="82"/>
  <c r="M23" i="82"/>
  <c r="F23" i="82"/>
  <c r="M22" i="82"/>
  <c r="R22" i="82"/>
  <c r="F22" i="82"/>
  <c r="M21" i="82"/>
  <c r="R21" i="82"/>
  <c r="F21" i="82"/>
  <c r="M20" i="82"/>
  <c r="R20" i="82"/>
  <c r="F20" i="82"/>
  <c r="R19" i="82"/>
  <c r="M19" i="82"/>
  <c r="F19" i="82"/>
  <c r="M18" i="82"/>
  <c r="R18" i="82"/>
  <c r="F18" i="82"/>
  <c r="R17" i="82"/>
  <c r="M17" i="82"/>
  <c r="F17" i="82"/>
  <c r="R16" i="82"/>
  <c r="M16" i="82"/>
  <c r="F16" i="82"/>
  <c r="M15" i="82"/>
  <c r="R15" i="82"/>
  <c r="F15" i="82"/>
  <c r="M14" i="82"/>
  <c r="R14" i="82"/>
  <c r="F14" i="82"/>
  <c r="M13" i="82"/>
  <c r="R13" i="82"/>
  <c r="F13" i="82"/>
  <c r="M12" i="82"/>
  <c r="R12" i="82"/>
  <c r="F12" i="82"/>
  <c r="M11" i="82"/>
  <c r="R11" i="82"/>
  <c r="F11" i="82"/>
  <c r="R10" i="82"/>
  <c r="M10" i="82"/>
  <c r="F10" i="82"/>
  <c r="M9" i="82"/>
  <c r="F9" i="82"/>
  <c r="R9" i="82"/>
  <c r="M8" i="82"/>
  <c r="F8" i="82"/>
  <c r="R8" i="82"/>
  <c r="M7" i="82"/>
  <c r="R7" i="82"/>
  <c r="F7" i="82"/>
  <c r="M6" i="82"/>
  <c r="R6" i="82"/>
  <c r="F6" i="82"/>
  <c r="M5" i="82"/>
  <c r="O5" i="82" s="1"/>
  <c r="F5" i="82"/>
  <c r="I5" i="82" s="1"/>
  <c r="B36" i="82"/>
  <c r="G36" i="82" l="1"/>
  <c r="P36" i="82" s="1"/>
  <c r="F36" i="82"/>
  <c r="M36" i="82"/>
  <c r="S36" i="82"/>
  <c r="Z39" i="82" s="1"/>
  <c r="N53" i="82"/>
  <c r="Z40" i="82" s="1"/>
  <c r="R5" i="82"/>
  <c r="R36" i="82" s="1"/>
  <c r="D36" i="82" l="1"/>
  <c r="E6" i="82" l="1"/>
  <c r="E7" i="82" s="1"/>
  <c r="E8" i="82" s="1"/>
  <c r="E9" i="82" s="1"/>
  <c r="E10" i="82" s="1"/>
  <c r="E11" i="82" s="1"/>
  <c r="E12" i="82" s="1"/>
  <c r="E13" i="82" s="1"/>
  <c r="E14" i="82" s="1"/>
  <c r="E15" i="82" s="1"/>
  <c r="E16" i="82" s="1"/>
  <c r="E17" i="82" s="1"/>
  <c r="E18" i="82" s="1"/>
  <c r="E19" i="82" s="1"/>
  <c r="E20" i="82" s="1"/>
  <c r="E21" i="82" s="1"/>
  <c r="E22" i="82" s="1"/>
  <c r="E23" i="82" s="1"/>
  <c r="E24" i="82" s="1"/>
  <c r="E25" i="82" s="1"/>
  <c r="E26" i="82" s="1"/>
  <c r="E27" i="82" s="1"/>
  <c r="E28" i="82" s="1"/>
  <c r="E29" i="82" s="1"/>
  <c r="E30" i="82" s="1"/>
  <c r="E31" i="82" s="1"/>
  <c r="E32" i="82" s="1"/>
  <c r="E33" i="82" s="1"/>
  <c r="E34" i="82" s="1"/>
  <c r="E35" i="82" s="1"/>
  <c r="E5" i="83" s="1"/>
  <c r="E6" i="83" l="1"/>
  <c r="E36" i="82"/>
  <c r="Z38" i="82" s="1"/>
  <c r="Z41" i="82" s="1"/>
  <c r="E7" i="83" l="1"/>
  <c r="E8" i="83" l="1"/>
  <c r="E9" i="83" l="1"/>
  <c r="E10" i="83" l="1"/>
  <c r="E11" i="83" l="1"/>
  <c r="E12" i="83" l="1"/>
  <c r="E13" i="83" l="1"/>
  <c r="E14" i="83" l="1"/>
  <c r="E15" i="83" l="1"/>
  <c r="E16" i="83" l="1"/>
  <c r="E17" i="83" l="1"/>
  <c r="E18" i="83" l="1"/>
  <c r="E19" i="83" l="1"/>
  <c r="E20" i="83" l="1"/>
  <c r="E21" i="83" l="1"/>
  <c r="E22" i="83" l="1"/>
  <c r="E23" i="83" l="1"/>
  <c r="E24" i="83" l="1"/>
  <c r="E25" i="83" l="1"/>
  <c r="E26" i="83" l="1"/>
  <c r="E27" i="83" l="1"/>
  <c r="E28" i="83" l="1"/>
  <c r="E29" i="83" l="1"/>
  <c r="E30" i="83" l="1"/>
  <c r="E31" i="83" l="1"/>
  <c r="E32" i="83" l="1"/>
  <c r="E33" i="83" l="1"/>
  <c r="E34" i="83" l="1"/>
  <c r="E35" i="83" l="1"/>
  <c r="E5" i="84" s="1"/>
  <c r="E6" i="84" l="1"/>
  <c r="E36" i="83"/>
  <c r="Z38" i="83" s="1"/>
  <c r="Z41" i="83" s="1"/>
  <c r="E7" i="84" l="1"/>
  <c r="I6" i="82"/>
  <c r="I7" i="82" s="1"/>
  <c r="I8" i="82" s="1"/>
  <c r="I9" i="82" s="1"/>
  <c r="I10" i="82" s="1"/>
  <c r="I11" i="82" s="1"/>
  <c r="I12" i="82" s="1"/>
  <c r="I13" i="82" s="1"/>
  <c r="I14" i="82" s="1"/>
  <c r="I15" i="82" s="1"/>
  <c r="I16" i="82" s="1"/>
  <c r="I17" i="82" s="1"/>
  <c r="I18" i="82" s="1"/>
  <c r="I19" i="82" s="1"/>
  <c r="I20" i="82" s="1"/>
  <c r="I21" i="82" s="1"/>
  <c r="I22" i="82" s="1"/>
  <c r="I23" i="82" s="1"/>
  <c r="I24" i="82" s="1"/>
  <c r="I25" i="82" s="1"/>
  <c r="I26" i="82" s="1"/>
  <c r="I27" i="82" s="1"/>
  <c r="I28" i="82" s="1"/>
  <c r="I29" i="82" s="1"/>
  <c r="I30" i="82" s="1"/>
  <c r="I31" i="82" s="1"/>
  <c r="I32" i="82" s="1"/>
  <c r="I33" i="82" s="1"/>
  <c r="I34" i="82" s="1"/>
  <c r="I35" i="82" s="1"/>
  <c r="I5" i="83" s="1"/>
  <c r="E8" i="84" l="1"/>
  <c r="I6" i="83"/>
  <c r="E9" i="84" l="1"/>
  <c r="I7" i="83"/>
  <c r="E10" i="84" l="1"/>
  <c r="I8" i="83"/>
  <c r="E11" i="84" l="1"/>
  <c r="I9" i="83"/>
  <c r="E12" i="84" l="1"/>
  <c r="I10" i="83"/>
  <c r="E13" i="84" l="1"/>
  <c r="I11" i="83"/>
  <c r="E14" i="84" l="1"/>
  <c r="I12" i="83"/>
  <c r="E15" i="84" l="1"/>
  <c r="I13" i="83"/>
  <c r="E16" i="84" l="1"/>
  <c r="I14" i="83"/>
  <c r="E17" i="84" l="1"/>
  <c r="I15" i="83"/>
  <c r="E18" i="84" l="1"/>
  <c r="I16" i="83"/>
  <c r="E19" i="84" l="1"/>
  <c r="I17" i="83"/>
  <c r="E20" i="84" l="1"/>
  <c r="I18" i="83"/>
  <c r="E21" i="84" l="1"/>
  <c r="I19" i="83"/>
  <c r="E22" i="84" l="1"/>
  <c r="I20" i="83"/>
  <c r="E23" i="84" l="1"/>
  <c r="I21" i="83"/>
  <c r="E24" i="84" l="1"/>
  <c r="I22" i="83"/>
  <c r="E25" i="84" l="1"/>
  <c r="I23" i="83"/>
  <c r="E26" i="84" l="1"/>
  <c r="I24" i="83"/>
  <c r="E27" i="84" l="1"/>
  <c r="I25" i="83"/>
  <c r="E28" i="84" l="1"/>
  <c r="I26" i="83"/>
  <c r="E29" i="84" l="1"/>
  <c r="I27" i="83"/>
  <c r="E30" i="84" l="1"/>
  <c r="I28" i="83"/>
  <c r="E31" i="84" l="1"/>
  <c r="I29" i="83"/>
  <c r="E32" i="84" l="1"/>
  <c r="I30" i="83"/>
  <c r="E33" i="84" l="1"/>
  <c r="I31" i="83"/>
  <c r="E34" i="84" l="1"/>
  <c r="I32" i="83"/>
  <c r="E35" i="84" l="1"/>
  <c r="E5" i="85" s="1"/>
  <c r="I33" i="83"/>
  <c r="E6" i="85" l="1"/>
  <c r="E36" i="84"/>
  <c r="Z38" i="84" s="1"/>
  <c r="Z41" i="84" s="1"/>
  <c r="I34" i="83"/>
  <c r="E7" i="85" l="1"/>
  <c r="I35" i="83"/>
  <c r="I5" i="84" s="1"/>
  <c r="E8" i="85" l="1"/>
  <c r="I6" i="84"/>
  <c r="O6" i="82"/>
  <c r="Q5" i="82"/>
  <c r="E9" i="85" l="1"/>
  <c r="I7" i="84"/>
  <c r="O7" i="82"/>
  <c r="O8" i="82" s="1"/>
  <c r="O9" i="82" s="1"/>
  <c r="O10" i="82" s="1"/>
  <c r="O11" i="82" s="1"/>
  <c r="O12" i="82" s="1"/>
  <c r="O13" i="82" s="1"/>
  <c r="O14" i="82" s="1"/>
  <c r="O15" i="82" s="1"/>
  <c r="O16" i="82" s="1"/>
  <c r="O17" i="82" s="1"/>
  <c r="O18" i="82" s="1"/>
  <c r="O19" i="82" s="1"/>
  <c r="O20" i="82" s="1"/>
  <c r="O21" i="82" s="1"/>
  <c r="O22" i="82" s="1"/>
  <c r="O23" i="82" s="1"/>
  <c r="O24" i="82" s="1"/>
  <c r="O25" i="82" s="1"/>
  <c r="O26" i="82" s="1"/>
  <c r="Q6" i="82"/>
  <c r="E10" i="85" l="1"/>
  <c r="I8" i="84"/>
  <c r="Q7" i="82"/>
  <c r="E11" i="85" l="1"/>
  <c r="I9" i="84"/>
  <c r="Q8" i="82"/>
  <c r="E12" i="85" l="1"/>
  <c r="I10" i="84"/>
  <c r="Q9" i="82"/>
  <c r="E13" i="85" l="1"/>
  <c r="I11" i="84"/>
  <c r="Q10" i="82"/>
  <c r="E14" i="85" l="1"/>
  <c r="I12" i="84"/>
  <c r="Q11" i="82"/>
  <c r="E15" i="85" l="1"/>
  <c r="I13" i="84"/>
  <c r="Q12" i="82"/>
  <c r="E16" i="85" l="1"/>
  <c r="I14" i="84"/>
  <c r="Q13" i="82"/>
  <c r="E17" i="85" l="1"/>
  <c r="I15" i="84"/>
  <c r="Q14" i="82"/>
  <c r="E18" i="85" l="1"/>
  <c r="I16" i="84"/>
  <c r="Q15" i="82"/>
  <c r="E19" i="85" l="1"/>
  <c r="I17" i="84"/>
  <c r="Q16" i="82"/>
  <c r="E20" i="85" l="1"/>
  <c r="I18" i="84"/>
  <c r="Q17" i="82"/>
  <c r="E21" i="85" l="1"/>
  <c r="I19" i="84"/>
  <c r="Q18" i="82"/>
  <c r="E22" i="85" l="1"/>
  <c r="I20" i="84"/>
  <c r="Q19" i="82"/>
  <c r="E23" i="85" l="1"/>
  <c r="I21" i="84"/>
  <c r="Q20" i="82"/>
  <c r="E24" i="85" l="1"/>
  <c r="I22" i="84"/>
  <c r="Q21" i="82"/>
  <c r="E25" i="85" l="1"/>
  <c r="I23" i="84"/>
  <c r="Q22" i="82"/>
  <c r="E26" i="85" l="1"/>
  <c r="I24" i="84"/>
  <c r="Q23" i="82"/>
  <c r="E27" i="85" l="1"/>
  <c r="I25" i="84"/>
  <c r="Q24" i="82"/>
  <c r="E28" i="85" l="1"/>
  <c r="I26" i="84"/>
  <c r="Q25" i="82"/>
  <c r="E29" i="85" l="1"/>
  <c r="I27" i="84"/>
  <c r="O27" i="82"/>
  <c r="Q26" i="82"/>
  <c r="E30" i="85" l="1"/>
  <c r="I28" i="84"/>
  <c r="O28" i="82"/>
  <c r="Q27" i="82"/>
  <c r="E31" i="85" l="1"/>
  <c r="I29" i="84"/>
  <c r="O29" i="82"/>
  <c r="Q28" i="82"/>
  <c r="E32" i="85" l="1"/>
  <c r="I30" i="84"/>
  <c r="O30" i="82"/>
  <c r="Q29" i="82"/>
  <c r="E33" i="85" l="1"/>
  <c r="I31" i="84"/>
  <c r="O31" i="82"/>
  <c r="Q30" i="82"/>
  <c r="E34" i="85" l="1"/>
  <c r="I32" i="84"/>
  <c r="O32" i="82"/>
  <c r="Q31" i="82"/>
  <c r="E35" i="85" l="1"/>
  <c r="I33" i="84"/>
  <c r="O33" i="82"/>
  <c r="Q32" i="82"/>
  <c r="E5" i="86" l="1"/>
  <c r="E36" i="85"/>
  <c r="AA38" i="85" s="1"/>
  <c r="AA41" i="85" s="1"/>
  <c r="I34" i="84"/>
  <c r="O34" i="82"/>
  <c r="Q33" i="82"/>
  <c r="E6" i="86" l="1"/>
  <c r="I35" i="84"/>
  <c r="I5" i="85" s="1"/>
  <c r="O35" i="82"/>
  <c r="Q34" i="82"/>
  <c r="I6" i="85" l="1"/>
  <c r="E7" i="86"/>
  <c r="Q35" i="82"/>
  <c r="O5" i="83"/>
  <c r="E8" i="86" l="1"/>
  <c r="I7" i="85"/>
  <c r="O6" i="83"/>
  <c r="Q5" i="83"/>
  <c r="I8" i="85" l="1"/>
  <c r="E9" i="86"/>
  <c r="O7" i="83"/>
  <c r="Q6" i="83"/>
  <c r="E10" i="86" l="1"/>
  <c r="I9" i="85"/>
  <c r="O8" i="83"/>
  <c r="Q7" i="83"/>
  <c r="E11" i="86" l="1"/>
  <c r="I10" i="85"/>
  <c r="O9" i="83"/>
  <c r="Q8" i="83"/>
  <c r="I11" i="85" l="1"/>
  <c r="E12" i="86"/>
  <c r="O10" i="83"/>
  <c r="Q9" i="83"/>
  <c r="E13" i="86" l="1"/>
  <c r="I12" i="85"/>
  <c r="O11" i="83"/>
  <c r="Q10" i="83"/>
  <c r="I13" i="85" l="1"/>
  <c r="E14" i="86"/>
  <c r="O12" i="83"/>
  <c r="Q11" i="83"/>
  <c r="I14" i="85" l="1"/>
  <c r="E15" i="86"/>
  <c r="O13" i="83"/>
  <c r="Q12" i="83"/>
  <c r="I15" i="85" l="1"/>
  <c r="E16" i="86"/>
  <c r="O14" i="83"/>
  <c r="Q13" i="83"/>
  <c r="I16" i="85" l="1"/>
  <c r="E17" i="86"/>
  <c r="O15" i="83"/>
  <c r="Q14" i="83"/>
  <c r="E18" i="86" l="1"/>
  <c r="I17" i="85"/>
  <c r="O16" i="83"/>
  <c r="Q15" i="83"/>
  <c r="I18" i="85" l="1"/>
  <c r="E19" i="86"/>
  <c r="O17" i="83"/>
  <c r="Q16" i="83"/>
  <c r="I19" i="85" l="1"/>
  <c r="E20" i="86"/>
  <c r="O18" i="83"/>
  <c r="Q17" i="83"/>
  <c r="I20" i="85" l="1"/>
  <c r="E21" i="86"/>
  <c r="O19" i="83"/>
  <c r="Q18" i="83"/>
  <c r="I21" i="85" l="1"/>
  <c r="E22" i="86"/>
  <c r="O20" i="83"/>
  <c r="Q19" i="83"/>
  <c r="I22" i="85" l="1"/>
  <c r="E23" i="86"/>
  <c r="O21" i="83"/>
  <c r="Q20" i="83"/>
  <c r="I23" i="85" l="1"/>
  <c r="E24" i="86"/>
  <c r="O22" i="83"/>
  <c r="Q21" i="83"/>
  <c r="I24" i="85" l="1"/>
  <c r="E25" i="86"/>
  <c r="O23" i="83"/>
  <c r="Q22" i="83"/>
  <c r="E26" i="86" l="1"/>
  <c r="I25" i="85"/>
  <c r="O24" i="83"/>
  <c r="Q23" i="83"/>
  <c r="I26" i="85" l="1"/>
  <c r="E27" i="86"/>
  <c r="O25" i="83"/>
  <c r="Q24" i="83"/>
  <c r="E28" i="86" l="1"/>
  <c r="I27" i="85"/>
  <c r="O26" i="83"/>
  <c r="Q25" i="83"/>
  <c r="I28" i="85" l="1"/>
  <c r="E29" i="86"/>
  <c r="O27" i="83"/>
  <c r="Q26" i="83"/>
  <c r="E30" i="86" l="1"/>
  <c r="I29" i="85"/>
  <c r="O28" i="83"/>
  <c r="Q27" i="83"/>
  <c r="I30" i="85" l="1"/>
  <c r="E31" i="86"/>
  <c r="O29" i="83"/>
  <c r="Q28" i="83"/>
  <c r="I31" i="85" l="1"/>
  <c r="E32" i="86"/>
  <c r="O30" i="83"/>
  <c r="Q29" i="83"/>
  <c r="I32" i="85" l="1"/>
  <c r="E33" i="86"/>
  <c r="O31" i="83"/>
  <c r="Q30" i="83"/>
  <c r="I33" i="85" l="1"/>
  <c r="E34" i="86"/>
  <c r="O32" i="83"/>
  <c r="Q31" i="83"/>
  <c r="I34" i="85" l="1"/>
  <c r="E35" i="86"/>
  <c r="O33" i="83"/>
  <c r="Q32" i="83"/>
  <c r="I35" i="85" l="1"/>
  <c r="E5" i="87"/>
  <c r="E36" i="86"/>
  <c r="Z38" i="86" s="1"/>
  <c r="Z41" i="86" s="1"/>
  <c r="O34" i="83"/>
  <c r="Q33" i="83"/>
  <c r="E6" i="87" l="1"/>
  <c r="I5" i="86"/>
  <c r="O35" i="83"/>
  <c r="Q34" i="83"/>
  <c r="I6" i="86" l="1"/>
  <c r="E7" i="87"/>
  <c r="Q35" i="83"/>
  <c r="O5" i="84"/>
  <c r="I7" i="86" l="1"/>
  <c r="E8" i="87"/>
  <c r="O6" i="84"/>
  <c r="Q5" i="84"/>
  <c r="I8" i="86" l="1"/>
  <c r="E9" i="87"/>
  <c r="O7" i="84"/>
  <c r="Q6" i="84"/>
  <c r="E10" i="87" l="1"/>
  <c r="I9" i="86"/>
  <c r="O8" i="84"/>
  <c r="Q7" i="84"/>
  <c r="E11" i="87" l="1"/>
  <c r="I10" i="86"/>
  <c r="O9" i="84"/>
  <c r="Q8" i="84"/>
  <c r="I11" i="86" l="1"/>
  <c r="E12" i="87"/>
  <c r="O10" i="84"/>
  <c r="Q9" i="84"/>
  <c r="E13" i="87" l="1"/>
  <c r="I12" i="86"/>
  <c r="O11" i="84"/>
  <c r="Q10" i="84"/>
  <c r="I13" i="86" l="1"/>
  <c r="E14" i="87"/>
  <c r="O12" i="84"/>
  <c r="Q11" i="84"/>
  <c r="E15" i="87" l="1"/>
  <c r="I14" i="86"/>
  <c r="O13" i="84"/>
  <c r="Q12" i="84"/>
  <c r="I15" i="86" l="1"/>
  <c r="E16" i="87"/>
  <c r="O14" i="84"/>
  <c r="Q13" i="84"/>
  <c r="E17" i="87" l="1"/>
  <c r="I16" i="86"/>
  <c r="O15" i="84"/>
  <c r="Q14" i="84"/>
  <c r="I17" i="86" l="1"/>
  <c r="E18" i="87"/>
  <c r="O16" i="84"/>
  <c r="Q15" i="84"/>
  <c r="E19" i="87" l="1"/>
  <c r="I18" i="86"/>
  <c r="O17" i="84"/>
  <c r="Q16" i="84"/>
  <c r="I19" i="86" l="1"/>
  <c r="E20" i="87"/>
  <c r="O18" i="84"/>
  <c r="Q17" i="84"/>
  <c r="I20" i="86" l="1"/>
  <c r="E21" i="87"/>
  <c r="O19" i="84"/>
  <c r="Q18" i="84"/>
  <c r="E22" i="87" l="1"/>
  <c r="I21" i="86"/>
  <c r="O20" i="84"/>
  <c r="Q19" i="84"/>
  <c r="I22" i="86" l="1"/>
  <c r="E23" i="87"/>
  <c r="O21" i="84"/>
  <c r="Q20" i="84"/>
  <c r="E24" i="87" l="1"/>
  <c r="I23" i="86"/>
  <c r="O22" i="84"/>
  <c r="Q21" i="84"/>
  <c r="I24" i="86" l="1"/>
  <c r="E25" i="87"/>
  <c r="O23" i="84"/>
  <c r="Q22" i="84"/>
  <c r="E26" i="87" l="1"/>
  <c r="I25" i="86"/>
  <c r="O24" i="84"/>
  <c r="Q23" i="84"/>
  <c r="I26" i="86" l="1"/>
  <c r="E27" i="87"/>
  <c r="O25" i="84"/>
  <c r="Q24" i="84"/>
  <c r="E28" i="87" l="1"/>
  <c r="I27" i="86"/>
  <c r="O26" i="84"/>
  <c r="Q25" i="84"/>
  <c r="I28" i="86" l="1"/>
  <c r="E29" i="87"/>
  <c r="O27" i="84"/>
  <c r="Q26" i="84"/>
  <c r="E30" i="87" l="1"/>
  <c r="I29" i="86"/>
  <c r="O28" i="84"/>
  <c r="Q27" i="84"/>
  <c r="I30" i="86" l="1"/>
  <c r="E31" i="87"/>
  <c r="O29" i="84"/>
  <c r="Q28" i="84"/>
  <c r="I31" i="86" l="1"/>
  <c r="E32" i="87"/>
  <c r="O30" i="84"/>
  <c r="Q29" i="84"/>
  <c r="E33" i="87" l="1"/>
  <c r="I32" i="86"/>
  <c r="O31" i="84"/>
  <c r="Q30" i="84"/>
  <c r="I33" i="86" l="1"/>
  <c r="E34" i="87"/>
  <c r="O32" i="84"/>
  <c r="Q31" i="84"/>
  <c r="E35" i="87" l="1"/>
  <c r="I34" i="86"/>
  <c r="O33" i="84"/>
  <c r="Q32" i="84"/>
  <c r="I35" i="86" l="1"/>
  <c r="E5" i="88"/>
  <c r="E36" i="87"/>
  <c r="Z38" i="87" s="1"/>
  <c r="Z41" i="87" s="1"/>
  <c r="O34" i="84"/>
  <c r="Q33" i="84"/>
  <c r="E6" i="88" l="1"/>
  <c r="I5" i="87"/>
  <c r="O35" i="84"/>
  <c r="Q34" i="84"/>
  <c r="Q35" i="84" l="1"/>
  <c r="O5" i="85"/>
  <c r="I6" i="87"/>
  <c r="E7" i="88"/>
  <c r="I7" i="87" l="1"/>
  <c r="E8" i="88"/>
  <c r="O6" i="85"/>
  <c r="Q5" i="85"/>
  <c r="I8" i="87" l="1"/>
  <c r="O7" i="85"/>
  <c r="Q6" i="85"/>
  <c r="E9" i="88"/>
  <c r="E10" i="88" l="1"/>
  <c r="O8" i="85"/>
  <c r="Q7" i="85"/>
  <c r="I9" i="87"/>
  <c r="I10" i="87" l="1"/>
  <c r="O9" i="85"/>
  <c r="Q8" i="85"/>
  <c r="E11" i="88"/>
  <c r="E12" i="88" l="1"/>
  <c r="O10" i="85"/>
  <c r="Q9" i="85"/>
  <c r="I11" i="87"/>
  <c r="I12" i="87" l="1"/>
  <c r="O11" i="85"/>
  <c r="Q10" i="85"/>
  <c r="E13" i="88"/>
  <c r="E14" i="88" l="1"/>
  <c r="O12" i="85"/>
  <c r="Q11" i="85"/>
  <c r="I13" i="87"/>
  <c r="E15" i="88" l="1"/>
  <c r="I14" i="87"/>
  <c r="O13" i="85"/>
  <c r="Q12" i="85"/>
  <c r="O14" i="85" l="1"/>
  <c r="Q13" i="85"/>
  <c r="I15" i="87"/>
  <c r="E16" i="88"/>
  <c r="I16" i="87" l="1"/>
  <c r="O15" i="85"/>
  <c r="Q14" i="85"/>
  <c r="E17" i="88"/>
  <c r="O16" i="85" l="1"/>
  <c r="Q15" i="85"/>
  <c r="I17" i="87"/>
  <c r="E18" i="88"/>
  <c r="I18" i="87" l="1"/>
  <c r="O17" i="85"/>
  <c r="Q16" i="85"/>
  <c r="E19" i="88"/>
  <c r="O18" i="85" l="1"/>
  <c r="Q17" i="85"/>
  <c r="I19" i="87"/>
  <c r="E20" i="88"/>
  <c r="E21" i="88" l="1"/>
  <c r="I20" i="87"/>
  <c r="O19" i="85"/>
  <c r="Q18" i="85"/>
  <c r="O20" i="85" l="1"/>
  <c r="Q19" i="85"/>
  <c r="I21" i="87"/>
  <c r="E22" i="88"/>
  <c r="E23" i="88" l="1"/>
  <c r="I22" i="87"/>
  <c r="O21" i="85"/>
  <c r="Q20" i="85"/>
  <c r="O22" i="85" l="1"/>
  <c r="Q21" i="85"/>
  <c r="I23" i="87"/>
  <c r="E24" i="88"/>
  <c r="E25" i="88" l="1"/>
  <c r="I24" i="87"/>
  <c r="O23" i="85"/>
  <c r="Q22" i="85"/>
  <c r="O24" i="85" l="1"/>
  <c r="Q23" i="85"/>
  <c r="I25" i="87"/>
  <c r="E26" i="88"/>
  <c r="I26" i="87" l="1"/>
  <c r="O25" i="85"/>
  <c r="Q24" i="85"/>
  <c r="E27" i="88"/>
  <c r="E28" i="88" l="1"/>
  <c r="O26" i="85"/>
  <c r="Q25" i="85"/>
  <c r="I27" i="87"/>
  <c r="I28" i="87" l="1"/>
  <c r="O27" i="85"/>
  <c r="Q26" i="85"/>
  <c r="E29" i="88"/>
  <c r="E30" i="88" l="1"/>
  <c r="O28" i="85"/>
  <c r="Q27" i="85"/>
  <c r="I29" i="87"/>
  <c r="I30" i="87" l="1"/>
  <c r="O29" i="85"/>
  <c r="Q28" i="85"/>
  <c r="E31" i="88"/>
  <c r="O30" i="85" l="1"/>
  <c r="Q29" i="85"/>
  <c r="I31" i="87"/>
  <c r="E32" i="88"/>
  <c r="I32" i="87" l="1"/>
  <c r="O31" i="85"/>
  <c r="Q30" i="85"/>
  <c r="E33" i="88"/>
  <c r="O32" i="85" l="1"/>
  <c r="Q31" i="85"/>
  <c r="I33" i="87"/>
  <c r="E34" i="88"/>
  <c r="E35" i="88" l="1"/>
  <c r="I34" i="87"/>
  <c r="O33" i="85"/>
  <c r="Q32" i="85"/>
  <c r="O34" i="85" l="1"/>
  <c r="Q33" i="85"/>
  <c r="I35" i="87"/>
  <c r="E5" i="89"/>
  <c r="E36" i="88"/>
  <c r="Z38" i="88" s="1"/>
  <c r="Z41" i="88" s="1"/>
  <c r="E6" i="89" l="1"/>
  <c r="I5" i="88"/>
  <c r="O35" i="85"/>
  <c r="Q34" i="85"/>
  <c r="O5" i="86" l="1"/>
  <c r="Q35" i="85"/>
  <c r="I6" i="88"/>
  <c r="E7" i="89"/>
  <c r="I7" i="88" l="1"/>
  <c r="O6" i="86"/>
  <c r="Q5" i="86"/>
  <c r="E8" i="89"/>
  <c r="O7" i="86" l="1"/>
  <c r="Q6" i="86"/>
  <c r="I8" i="88"/>
  <c r="E9" i="89"/>
  <c r="I9" i="88" l="1"/>
  <c r="O8" i="86"/>
  <c r="Q7" i="86"/>
  <c r="E10" i="89"/>
  <c r="O9" i="86" l="1"/>
  <c r="Q8" i="86"/>
  <c r="I10" i="88"/>
  <c r="E11" i="89"/>
  <c r="I11" i="88" l="1"/>
  <c r="O10" i="86"/>
  <c r="Q9" i="86"/>
  <c r="E12" i="89"/>
  <c r="O11" i="86" l="1"/>
  <c r="Q10" i="86"/>
  <c r="I12" i="88"/>
  <c r="E13" i="89"/>
  <c r="I13" i="88" l="1"/>
  <c r="O12" i="86"/>
  <c r="Q11" i="86"/>
  <c r="E14" i="89"/>
  <c r="O13" i="86" l="1"/>
  <c r="Q12" i="86"/>
  <c r="I14" i="88"/>
  <c r="E15" i="89"/>
  <c r="I15" i="88" l="1"/>
  <c r="O14" i="86"/>
  <c r="Q13" i="86"/>
  <c r="E16" i="89"/>
  <c r="O15" i="86" l="1"/>
  <c r="Q14" i="86"/>
  <c r="I16" i="88"/>
  <c r="E17" i="89"/>
  <c r="I17" i="88" l="1"/>
  <c r="O16" i="86"/>
  <c r="Q15" i="86"/>
  <c r="E18" i="89"/>
  <c r="O17" i="86" l="1"/>
  <c r="Q16" i="86"/>
  <c r="I18" i="88"/>
  <c r="E19" i="89"/>
  <c r="I19" i="88" l="1"/>
  <c r="O18" i="86"/>
  <c r="Q17" i="86"/>
  <c r="E20" i="89"/>
  <c r="O19" i="86" l="1"/>
  <c r="Q18" i="86"/>
  <c r="I20" i="88"/>
  <c r="E21" i="89"/>
  <c r="I21" i="88" l="1"/>
  <c r="O20" i="86"/>
  <c r="Q19" i="86"/>
  <c r="E22" i="89"/>
  <c r="O21" i="86" l="1"/>
  <c r="Q20" i="86"/>
  <c r="I22" i="88"/>
  <c r="E23" i="89"/>
  <c r="I23" i="88" l="1"/>
  <c r="O22" i="86"/>
  <c r="Q21" i="86"/>
  <c r="E24" i="89"/>
  <c r="O23" i="86" l="1"/>
  <c r="Q22" i="86"/>
  <c r="I24" i="88"/>
  <c r="E25" i="89"/>
  <c r="I25" i="88" l="1"/>
  <c r="O24" i="86"/>
  <c r="Q23" i="86"/>
  <c r="E26" i="89"/>
  <c r="O25" i="86" l="1"/>
  <c r="Q24" i="86"/>
  <c r="I26" i="88"/>
  <c r="E27" i="89"/>
  <c r="I27" i="88" l="1"/>
  <c r="O26" i="86"/>
  <c r="Q25" i="86"/>
  <c r="E28" i="89"/>
  <c r="O27" i="86" l="1"/>
  <c r="Q26" i="86"/>
  <c r="I28" i="88"/>
  <c r="E29" i="89"/>
  <c r="I29" i="88" l="1"/>
  <c r="O28" i="86"/>
  <c r="Q27" i="86"/>
  <c r="E30" i="89"/>
  <c r="O29" i="86" l="1"/>
  <c r="Q28" i="86"/>
  <c r="I30" i="88"/>
  <c r="E31" i="89"/>
  <c r="I31" i="88" l="1"/>
  <c r="O30" i="86"/>
  <c r="Q29" i="86"/>
  <c r="E32" i="89"/>
  <c r="O31" i="86" l="1"/>
  <c r="Q30" i="86"/>
  <c r="I32" i="88"/>
  <c r="E33" i="89"/>
  <c r="I33" i="88" l="1"/>
  <c r="O32" i="86"/>
  <c r="Q31" i="86"/>
  <c r="E34" i="89"/>
  <c r="O33" i="86" l="1"/>
  <c r="Q32" i="86"/>
  <c r="I34" i="88"/>
  <c r="I35" i="88" s="1"/>
  <c r="E35" i="89"/>
  <c r="E5" i="90" s="1"/>
  <c r="E6" i="90" l="1"/>
  <c r="E7" i="90" s="1"/>
  <c r="E8" i="90" s="1"/>
  <c r="E9" i="90" s="1"/>
  <c r="E10" i="90" s="1"/>
  <c r="E11" i="90" s="1"/>
  <c r="E12" i="90" s="1"/>
  <c r="E13" i="90" s="1"/>
  <c r="E14" i="90" s="1"/>
  <c r="E15" i="90" s="1"/>
  <c r="E16" i="90" s="1"/>
  <c r="E17" i="90" s="1"/>
  <c r="E18" i="90" s="1"/>
  <c r="E19" i="90" s="1"/>
  <c r="E20" i="90" s="1"/>
  <c r="E21" i="90" s="1"/>
  <c r="E22" i="90" s="1"/>
  <c r="E23" i="90" s="1"/>
  <c r="E24" i="90" s="1"/>
  <c r="E25" i="90" s="1"/>
  <c r="E26" i="90" s="1"/>
  <c r="E27" i="90" s="1"/>
  <c r="E28" i="90" s="1"/>
  <c r="E29" i="90" s="1"/>
  <c r="E30" i="90" s="1"/>
  <c r="E31" i="90" s="1"/>
  <c r="E32" i="90" s="1"/>
  <c r="E33" i="90" s="1"/>
  <c r="E34" i="90" s="1"/>
  <c r="E35" i="90" s="1"/>
  <c r="E5" i="91" s="1"/>
  <c r="O34" i="86"/>
  <c r="Q33" i="86"/>
  <c r="E36" i="89"/>
  <c r="Z38" i="89" s="1"/>
  <c r="Z41" i="89" s="1"/>
  <c r="E6" i="91" l="1"/>
  <c r="E7" i="91" s="1"/>
  <c r="E8" i="91" s="1"/>
  <c r="E9" i="91" s="1"/>
  <c r="E10" i="91" s="1"/>
  <c r="E11" i="91" s="1"/>
  <c r="E12" i="91" s="1"/>
  <c r="E13" i="91" s="1"/>
  <c r="E14" i="91" s="1"/>
  <c r="E15" i="91" s="1"/>
  <c r="E16" i="91" s="1"/>
  <c r="E17" i="91" s="1"/>
  <c r="E18" i="91" s="1"/>
  <c r="E19" i="91" s="1"/>
  <c r="E20" i="91" s="1"/>
  <c r="E21" i="91" s="1"/>
  <c r="E22" i="91" s="1"/>
  <c r="E23" i="91" s="1"/>
  <c r="E24" i="91" s="1"/>
  <c r="E25" i="91" s="1"/>
  <c r="E26" i="91" s="1"/>
  <c r="E27" i="91" s="1"/>
  <c r="E28" i="91" s="1"/>
  <c r="E29" i="91" s="1"/>
  <c r="E30" i="91" s="1"/>
  <c r="E31" i="91" s="1"/>
  <c r="E32" i="91" s="1"/>
  <c r="E33" i="91" s="1"/>
  <c r="E34" i="91" s="1"/>
  <c r="E35" i="91" s="1"/>
  <c r="E5" i="92" s="1"/>
  <c r="E36" i="90"/>
  <c r="Z38" i="90" s="1"/>
  <c r="Z41" i="90" s="1"/>
  <c r="O35" i="86"/>
  <c r="Q34" i="86"/>
  <c r="I5" i="89"/>
  <c r="E6" i="92" l="1"/>
  <c r="E36" i="91"/>
  <c r="Z38" i="91" s="1"/>
  <c r="Z41" i="91" s="1"/>
  <c r="I6" i="89"/>
  <c r="O5" i="87"/>
  <c r="Q35" i="86"/>
  <c r="E7" i="92" l="1"/>
  <c r="O6" i="87"/>
  <c r="Q5" i="87"/>
  <c r="I7" i="89"/>
  <c r="E8" i="92" l="1"/>
  <c r="I8" i="89"/>
  <c r="O7" i="87"/>
  <c r="Q6" i="87"/>
  <c r="E9" i="92" l="1"/>
  <c r="O8" i="87"/>
  <c r="Q7" i="87"/>
  <c r="I9" i="89"/>
  <c r="E10" i="92" l="1"/>
  <c r="I10" i="89"/>
  <c r="I11" i="89" s="1"/>
  <c r="O9" i="87"/>
  <c r="Q8" i="87"/>
  <c r="E11" i="92" l="1"/>
  <c r="O10" i="87"/>
  <c r="Q9" i="87"/>
  <c r="E12" i="92" l="1"/>
  <c r="I12" i="89"/>
  <c r="O11" i="87"/>
  <c r="Q10" i="87"/>
  <c r="E13" i="92" l="1"/>
  <c r="O12" i="87"/>
  <c r="Q11" i="87"/>
  <c r="I13" i="89"/>
  <c r="E14" i="92" l="1"/>
  <c r="I14" i="89"/>
  <c r="O13" i="87"/>
  <c r="Q12" i="87"/>
  <c r="E15" i="92" l="1"/>
  <c r="O14" i="87"/>
  <c r="Q13" i="87"/>
  <c r="I15" i="89"/>
  <c r="E16" i="92" l="1"/>
  <c r="I16" i="89"/>
  <c r="O15" i="87"/>
  <c r="Q14" i="87"/>
  <c r="E17" i="92" l="1"/>
  <c r="O16" i="87"/>
  <c r="Q15" i="87"/>
  <c r="I17" i="89"/>
  <c r="E18" i="92" l="1"/>
  <c r="I18" i="89"/>
  <c r="O17" i="87"/>
  <c r="Q16" i="87"/>
  <c r="E19" i="92" l="1"/>
  <c r="O18" i="87"/>
  <c r="Q17" i="87"/>
  <c r="I19" i="89"/>
  <c r="E20" i="92" l="1"/>
  <c r="I20" i="89"/>
  <c r="O19" i="87"/>
  <c r="Q18" i="87"/>
  <c r="E21" i="92" l="1"/>
  <c r="O20" i="87"/>
  <c r="Q19" i="87"/>
  <c r="I21" i="89"/>
  <c r="E22" i="92" l="1"/>
  <c r="I22" i="89"/>
  <c r="O21" i="87"/>
  <c r="Q20" i="87"/>
  <c r="E23" i="92" l="1"/>
  <c r="O22" i="87"/>
  <c r="Q21" i="87"/>
  <c r="I23" i="89"/>
  <c r="E24" i="92" l="1"/>
  <c r="I24" i="89"/>
  <c r="O23" i="87"/>
  <c r="Q22" i="87"/>
  <c r="E25" i="92" l="1"/>
  <c r="O24" i="87"/>
  <c r="Q23" i="87"/>
  <c r="I25" i="89"/>
  <c r="E26" i="92" l="1"/>
  <c r="I26" i="89"/>
  <c r="O25" i="87"/>
  <c r="Q24" i="87"/>
  <c r="E27" i="92" l="1"/>
  <c r="O26" i="87"/>
  <c r="Q25" i="87"/>
  <c r="I27" i="89"/>
  <c r="E28" i="92" l="1"/>
  <c r="I28" i="89"/>
  <c r="O27" i="87"/>
  <c r="Q26" i="87"/>
  <c r="E29" i="92" l="1"/>
  <c r="O28" i="87"/>
  <c r="Q27" i="87"/>
  <c r="I29" i="89"/>
  <c r="E30" i="92" l="1"/>
  <c r="I30" i="89"/>
  <c r="O29" i="87"/>
  <c r="Q28" i="87"/>
  <c r="E31" i="92" l="1"/>
  <c r="O30" i="87"/>
  <c r="Q29" i="87"/>
  <c r="I31" i="89"/>
  <c r="E32" i="92" l="1"/>
  <c r="I32" i="89"/>
  <c r="O31" i="87"/>
  <c r="Q30" i="87"/>
  <c r="E33" i="92" l="1"/>
  <c r="O32" i="87"/>
  <c r="Q31" i="87"/>
  <c r="I33" i="89"/>
  <c r="E34" i="92" l="1"/>
  <c r="I34" i="89"/>
  <c r="O33" i="87"/>
  <c r="Q32" i="87"/>
  <c r="E35" i="92" l="1"/>
  <c r="O34" i="87"/>
  <c r="Q33" i="87"/>
  <c r="I35" i="89"/>
  <c r="I5" i="90" s="1"/>
  <c r="I6" i="90" s="1"/>
  <c r="I7" i="90" s="1"/>
  <c r="I8" i="90" s="1"/>
  <c r="I9" i="90" s="1"/>
  <c r="I10" i="90" s="1"/>
  <c r="I11" i="90" s="1"/>
  <c r="I12" i="90" s="1"/>
  <c r="I13" i="90" s="1"/>
  <c r="I14" i="90" s="1"/>
  <c r="I15" i="90" s="1"/>
  <c r="I16" i="90" s="1"/>
  <c r="I17" i="90" s="1"/>
  <c r="I18" i="90" s="1"/>
  <c r="I19" i="90" s="1"/>
  <c r="I20" i="90" s="1"/>
  <c r="I21" i="90" s="1"/>
  <c r="I22" i="90" s="1"/>
  <c r="I23" i="90" s="1"/>
  <c r="I24" i="90" s="1"/>
  <c r="I25" i="90" s="1"/>
  <c r="I26" i="90" s="1"/>
  <c r="I27" i="90" s="1"/>
  <c r="I28" i="90" s="1"/>
  <c r="I29" i="90" s="1"/>
  <c r="I30" i="90" s="1"/>
  <c r="I31" i="90" s="1"/>
  <c r="I32" i="90" s="1"/>
  <c r="I33" i="90" s="1"/>
  <c r="I34" i="90" s="1"/>
  <c r="I35" i="90" s="1"/>
  <c r="I5" i="91" s="1"/>
  <c r="I6" i="91" s="1"/>
  <c r="I7" i="91" s="1"/>
  <c r="I8" i="91" s="1"/>
  <c r="I9" i="91" s="1"/>
  <c r="I10" i="91" s="1"/>
  <c r="I11" i="91" s="1"/>
  <c r="I12" i="91" s="1"/>
  <c r="I13" i="91" s="1"/>
  <c r="I14" i="91" s="1"/>
  <c r="I15" i="91" s="1"/>
  <c r="I16" i="91" s="1"/>
  <c r="I17" i="91" s="1"/>
  <c r="I18" i="91" s="1"/>
  <c r="I19" i="91" s="1"/>
  <c r="I20" i="91" s="1"/>
  <c r="I21" i="91" s="1"/>
  <c r="I22" i="91" s="1"/>
  <c r="I23" i="91" s="1"/>
  <c r="I24" i="91" s="1"/>
  <c r="I25" i="91" s="1"/>
  <c r="I26" i="91" s="1"/>
  <c r="I27" i="91" s="1"/>
  <c r="I28" i="91" s="1"/>
  <c r="I29" i="91" s="1"/>
  <c r="I30" i="91" s="1"/>
  <c r="I31" i="91" s="1"/>
  <c r="I32" i="91" s="1"/>
  <c r="I33" i="91" s="1"/>
  <c r="I34" i="91" s="1"/>
  <c r="I35" i="91" s="1"/>
  <c r="I5" i="92" s="1"/>
  <c r="E36" i="92" l="1"/>
  <c r="E5" i="93"/>
  <c r="I6" i="92"/>
  <c r="Z38" i="92"/>
  <c r="Z41" i="92" s="1"/>
  <c r="O35" i="87"/>
  <c r="Q34" i="87"/>
  <c r="E6" i="93" l="1"/>
  <c r="I7" i="92"/>
  <c r="O5" i="88"/>
  <c r="Q35" i="87"/>
  <c r="E7" i="93" l="1"/>
  <c r="I8" i="92"/>
  <c r="O6" i="88"/>
  <c r="Q5" i="88"/>
  <c r="E8" i="93" l="1"/>
  <c r="I9" i="92"/>
  <c r="O7" i="88"/>
  <c r="Q6" i="88"/>
  <c r="E9" i="93" l="1"/>
  <c r="I10" i="92"/>
  <c r="O8" i="88"/>
  <c r="Q7" i="88"/>
  <c r="E10" i="93" l="1"/>
  <c r="I11" i="92"/>
  <c r="O9" i="88"/>
  <c r="Q8" i="88"/>
  <c r="E11" i="93" l="1"/>
  <c r="I12" i="92"/>
  <c r="O10" i="88"/>
  <c r="Q9" i="88"/>
  <c r="E12" i="93" l="1"/>
  <c r="I13" i="92"/>
  <c r="O11" i="88"/>
  <c r="Q10" i="88"/>
  <c r="E13" i="93" l="1"/>
  <c r="I14" i="92"/>
  <c r="O12" i="88"/>
  <c r="Q11" i="88"/>
  <c r="E14" i="93" l="1"/>
  <c r="I15" i="92"/>
  <c r="O13" i="88"/>
  <c r="Q12" i="88"/>
  <c r="E15" i="93" l="1"/>
  <c r="I16" i="92"/>
  <c r="O14" i="88"/>
  <c r="Q13" i="88"/>
  <c r="E16" i="93" l="1"/>
  <c r="I17" i="92"/>
  <c r="O15" i="88"/>
  <c r="Q14" i="88"/>
  <c r="E17" i="93" l="1"/>
  <c r="I18" i="92"/>
  <c r="O16" i="88"/>
  <c r="Q15" i="88"/>
  <c r="E18" i="93" l="1"/>
  <c r="I19" i="92"/>
  <c r="O17" i="88"/>
  <c r="Q16" i="88"/>
  <c r="E19" i="93" l="1"/>
  <c r="I20" i="92"/>
  <c r="O18" i="88"/>
  <c r="Q17" i="88"/>
  <c r="E20" i="93" l="1"/>
  <c r="I21" i="92"/>
  <c r="O19" i="88"/>
  <c r="Q18" i="88"/>
  <c r="E21" i="93" l="1"/>
  <c r="I22" i="92"/>
  <c r="O20" i="88"/>
  <c r="Q19" i="88"/>
  <c r="E22" i="93" l="1"/>
  <c r="I23" i="92"/>
  <c r="O21" i="88"/>
  <c r="Q20" i="88"/>
  <c r="E23" i="93" l="1"/>
  <c r="I24" i="92"/>
  <c r="O22" i="88"/>
  <c r="Q21" i="88"/>
  <c r="E24" i="93" l="1"/>
  <c r="I25" i="92"/>
  <c r="O23" i="88"/>
  <c r="Q22" i="88"/>
  <c r="E25" i="93" l="1"/>
  <c r="I26" i="92"/>
  <c r="O24" i="88"/>
  <c r="Q23" i="88"/>
  <c r="E26" i="93" l="1"/>
  <c r="I27" i="92"/>
  <c r="O25" i="88"/>
  <c r="Q24" i="88"/>
  <c r="E27" i="93" l="1"/>
  <c r="I28" i="92"/>
  <c r="O26" i="88"/>
  <c r="Q25" i="88"/>
  <c r="E28" i="93" l="1"/>
  <c r="I29" i="92"/>
  <c r="O27" i="88"/>
  <c r="Q26" i="88"/>
  <c r="E29" i="93" l="1"/>
  <c r="I30" i="92"/>
  <c r="O28" i="88"/>
  <c r="Q27" i="88"/>
  <c r="E30" i="93" l="1"/>
  <c r="I31" i="92"/>
  <c r="O29" i="88"/>
  <c r="Q28" i="88"/>
  <c r="E31" i="93" l="1"/>
  <c r="I32" i="92"/>
  <c r="O30" i="88"/>
  <c r="Q29" i="88"/>
  <c r="E32" i="93" l="1"/>
  <c r="I33" i="92"/>
  <c r="O31" i="88"/>
  <c r="Q30" i="88"/>
  <c r="E33" i="93" l="1"/>
  <c r="I34" i="92"/>
  <c r="O32" i="88"/>
  <c r="Q31" i="88"/>
  <c r="E34" i="93" l="1"/>
  <c r="I35" i="92"/>
  <c r="I5" i="93" s="1"/>
  <c r="O33" i="88"/>
  <c r="Q32" i="88"/>
  <c r="I6" i="93" l="1"/>
  <c r="E35" i="93"/>
  <c r="O34" i="88"/>
  <c r="Q33" i="88"/>
  <c r="E36" i="93" l="1"/>
  <c r="Z38" i="93" s="1"/>
  <c r="Z41" i="93" s="1"/>
  <c r="I7" i="93"/>
  <c r="O35" i="88"/>
  <c r="Q34" i="88"/>
  <c r="I8" i="93" l="1"/>
  <c r="O5" i="89"/>
  <c r="Q35" i="88"/>
  <c r="I9" i="93" l="1"/>
  <c r="O6" i="89"/>
  <c r="Q5" i="89"/>
  <c r="I10" i="93" l="1"/>
  <c r="O7" i="89"/>
  <c r="Q6" i="89"/>
  <c r="I11" i="93" l="1"/>
  <c r="O8" i="89"/>
  <c r="Q7" i="89"/>
  <c r="I12" i="93" l="1"/>
  <c r="O9" i="89"/>
  <c r="Q8" i="89"/>
  <c r="I13" i="93" l="1"/>
  <c r="O10" i="89"/>
  <c r="Q9" i="89"/>
  <c r="I14" i="93" l="1"/>
  <c r="O11" i="89"/>
  <c r="Q10" i="89"/>
  <c r="I15" i="93" l="1"/>
  <c r="O12" i="89"/>
  <c r="Q11" i="89"/>
  <c r="I16" i="93" l="1"/>
  <c r="O13" i="89"/>
  <c r="Q12" i="89"/>
  <c r="I17" i="93" l="1"/>
  <c r="O14" i="89"/>
  <c r="Q13" i="89"/>
  <c r="I18" i="93" l="1"/>
  <c r="O15" i="89"/>
  <c r="Q14" i="89"/>
  <c r="I19" i="93" l="1"/>
  <c r="O16" i="89"/>
  <c r="Q15" i="89"/>
  <c r="I20" i="93" l="1"/>
  <c r="O17" i="89"/>
  <c r="Q16" i="89"/>
  <c r="I21" i="93" l="1"/>
  <c r="O18" i="89"/>
  <c r="Q17" i="89"/>
  <c r="I22" i="93" l="1"/>
  <c r="O19" i="89"/>
  <c r="Q18" i="89"/>
  <c r="I23" i="93" l="1"/>
  <c r="O20" i="89"/>
  <c r="Q19" i="89"/>
  <c r="I24" i="93" l="1"/>
  <c r="O21" i="89"/>
  <c r="Q20" i="89"/>
  <c r="I25" i="93" l="1"/>
  <c r="O22" i="89"/>
  <c r="Q21" i="89"/>
  <c r="I26" i="93" l="1"/>
  <c r="O23" i="89"/>
  <c r="Q22" i="89"/>
  <c r="I27" i="93" l="1"/>
  <c r="O24" i="89"/>
  <c r="Q23" i="89"/>
  <c r="I28" i="93" l="1"/>
  <c r="O25" i="89"/>
  <c r="Q24" i="89"/>
  <c r="I29" i="93" l="1"/>
  <c r="O26" i="89"/>
  <c r="Q25" i="89"/>
  <c r="I30" i="93" l="1"/>
  <c r="O27" i="89"/>
  <c r="Q26" i="89"/>
  <c r="I31" i="93" l="1"/>
  <c r="O28" i="89"/>
  <c r="Q27" i="89"/>
  <c r="I32" i="93" l="1"/>
  <c r="O29" i="89"/>
  <c r="Q28" i="89"/>
  <c r="I33" i="93" l="1"/>
  <c r="O30" i="89"/>
  <c r="Q29" i="89"/>
  <c r="I34" i="93" l="1"/>
  <c r="O31" i="89"/>
  <c r="Q30" i="89"/>
  <c r="I35" i="93" l="1"/>
  <c r="O32" i="89"/>
  <c r="Q31" i="89"/>
  <c r="O33" i="89" l="1"/>
  <c r="Q32" i="89"/>
  <c r="O34" i="89" l="1"/>
  <c r="Q33" i="89"/>
  <c r="O35" i="89" l="1"/>
  <c r="Q34" i="89"/>
  <c r="Q35" i="89" l="1"/>
  <c r="O5" i="90"/>
  <c r="O6" i="90" l="1"/>
  <c r="Q5" i="90"/>
  <c r="O7" i="90" l="1"/>
  <c r="Q6" i="90"/>
  <c r="O8" i="90" l="1"/>
  <c r="Q7" i="90"/>
  <c r="O9" i="90" l="1"/>
  <c r="Q8" i="90"/>
  <c r="O10" i="90" l="1"/>
  <c r="Q9" i="90"/>
  <c r="O11" i="90" l="1"/>
  <c r="Q10" i="90"/>
  <c r="O12" i="90" l="1"/>
  <c r="Q11" i="90"/>
  <c r="O13" i="90" l="1"/>
  <c r="Q12" i="90"/>
  <c r="O14" i="90" l="1"/>
  <c r="Q13" i="90"/>
  <c r="O15" i="90" l="1"/>
  <c r="Q14" i="90"/>
  <c r="O16" i="90" l="1"/>
  <c r="Q15" i="90"/>
  <c r="O17" i="90" l="1"/>
  <c r="Q16" i="90"/>
  <c r="O18" i="90" l="1"/>
  <c r="Q17" i="90"/>
  <c r="O19" i="90" l="1"/>
  <c r="Q18" i="90"/>
  <c r="O20" i="90" l="1"/>
  <c r="Q19" i="90"/>
  <c r="O21" i="90" l="1"/>
  <c r="Q20" i="90"/>
  <c r="O22" i="90" l="1"/>
  <c r="Q21" i="90"/>
  <c r="O23" i="90" l="1"/>
  <c r="Q22" i="90"/>
  <c r="O24" i="90" l="1"/>
  <c r="Q23" i="90"/>
  <c r="O25" i="90" l="1"/>
  <c r="Q24" i="90"/>
  <c r="O26" i="90" l="1"/>
  <c r="Q25" i="90"/>
  <c r="O27" i="90" l="1"/>
  <c r="Q26" i="90"/>
  <c r="O28" i="90" l="1"/>
  <c r="Q27" i="90"/>
  <c r="O29" i="90" l="1"/>
  <c r="Q28" i="90"/>
  <c r="O30" i="90" l="1"/>
  <c r="Q29" i="90"/>
  <c r="O31" i="90" l="1"/>
  <c r="Q30" i="90"/>
  <c r="O32" i="90" l="1"/>
  <c r="Q31" i="90"/>
  <c r="O33" i="90" l="1"/>
  <c r="Q32" i="90"/>
  <c r="O34" i="90" l="1"/>
  <c r="Q33" i="90"/>
  <c r="O35" i="90" l="1"/>
  <c r="Q34" i="90"/>
  <c r="Q35" i="90" l="1"/>
  <c r="O5" i="91"/>
  <c r="O6" i="91" l="1"/>
  <c r="Q5" i="91"/>
  <c r="O7" i="91" l="1"/>
  <c r="Q6" i="91"/>
  <c r="O8" i="91" l="1"/>
  <c r="Q7" i="91"/>
  <c r="O9" i="91" l="1"/>
  <c r="Q8" i="91"/>
  <c r="O10" i="91" l="1"/>
  <c r="Q9" i="91"/>
  <c r="O11" i="91" l="1"/>
  <c r="Q10" i="91"/>
  <c r="O12" i="91" l="1"/>
  <c r="Q11" i="91"/>
  <c r="O13" i="91" l="1"/>
  <c r="Q12" i="91"/>
  <c r="O14" i="91" l="1"/>
  <c r="Q13" i="91"/>
  <c r="O15" i="91" l="1"/>
  <c r="Q14" i="91"/>
  <c r="O16" i="91" l="1"/>
  <c r="Q15" i="91"/>
  <c r="O17" i="91" l="1"/>
  <c r="Q16" i="91"/>
  <c r="O18" i="91" l="1"/>
  <c r="Q17" i="91"/>
  <c r="O19" i="91" l="1"/>
  <c r="Q18" i="91"/>
  <c r="O20" i="91" l="1"/>
  <c r="Q19" i="91"/>
  <c r="O21" i="91" l="1"/>
  <c r="Q20" i="91"/>
  <c r="O22" i="91" l="1"/>
  <c r="Q21" i="91"/>
  <c r="O23" i="91" l="1"/>
  <c r="Q22" i="91"/>
  <c r="O24" i="91" l="1"/>
  <c r="Q23" i="91"/>
  <c r="O25" i="91" l="1"/>
  <c r="Q24" i="91"/>
  <c r="O26" i="91" l="1"/>
  <c r="Q25" i="91"/>
  <c r="O27" i="91" l="1"/>
  <c r="Q26" i="91"/>
  <c r="O28" i="91" l="1"/>
  <c r="Q27" i="91"/>
  <c r="O29" i="91" l="1"/>
  <c r="Q28" i="91"/>
  <c r="O30" i="91" l="1"/>
  <c r="Q29" i="91"/>
  <c r="O31" i="91" l="1"/>
  <c r="Q30" i="91"/>
  <c r="O32" i="91" l="1"/>
  <c r="Q31" i="91"/>
  <c r="O33" i="91" l="1"/>
  <c r="Q32" i="91"/>
  <c r="O34" i="91" l="1"/>
  <c r="Q33" i="91"/>
  <c r="O35" i="91" l="1"/>
  <c r="Q34" i="91"/>
  <c r="Q35" i="91" l="1"/>
  <c r="O5" i="92"/>
  <c r="O6" i="92" l="1"/>
  <c r="Q5" i="92"/>
  <c r="O7" i="92" l="1"/>
  <c r="Q6" i="92"/>
  <c r="O8" i="92" l="1"/>
  <c r="Q7" i="92"/>
  <c r="O9" i="92" l="1"/>
  <c r="Q8" i="92"/>
  <c r="O10" i="92" l="1"/>
  <c r="Q9" i="92"/>
  <c r="O11" i="92" l="1"/>
  <c r="Q10" i="92"/>
  <c r="O12" i="92" l="1"/>
  <c r="Q11" i="92"/>
  <c r="O13" i="92" l="1"/>
  <c r="Q12" i="92"/>
  <c r="O14" i="92" l="1"/>
  <c r="Q13" i="92"/>
  <c r="O15" i="92" l="1"/>
  <c r="Q14" i="92"/>
  <c r="O16" i="92" l="1"/>
  <c r="Q15" i="92"/>
  <c r="O17" i="92" l="1"/>
  <c r="Q16" i="92"/>
  <c r="O18" i="92" l="1"/>
  <c r="Q17" i="92"/>
  <c r="O19" i="92" l="1"/>
  <c r="Q18" i="92"/>
  <c r="O20" i="92" l="1"/>
  <c r="Q19" i="92"/>
  <c r="O21" i="92" l="1"/>
  <c r="Q20" i="92"/>
  <c r="O22" i="92" l="1"/>
  <c r="Q21" i="92"/>
  <c r="O23" i="92" l="1"/>
  <c r="Q22" i="92"/>
  <c r="O24" i="92" l="1"/>
  <c r="Q23" i="92"/>
  <c r="O25" i="92" l="1"/>
  <c r="Q24" i="92"/>
  <c r="O26" i="92" l="1"/>
  <c r="Q25" i="92"/>
  <c r="O27" i="92" l="1"/>
  <c r="Q26" i="92"/>
  <c r="O28" i="92" l="1"/>
  <c r="Q27" i="92"/>
  <c r="O29" i="92" l="1"/>
  <c r="Q28" i="92"/>
  <c r="O30" i="92" l="1"/>
  <c r="Q29" i="92"/>
  <c r="O31" i="92" l="1"/>
  <c r="Q30" i="92"/>
  <c r="O32" i="92" l="1"/>
  <c r="Q31" i="92"/>
  <c r="O33" i="92" l="1"/>
  <c r="Q32" i="92"/>
  <c r="O34" i="92" l="1"/>
  <c r="Q33" i="92"/>
  <c r="O35" i="92" l="1"/>
  <c r="Q34" i="92"/>
  <c r="Q35" i="92" l="1"/>
  <c r="O5" i="93"/>
  <c r="O6" i="93" l="1"/>
  <c r="Q5" i="93"/>
  <c r="O7" i="93" l="1"/>
  <c r="Q6" i="93"/>
  <c r="O8" i="93" l="1"/>
  <c r="Q7" i="93"/>
  <c r="O9" i="93" l="1"/>
  <c r="Q8" i="93"/>
  <c r="O10" i="93" l="1"/>
  <c r="Q9" i="93"/>
  <c r="O11" i="93" l="1"/>
  <c r="Q10" i="93"/>
  <c r="O12" i="93" l="1"/>
  <c r="Q11" i="93"/>
  <c r="O13" i="93" l="1"/>
  <c r="Q12" i="93"/>
  <c r="O14" i="93" l="1"/>
  <c r="Q13" i="93"/>
  <c r="O15" i="93" l="1"/>
  <c r="Q14" i="93"/>
  <c r="O16" i="93" l="1"/>
  <c r="Q15" i="93"/>
  <c r="O17" i="93" l="1"/>
  <c r="Q16" i="93"/>
  <c r="O18" i="93" l="1"/>
  <c r="Q17" i="93"/>
  <c r="O19" i="93" l="1"/>
  <c r="Q18" i="93"/>
  <c r="O20" i="93" l="1"/>
  <c r="Q19" i="93"/>
  <c r="O21" i="93" l="1"/>
  <c r="Q20" i="93"/>
  <c r="O22" i="93" l="1"/>
  <c r="Q21" i="93"/>
  <c r="O23" i="93" l="1"/>
  <c r="Q22" i="93"/>
  <c r="O24" i="93" l="1"/>
  <c r="Q23" i="93"/>
  <c r="O25" i="93" l="1"/>
  <c r="Q24" i="93"/>
  <c r="O26" i="93" l="1"/>
  <c r="Q25" i="93"/>
  <c r="O27" i="93" l="1"/>
  <c r="Q26" i="93"/>
  <c r="O28" i="93" l="1"/>
  <c r="Q27" i="93"/>
  <c r="O29" i="93" l="1"/>
  <c r="Q28" i="93"/>
  <c r="O30" i="93" l="1"/>
  <c r="Q29" i="93"/>
  <c r="O31" i="93" l="1"/>
  <c r="Q30" i="93"/>
  <c r="O32" i="93" l="1"/>
  <c r="Q31" i="93"/>
  <c r="O33" i="93" l="1"/>
  <c r="Q32" i="93"/>
  <c r="O34" i="93" l="1"/>
  <c r="Q33" i="93"/>
  <c r="O35" i="93" l="1"/>
  <c r="Q35" i="93" s="1"/>
  <c r="Q34" i="93"/>
  <c r="Q5" i="94" l="1"/>
  <c r="O6" i="94"/>
  <c r="Q6" i="94" s="1"/>
  <c r="O7" i="94" l="1"/>
  <c r="Q7" i="94" l="1"/>
  <c r="O8" i="94"/>
  <c r="Q8" i="94" l="1"/>
  <c r="O9" i="94"/>
  <c r="Q9" i="94" l="1"/>
  <c r="O10" i="94"/>
  <c r="Q10" i="94" l="1"/>
  <c r="O11" i="94"/>
  <c r="O12" i="94" l="1"/>
  <c r="Q11" i="94"/>
  <c r="Q12" i="94" l="1"/>
  <c r="O13" i="94"/>
  <c r="Q13" i="94" l="1"/>
  <c r="O14" i="94"/>
  <c r="Q14" i="94" l="1"/>
  <c r="O15" i="94"/>
  <c r="O16" i="94" l="1"/>
  <c r="Q15" i="94"/>
  <c r="Q16" i="94" l="1"/>
  <c r="O17" i="94"/>
  <c r="Q17" i="94" l="1"/>
  <c r="O18" i="94"/>
  <c r="Q18" i="94" l="1"/>
  <c r="O19" i="94"/>
  <c r="O20" i="94" l="1"/>
  <c r="Q19" i="94"/>
  <c r="Q20" i="94" l="1"/>
  <c r="O21" i="94"/>
  <c r="Q21" i="94" l="1"/>
  <c r="O22" i="94"/>
  <c r="Q22" i="94" l="1"/>
  <c r="O23" i="94"/>
  <c r="O24" i="94" l="1"/>
  <c r="Q23" i="94"/>
  <c r="Q24" i="94" l="1"/>
  <c r="O25" i="94"/>
  <c r="Q25" i="94" l="1"/>
  <c r="O26" i="94"/>
  <c r="Q26" i="94" l="1"/>
  <c r="O27" i="94"/>
  <c r="O28" i="94" l="1"/>
  <c r="Q27" i="94"/>
  <c r="Q28" i="94" l="1"/>
  <c r="O29" i="94"/>
  <c r="Q29" i="94" l="1"/>
  <c r="O30" i="94"/>
  <c r="Q30" i="94" l="1"/>
  <c r="O31" i="94"/>
  <c r="Q31" i="94" l="1"/>
  <c r="O32" i="94"/>
  <c r="Q32" i="94" l="1"/>
  <c r="O33" i="94"/>
  <c r="Q33" i="94" l="1"/>
  <c r="O34" i="94"/>
  <c r="Q34" i="94" l="1"/>
  <c r="O35" i="94"/>
  <c r="Q35" i="94" l="1"/>
  <c r="O5" i="95"/>
  <c r="O6" i="95" l="1"/>
  <c r="Q5" i="95"/>
  <c r="O7" i="95" l="1"/>
  <c r="Q6" i="95"/>
  <c r="O8" i="95" l="1"/>
  <c r="Q7" i="95"/>
  <c r="O9" i="95" l="1"/>
  <c r="Q8" i="95"/>
  <c r="O10" i="95" l="1"/>
  <c r="Q9" i="95"/>
  <c r="O11" i="95" l="1"/>
  <c r="Q10" i="95"/>
  <c r="O12" i="95" l="1"/>
  <c r="Q11" i="95"/>
  <c r="O13" i="95" l="1"/>
  <c r="Q12" i="95"/>
  <c r="O14" i="95" l="1"/>
  <c r="Q13" i="95"/>
  <c r="O15" i="95" l="1"/>
  <c r="Q14" i="95"/>
  <c r="O16" i="95" l="1"/>
  <c r="Q15" i="95"/>
  <c r="O17" i="95" l="1"/>
  <c r="Q16" i="95"/>
  <c r="O18" i="95" l="1"/>
  <c r="Q17" i="95"/>
  <c r="O19" i="95" l="1"/>
  <c r="Q18" i="95"/>
  <c r="O20" i="95" l="1"/>
  <c r="Q19" i="95"/>
  <c r="O21" i="95" l="1"/>
  <c r="Q20" i="95"/>
  <c r="O22" i="95" l="1"/>
  <c r="Q21" i="95"/>
  <c r="O23" i="95" l="1"/>
  <c r="Q22" i="95"/>
  <c r="O24" i="95" l="1"/>
  <c r="Q23" i="95"/>
  <c r="O25" i="95" l="1"/>
  <c r="Q24" i="95"/>
  <c r="O26" i="95" l="1"/>
  <c r="Q25" i="95"/>
  <c r="O27" i="95" l="1"/>
  <c r="Q26" i="95"/>
  <c r="O28" i="95" l="1"/>
  <c r="Q27" i="95"/>
  <c r="O29" i="95" l="1"/>
  <c r="Q28" i="95"/>
  <c r="O30" i="95" l="1"/>
  <c r="Q29" i="95"/>
  <c r="O31" i="95" l="1"/>
  <c r="Q30" i="95"/>
  <c r="O32" i="95" l="1"/>
  <c r="Q31" i="95"/>
  <c r="O33" i="95" l="1"/>
  <c r="Q32" i="95"/>
  <c r="O34" i="95" l="1"/>
  <c r="Q33" i="95"/>
  <c r="O35" i="95" l="1"/>
  <c r="Q34" i="95"/>
  <c r="Q35" i="95" l="1"/>
  <c r="O5" i="96"/>
  <c r="O6" i="96" l="1"/>
  <c r="Q5" i="96"/>
  <c r="O7" i="96" l="1"/>
  <c r="Q6" i="96"/>
  <c r="O8" i="96" l="1"/>
  <c r="Q7" i="96"/>
  <c r="O9" i="96" l="1"/>
  <c r="Q8" i="96"/>
  <c r="O10" i="96" l="1"/>
  <c r="Q9" i="96"/>
  <c r="O11" i="96" l="1"/>
  <c r="Q10" i="96"/>
  <c r="O12" i="96" l="1"/>
  <c r="Q11" i="96"/>
  <c r="O13" i="96" l="1"/>
  <c r="Q12" i="96"/>
  <c r="O14" i="96" l="1"/>
  <c r="Q13" i="96"/>
  <c r="O15" i="96" l="1"/>
  <c r="Q14" i="96"/>
  <c r="O16" i="96" l="1"/>
  <c r="Q15" i="96"/>
  <c r="O17" i="96" l="1"/>
  <c r="Q16" i="96"/>
  <c r="O18" i="96" l="1"/>
  <c r="Q17" i="96"/>
  <c r="O19" i="96" l="1"/>
  <c r="Q18" i="96"/>
  <c r="O20" i="96" l="1"/>
  <c r="Q19" i="96"/>
  <c r="O21" i="96" l="1"/>
  <c r="Q20" i="96"/>
  <c r="O22" i="96" l="1"/>
  <c r="Q21" i="96"/>
  <c r="O23" i="96" l="1"/>
  <c r="Q22" i="96"/>
  <c r="O24" i="96" l="1"/>
  <c r="Q23" i="96"/>
  <c r="O25" i="96" l="1"/>
  <c r="Q24" i="96"/>
  <c r="O26" i="96" l="1"/>
  <c r="Q25" i="96"/>
  <c r="O27" i="96" l="1"/>
  <c r="Q26" i="96"/>
  <c r="O28" i="96" l="1"/>
  <c r="Q27" i="96"/>
  <c r="O29" i="96" l="1"/>
  <c r="Q28" i="96"/>
  <c r="O30" i="96" l="1"/>
  <c r="Q29" i="96"/>
  <c r="O31" i="96" l="1"/>
  <c r="Q30" i="96"/>
  <c r="O32" i="96" l="1"/>
  <c r="Q31" i="96"/>
  <c r="O33" i="96" l="1"/>
  <c r="Q32" i="96"/>
  <c r="O34" i="96" l="1"/>
  <c r="Q33" i="96"/>
  <c r="O35" i="96" l="1"/>
  <c r="Q34" i="96"/>
  <c r="Q35" i="96" l="1"/>
  <c r="O5" i="97"/>
  <c r="O6" i="97" l="1"/>
  <c r="Q5" i="97"/>
  <c r="O7" i="97" l="1"/>
  <c r="Q6" i="97"/>
  <c r="O8" i="97" l="1"/>
  <c r="Q7" i="97"/>
  <c r="O9" i="97" l="1"/>
  <c r="Q8" i="97"/>
  <c r="O10" i="97" l="1"/>
  <c r="Q9" i="97"/>
  <c r="O11" i="97" l="1"/>
  <c r="Q10" i="97"/>
  <c r="O12" i="97" l="1"/>
  <c r="Q11" i="97"/>
  <c r="O13" i="97" l="1"/>
  <c r="Q12" i="97"/>
  <c r="O14" i="97" l="1"/>
  <c r="Q13" i="97"/>
  <c r="O15" i="97" l="1"/>
  <c r="Q14" i="97"/>
  <c r="O16" i="97" l="1"/>
  <c r="Q15" i="97"/>
  <c r="O17" i="97" l="1"/>
  <c r="Q16" i="97"/>
  <c r="O18" i="97" l="1"/>
  <c r="Q17" i="97"/>
  <c r="O19" i="97" l="1"/>
  <c r="Q18" i="97"/>
  <c r="O20" i="97" l="1"/>
  <c r="Q19" i="97"/>
  <c r="O21" i="97" l="1"/>
  <c r="Q20" i="97"/>
  <c r="O22" i="97" l="1"/>
  <c r="Q21" i="97"/>
  <c r="O23" i="97" l="1"/>
  <c r="Q22" i="97"/>
  <c r="O24" i="97" l="1"/>
  <c r="Q23" i="97"/>
  <c r="O25" i="97" l="1"/>
  <c r="Q24" i="97"/>
  <c r="O26" i="97" l="1"/>
  <c r="Q25" i="97"/>
  <c r="O27" i="97" l="1"/>
  <c r="Q26" i="97"/>
  <c r="O28" i="97" l="1"/>
  <c r="Q27" i="97"/>
  <c r="O29" i="97" l="1"/>
  <c r="Q28" i="97"/>
  <c r="O30" i="97" l="1"/>
  <c r="Q29" i="97"/>
  <c r="O31" i="97" l="1"/>
  <c r="Q30" i="97"/>
  <c r="O32" i="97" l="1"/>
  <c r="Q31" i="97"/>
  <c r="O33" i="97" l="1"/>
  <c r="Q32" i="97"/>
  <c r="O34" i="97" l="1"/>
  <c r="Q33" i="97"/>
  <c r="O35" i="97" l="1"/>
  <c r="Q35" i="97" s="1"/>
  <c r="Q34" i="97"/>
</calcChain>
</file>

<file path=xl/comments1.xml><?xml version="1.0" encoding="utf-8"?>
<comments xmlns="http://schemas.openxmlformats.org/spreadsheetml/2006/main">
  <authors>
    <author>Автор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остатком СПК-Сибирь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покупка газовоза Томойл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Газовоз РСГ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Газовоз РСГ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оба ГазОйл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+ГазОйл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Газойл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ЮРГ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ЮРГ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Газойл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Газойл, ЮРГ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Газойл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ЮРГ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ГазОйл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 20,36+20,48+23,01
Томойл 19,52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ГазОйл
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ГазОйл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ЮргаРГ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+Юрга РГ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ЮргаРГ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ЮргаРГ 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ЮргаРГ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ЮргаРГ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+ЮРГ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ЮРГ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ЮРГ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ЮРГ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+ЮРГ</t>
        </r>
      </text>
    </comment>
  </commentList>
</comments>
</file>

<file path=xl/sharedStrings.xml><?xml version="1.0" encoding="utf-8"?>
<sst xmlns="http://schemas.openxmlformats.org/spreadsheetml/2006/main" count="2821" uniqueCount="627">
  <si>
    <t>Подотчет Тураева</t>
  </si>
  <si>
    <t>Обменный пункт</t>
  </si>
  <si>
    <t>Расход</t>
  </si>
  <si>
    <t>Приход тн</t>
  </si>
  <si>
    <t>Пропан</t>
  </si>
  <si>
    <t>расход</t>
  </si>
  <si>
    <t>Газ.</t>
  </si>
  <si>
    <t>Бал.</t>
  </si>
  <si>
    <t xml:space="preserve">Приход </t>
  </si>
  <si>
    <t>Остаток</t>
  </si>
  <si>
    <t>Приход</t>
  </si>
  <si>
    <t>А Г З С</t>
  </si>
  <si>
    <t>Итого</t>
  </si>
  <si>
    <t>Хранен</t>
  </si>
  <si>
    <t>Петролеум Трейдинг</t>
  </si>
  <si>
    <t>ПАО Новатэк</t>
  </si>
  <si>
    <t>Топнефть</t>
  </si>
  <si>
    <t>Цены в руб. с НДС</t>
  </si>
  <si>
    <t>ПАО НОВАТЭК</t>
  </si>
  <si>
    <t>ООО "Нафта"</t>
  </si>
  <si>
    <t>Отгрузка, т</t>
  </si>
  <si>
    <t>баланс.</t>
  </si>
  <si>
    <t>реализация*</t>
  </si>
  <si>
    <t>Старшинова</t>
  </si>
  <si>
    <t>Счет на оплату</t>
  </si>
  <si>
    <t>637кг х 20=12 740</t>
  </si>
  <si>
    <t>обмен
ный пункт</t>
  </si>
  <si>
    <t>В дороге, т</t>
  </si>
  <si>
    <t>комм.</t>
  </si>
  <si>
    <t>108 т.</t>
  </si>
  <si>
    <t>Химтрансгрупп</t>
  </si>
  <si>
    <t>Остаток на ГНС+
баллоны</t>
  </si>
  <si>
    <t>остаток в хранилище ГНС</t>
  </si>
  <si>
    <t>Итого:</t>
  </si>
  <si>
    <t>В дороге</t>
  </si>
  <si>
    <t>всего</t>
  </si>
  <si>
    <t>Оплачено, не отгружено</t>
  </si>
  <si>
    <t>Иркутская нефтяная компания</t>
  </si>
  <si>
    <t>План</t>
  </si>
  <si>
    <t>Прим.:"мертвый остаток" составляет</t>
  </si>
  <si>
    <t>165 т.</t>
  </si>
  <si>
    <t>Коммерческий газ , 
руб. с НДС</t>
  </si>
  <si>
    <t>№ вагона</t>
  </si>
  <si>
    <t>Н</t>
  </si>
  <si>
    <t>Балансовый газ , 
руб. с НДС</t>
  </si>
  <si>
    <t xml:space="preserve">ООО "Томойл" (авто)
</t>
  </si>
  <si>
    <t>Вес</t>
  </si>
  <si>
    <t>Накладная</t>
  </si>
  <si>
    <t>ПТ</t>
  </si>
  <si>
    <t>ПБА</t>
  </si>
  <si>
    <t>паровый остаток составляет</t>
  </si>
  <si>
    <t>Остаток без м/о, пар/о.</t>
  </si>
  <si>
    <t>777кг х 20=15 540</t>
  </si>
  <si>
    <t>теор.</t>
  </si>
  <si>
    <t>144 т.</t>
  </si>
  <si>
    <t>01-31.01.2022</t>
  </si>
  <si>
    <t>175 т.</t>
  </si>
  <si>
    <t>* ст. Сургут ж/д тариф с 16.06.2022 г. - 8172 руб/т. с НДС</t>
  </si>
  <si>
    <t>* ст. Тобольск ж/д тариф - 6990 руб/т. с НДС</t>
  </si>
  <si>
    <t>* ст. Коротчаево ж/д тариф - 9470 руб/т. с НДС</t>
  </si>
  <si>
    <t>Газпром ГНП холдинг</t>
  </si>
  <si>
    <t>* ст. Нижний Бестях ж/д тариф - 12600 руб/т. с НДС</t>
  </si>
  <si>
    <t>ЮргаРегионГаз / РегионСибГаз</t>
  </si>
  <si>
    <t>ООО
 "Газойл"</t>
  </si>
  <si>
    <t>* ст. Комбинатская ж/д тариф - 5204 руб/т. с НДС</t>
  </si>
  <si>
    <t>02.12/1</t>
  </si>
  <si>
    <t>08.12/1</t>
  </si>
  <si>
    <t>18.12/1</t>
  </si>
  <si>
    <t>22.12/2</t>
  </si>
  <si>
    <t>01.12-1</t>
  </si>
  <si>
    <t>21.12-2</t>
  </si>
  <si>
    <t>23.12-1</t>
  </si>
  <si>
    <t>ДЕКАБРЬ
2022</t>
  </si>
  <si>
    <t>ЭЯ198887</t>
  </si>
  <si>
    <t>ЭЯ197613</t>
  </si>
  <si>
    <t>ЭЯ251038</t>
  </si>
  <si>
    <t>(03.12-2)</t>
  </si>
  <si>
    <t>ЭЯ 484208</t>
  </si>
  <si>
    <t>ЭЯ698056</t>
  </si>
  <si>
    <t>ЭЯ733117</t>
  </si>
  <si>
    <t>11.12-1</t>
  </si>
  <si>
    <t>13.12-1</t>
  </si>
  <si>
    <t>01-15.12.2022</t>
  </si>
  <si>
    <t>16-31.12.2022</t>
  </si>
  <si>
    <t>01.01.-31.01.2022</t>
  </si>
  <si>
    <t>04.01/1</t>
  </si>
  <si>
    <t>11.01./1</t>
  </si>
  <si>
    <t>17.01/1</t>
  </si>
  <si>
    <t>23.01/2</t>
  </si>
  <si>
    <t>ЭЯ887524</t>
  </si>
  <si>
    <t>ЭЯ984073</t>
  </si>
  <si>
    <t>16.12/1</t>
  </si>
  <si>
    <t>ЭА171585</t>
  </si>
  <si>
    <t>01.01.-15.01.2023</t>
  </si>
  <si>
    <t xml:space="preserve">    с 01.01.2023 -8989 руб./т</t>
  </si>
  <si>
    <t>ЭА205656</t>
  </si>
  <si>
    <t>05.01/1</t>
  </si>
  <si>
    <t>13.01/1</t>
  </si>
  <si>
    <t>24.01/1</t>
  </si>
  <si>
    <t>03.01/1</t>
  </si>
  <si>
    <t>12.01./2</t>
  </si>
  <si>
    <t>21.01/2</t>
  </si>
  <si>
    <t>ЭА290545</t>
  </si>
  <si>
    <t>01-11.12.2022</t>
  </si>
  <si>
    <t>12-20.12.2022</t>
  </si>
  <si>
    <t>21-31.12.2022</t>
  </si>
  <si>
    <t>ООО "Газпром ГНП холдинг"
новый договор</t>
  </si>
  <si>
    <t>ООО "Газпром ГНП холдинг" старый договор</t>
  </si>
  <si>
    <t>ЯНВАРЬ
2023</t>
  </si>
  <si>
    <t>ЭА752550</t>
  </si>
  <si>
    <t>03.01/2</t>
  </si>
  <si>
    <t>12.01./1</t>
  </si>
  <si>
    <t>ЭА827466</t>
  </si>
  <si>
    <t>ЭА872876</t>
  </si>
  <si>
    <t>ЭБ052496</t>
  </si>
  <si>
    <t>ЭБ172548</t>
  </si>
  <si>
    <t>* ст. Сургут ж/д тариф с 01.01.2023 г. - 8989 руб/т. с НДС</t>
  </si>
  <si>
    <t>14.01/1</t>
  </si>
  <si>
    <t>ЭБ354900</t>
  </si>
  <si>
    <t>ЭБ457312</t>
  </si>
  <si>
    <t>01.02-1</t>
  </si>
  <si>
    <t>08.02-1</t>
  </si>
  <si>
    <t>15.02-1</t>
  </si>
  <si>
    <t>22.02-2</t>
  </si>
  <si>
    <t>01-28.02.2022</t>
  </si>
  <si>
    <t>ЭБ565492</t>
  </si>
  <si>
    <t>50859966, 50856202</t>
  </si>
  <si>
    <t>01-19.01.2022</t>
  </si>
  <si>
    <t>20-31.01.2022</t>
  </si>
  <si>
    <t>15.02-2</t>
  </si>
  <si>
    <t>21.02-2</t>
  </si>
  <si>
    <t>03.02-1</t>
  </si>
  <si>
    <t>14.02-1</t>
  </si>
  <si>
    <t>20.02-1</t>
  </si>
  <si>
    <t>ЭБ752044</t>
  </si>
  <si>
    <t>76600329, 58267212</t>
  </si>
  <si>
    <t>23.01/1</t>
  </si>
  <si>
    <t>ЭБ776834</t>
  </si>
  <si>
    <t>ФЕВРАЛЬ
2023</t>
  </si>
  <si>
    <t>ЭВ279969</t>
  </si>
  <si>
    <t>ЭВ276277</t>
  </si>
  <si>
    <t>ЭВ252636</t>
  </si>
  <si>
    <t>ЭВ577674</t>
  </si>
  <si>
    <t>ЭВ796588</t>
  </si>
  <si>
    <t>ЭВ931043</t>
  </si>
  <si>
    <t>ЭВ960288</t>
  </si>
  <si>
    <t>ЭВ960253</t>
  </si>
  <si>
    <t>ЭВ953165</t>
  </si>
  <si>
    <t>01-31.03.2022</t>
  </si>
  <si>
    <t>04.03-1</t>
  </si>
  <si>
    <t>16.03-2</t>
  </si>
  <si>
    <t>22.03-2</t>
  </si>
  <si>
    <t>ЭГ142344</t>
  </si>
  <si>
    <t>50819473, 50855105</t>
  </si>
  <si>
    <t>03.03-1</t>
  </si>
  <si>
    <t>15.03-2</t>
  </si>
  <si>
    <t>14.03-1</t>
  </si>
  <si>
    <t>21.03-1</t>
  </si>
  <si>
    <t>ЭГ302931</t>
  </si>
  <si>
    <t>76693548, 76673250</t>
  </si>
  <si>
    <t>ООО "Газпром ГНП холдинг"</t>
  </si>
  <si>
    <t>ЭГ819538</t>
  </si>
  <si>
    <t>ЭГ880274</t>
  </si>
  <si>
    <t>МАРТ
2023</t>
  </si>
  <si>
    <t>ЭД008700</t>
  </si>
  <si>
    <t>01-30.04.2023</t>
  </si>
  <si>
    <t>04.04-1</t>
  </si>
  <si>
    <t>11.04-1</t>
  </si>
  <si>
    <t>14.04-2</t>
  </si>
  <si>
    <t>20.04-2</t>
  </si>
  <si>
    <t>07.04-1</t>
  </si>
  <si>
    <t>12.04-1</t>
  </si>
  <si>
    <t>19.04-1</t>
  </si>
  <si>
    <t>ЭД407658</t>
  </si>
  <si>
    <t>14.03-2</t>
  </si>
  <si>
    <t>76634625, 50856301</t>
  </si>
  <si>
    <t>ЭД536807</t>
  </si>
  <si>
    <t>ЭД539441</t>
  </si>
  <si>
    <t>16.03-1</t>
  </si>
  <si>
    <t>76672724, 58154642</t>
  </si>
  <si>
    <t>ЭД708813</t>
  </si>
  <si>
    <t>20.03-1</t>
  </si>
  <si>
    <t>01-21.03.2022</t>
  </si>
  <si>
    <t>77545499, 76667906</t>
  </si>
  <si>
    <t>22.03-1</t>
  </si>
  <si>
    <t>ЭД766945</t>
  </si>
  <si>
    <t>ЭД787408</t>
  </si>
  <si>
    <t>21.03-2</t>
  </si>
  <si>
    <t xml:space="preserve">ЭД846194 </t>
  </si>
  <si>
    <t>АПРЕЛЬ
2023</t>
  </si>
  <si>
    <t>ПАО "Новатэк"
новый договор</t>
  </si>
  <si>
    <t>ПАО "Новатэк"</t>
  </si>
  <si>
    <t>03.04-1</t>
  </si>
  <si>
    <r>
      <t>21.04-</t>
    </r>
    <r>
      <rPr>
        <strike/>
        <sz val="11"/>
        <color theme="0"/>
        <rFont val="Calibri"/>
        <family val="2"/>
        <charset val="204"/>
        <scheme val="minor"/>
      </rPr>
      <t>2/</t>
    </r>
    <r>
      <rPr>
        <sz val="11"/>
        <color rgb="FFFF0000"/>
        <rFont val="Calibri"/>
        <family val="2"/>
        <charset val="204"/>
        <scheme val="minor"/>
      </rPr>
      <t>1</t>
    </r>
  </si>
  <si>
    <t>108? т.</t>
  </si>
  <si>
    <t>ЭЕ577820</t>
  </si>
  <si>
    <t>ЭЕ569674</t>
  </si>
  <si>
    <t>05.04-1</t>
  </si>
  <si>
    <t>ЭЕ863318</t>
  </si>
  <si>
    <t>01-14.04.2023</t>
  </si>
  <si>
    <t>21.04-2</t>
  </si>
  <si>
    <t>140 т.</t>
  </si>
  <si>
    <t>ЭЖ017935</t>
  </si>
  <si>
    <t>58174368, 50810878</t>
  </si>
  <si>
    <t>ЭЕ422151</t>
  </si>
  <si>
    <t>ЭЖ242484</t>
  </si>
  <si>
    <t>15-30.04.2023</t>
  </si>
  <si>
    <t>01-31.05.2023</t>
  </si>
  <si>
    <t>03.05-1</t>
  </si>
  <si>
    <t>12.05-1</t>
  </si>
  <si>
    <t>24.05-2</t>
  </si>
  <si>
    <t>ЭЖ326816</t>
  </si>
  <si>
    <t>ЭЖ327828</t>
  </si>
  <si>
    <t>04.05-1</t>
  </si>
  <si>
    <t>16.05-2</t>
  </si>
  <si>
    <t>10.05-1</t>
  </si>
  <si>
    <t>17.05-1</t>
  </si>
  <si>
    <t>26.05-1</t>
  </si>
  <si>
    <t>ЭЖ403191</t>
  </si>
  <si>
    <t>ЭЖ527154</t>
  </si>
  <si>
    <t>24.04-1</t>
  </si>
  <si>
    <t>МАЙ
2023</t>
  </si>
  <si>
    <t>ЭЖ978299</t>
  </si>
  <si>
    <t>ЭЗ033292</t>
  </si>
  <si>
    <t>01-05.05.2023</t>
  </si>
  <si>
    <t>ЭЗ410288</t>
  </si>
  <si>
    <t>06-13.05.2023</t>
  </si>
  <si>
    <t>14-31.05.2023</t>
  </si>
  <si>
    <t>70 т.</t>
  </si>
  <si>
    <t>ЮргаРегионГаз</t>
  </si>
  <si>
    <t>100 т.</t>
  </si>
  <si>
    <t>01-30.06.2023</t>
  </si>
  <si>
    <t>01.06-1</t>
  </si>
  <si>
    <t>09.06-1</t>
  </si>
  <si>
    <t>20.06-1</t>
  </si>
  <si>
    <t>29.06-1</t>
  </si>
  <si>
    <t>16-31.05.2023</t>
  </si>
  <si>
    <t>ЭЗ706518</t>
  </si>
  <si>
    <t>ЭЗ728236</t>
  </si>
  <si>
    <t>17.05-2</t>
  </si>
  <si>
    <t>01.06-2</t>
  </si>
  <si>
    <t>22.06-1</t>
  </si>
  <si>
    <t>13.06-2</t>
  </si>
  <si>
    <t>15.06-1</t>
  </si>
  <si>
    <t>ЭИ129685</t>
  </si>
  <si>
    <t>25.05-1</t>
  </si>
  <si>
    <t>ЭИ154927</t>
  </si>
  <si>
    <t>58214487, 50851088</t>
  </si>
  <si>
    <t>25.05-2</t>
  </si>
  <si>
    <t>ЭИ247492</t>
  </si>
  <si>
    <t>ЭИ333311</t>
  </si>
  <si>
    <t>27.05-1</t>
  </si>
  <si>
    <t>28.05-1</t>
  </si>
  <si>
    <t>ИЮНЬ
2023</t>
  </si>
  <si>
    <t>ЭИ572164</t>
  </si>
  <si>
    <t>55205546, 50536556</t>
  </si>
  <si>
    <t>Коммерческий газ, 
руб. с НДС</t>
  </si>
  <si>
    <t>ЭИ594839</t>
  </si>
  <si>
    <t>ЭИ760972</t>
  </si>
  <si>
    <t>05.06-1</t>
  </si>
  <si>
    <t>01-31.07.2023</t>
  </si>
  <si>
    <t>ИЮЛЬ
2023</t>
  </si>
  <si>
    <t>01-06.06.2023</t>
  </si>
  <si>
    <t>ЭЙ075658</t>
  </si>
  <si>
    <t>ЭЙ007792</t>
  </si>
  <si>
    <t>ЭЙ109860</t>
  </si>
  <si>
    <t>50841477, 58173824</t>
  </si>
  <si>
    <t>ЭЙ344499</t>
  </si>
  <si>
    <t>ЭЙ438629</t>
  </si>
  <si>
    <t>ЭЙ544240</t>
  </si>
  <si>
    <t>07-26.06.2023</t>
  </si>
  <si>
    <t>27-30.06.2023</t>
  </si>
  <si>
    <t>01.07-1</t>
  </si>
  <si>
    <t>08.07-1</t>
  </si>
  <si>
    <t>24.07-2</t>
  </si>
  <si>
    <t>03.07-1</t>
  </si>
  <si>
    <t>14.07-1</t>
  </si>
  <si>
    <t>20.07-1</t>
  </si>
  <si>
    <t>06.07-2</t>
  </si>
  <si>
    <t>13.07-1</t>
  </si>
  <si>
    <t>21.07-2</t>
  </si>
  <si>
    <t>ЭЙ892502</t>
  </si>
  <si>
    <t>ЭК044967</t>
  </si>
  <si>
    <t>04.07-2</t>
  </si>
  <si>
    <t>ЭК164307</t>
  </si>
  <si>
    <t>ЭК164353</t>
  </si>
  <si>
    <t>ЭК347897</t>
  </si>
  <si>
    <t>* ст. Комбинатская ж/д тариф 2022 - 5204 руб/т. с НДС</t>
  </si>
  <si>
    <t>* ст. Комбинатская ж/д тариф 2023 - 5320 руб/т. с НДС</t>
  </si>
  <si>
    <t>* ст. Тобольск ж/д тариф 2022 - 6990 руб/т. с НДС</t>
  </si>
  <si>
    <t>* ст. Тобольск ж/д тариф 2023 - 7380 руб/т. с НДС</t>
  </si>
  <si>
    <t>* ст. Коротчаево ж/д тариф 2022 - 9470 руб/т. с НДС</t>
  </si>
  <si>
    <t>* ст. Нижний Бестях ж/д тариф 2022 - 12600 руб/т. с НДС</t>
  </si>
  <si>
    <t>01-10.07.2023</t>
  </si>
  <si>
    <t>11-31.07.2023</t>
  </si>
  <si>
    <t>ЭК563411</t>
  </si>
  <si>
    <t>ЭК582968</t>
  </si>
  <si>
    <t>12.07-1</t>
  </si>
  <si>
    <t>ЭК656942</t>
  </si>
  <si>
    <t>от 18.07.2023</t>
  </si>
  <si>
    <t>ООО "Шелко"</t>
  </si>
  <si>
    <t>Шелко</t>
  </si>
  <si>
    <t>01-31.08.2023</t>
  </si>
  <si>
    <t>02.08-2</t>
  </si>
  <si>
    <t>18.08-1</t>
  </si>
  <si>
    <t>10.08-1</t>
  </si>
  <si>
    <t>ЭК901193</t>
  </si>
  <si>
    <t>19.07-1</t>
  </si>
  <si>
    <t>ПБТ</t>
  </si>
  <si>
    <t>ЭЛ021390</t>
  </si>
  <si>
    <t>21.07-1</t>
  </si>
  <si>
    <t>23.07-1</t>
  </si>
  <si>
    <t>ЭЛ100396</t>
  </si>
  <si>
    <t>ЭЛ120832</t>
  </si>
  <si>
    <t>04.08-1</t>
  </si>
  <si>
    <t>16.08-2</t>
  </si>
  <si>
    <t>23.08-2</t>
  </si>
  <si>
    <t>11.08-1</t>
  </si>
  <si>
    <t>17.08-1</t>
  </si>
  <si>
    <t>АО "Компания Уфаойл"</t>
  </si>
  <si>
    <t>Уфаойл</t>
  </si>
  <si>
    <t>17 от 27.07.2023</t>
  </si>
  <si>
    <t>АВГУСТ
2023</t>
  </si>
  <si>
    <t>Нафта</t>
  </si>
  <si>
    <t>ПА</t>
  </si>
  <si>
    <t>13 от 31.07.2023</t>
  </si>
  <si>
    <t>Сургут</t>
  </si>
  <si>
    <t>14 от 31.07.2023</t>
  </si>
  <si>
    <t>ЭЛ592879</t>
  </si>
  <si>
    <t>БТ 100т.</t>
  </si>
  <si>
    <t>ЭЛ603177</t>
  </si>
  <si>
    <t>76600840, 57818247</t>
  </si>
  <si>
    <t>ЭЛ629214</t>
  </si>
  <si>
    <t>01.08-1</t>
  </si>
  <si>
    <t>15 от 02.08.2023</t>
  </si>
  <si>
    <t>Комбинатская</t>
  </si>
  <si>
    <t>1895-134 от 18.07.2023</t>
  </si>
  <si>
    <t>20 от 18.07.2023</t>
  </si>
  <si>
    <t>16 от 03.08.2023</t>
  </si>
  <si>
    <t>* ст. Тобольск ж/д тариф 2023 Сибур - 8055 руб/т. с НДС</t>
  </si>
  <si>
    <t>Уфа</t>
  </si>
  <si>
    <t>17 от 04.08.2023</t>
  </si>
  <si>
    <t>ЭЛ809297</t>
  </si>
  <si>
    <t>остаток</t>
  </si>
  <si>
    <t>18 от 07.08.2023</t>
  </si>
  <si>
    <t>ЭЛ984353</t>
  </si>
  <si>
    <t>11-31.08.2023</t>
  </si>
  <si>
    <t>ЭМ311073</t>
  </si>
  <si>
    <t>17-31.08.2023</t>
  </si>
  <si>
    <t>ЭМ388992</t>
  </si>
  <si>
    <t>ЭМ518446</t>
  </si>
  <si>
    <t xml:space="preserve">140 т. </t>
  </si>
  <si>
    <t>03.09 -1</t>
  </si>
  <si>
    <t>12.09 -1</t>
  </si>
  <si>
    <t>19.09-1</t>
  </si>
  <si>
    <t>27.09 -1</t>
  </si>
  <si>
    <t>01-30.09.2023</t>
  </si>
  <si>
    <t>50858828, 50858810</t>
  </si>
  <si>
    <t>01-16.08.2023</t>
  </si>
  <si>
    <t>Тобольск от 02.08.2023</t>
  </si>
  <si>
    <t>ГазОйл</t>
  </si>
  <si>
    <t>02.09-2</t>
  </si>
  <si>
    <t>09.09-2</t>
  </si>
  <si>
    <t>15.09-1</t>
  </si>
  <si>
    <t>01.09-1</t>
  </si>
  <si>
    <t>08.09-1</t>
  </si>
  <si>
    <t>ЭМ701307</t>
  </si>
  <si>
    <t>ЭМ701315</t>
  </si>
  <si>
    <t>ЭМ796429</t>
  </si>
  <si>
    <t>76603018, 58267204</t>
  </si>
  <si>
    <t>СЕНТЯБРЬ
2023</t>
  </si>
  <si>
    <t>Нафта (36,26 т.)</t>
  </si>
  <si>
    <t>Нафта (36,5 т.)</t>
  </si>
  <si>
    <t>Нафта (31,2 т.)</t>
  </si>
  <si>
    <t>Нафта (35,42 т.)</t>
  </si>
  <si>
    <t>31.08-2ПТ</t>
  </si>
  <si>
    <t>ЭН057863</t>
  </si>
  <si>
    <t>ЭН057790</t>
  </si>
  <si>
    <t>19 от 31.08.2023</t>
  </si>
  <si>
    <t>* ст. Комбинатская ж/д тариф *08.2023 - 5630,36 руб/т. с НДС</t>
  </si>
  <si>
    <t>ЭН101406</t>
  </si>
  <si>
    <t>ЭН101339</t>
  </si>
  <si>
    <t>ЭН110420</t>
  </si>
  <si>
    <t>ЭН171018</t>
  </si>
  <si>
    <t>ЭН173363</t>
  </si>
  <si>
    <t>Ш.ПБА</t>
  </si>
  <si>
    <t>ПеТ.ПБА</t>
  </si>
  <si>
    <t>21 от 04.09.2023</t>
  </si>
  <si>
    <t>20 от 04.09.2023</t>
  </si>
  <si>
    <t>22 от 04.09.2023</t>
  </si>
  <si>
    <t>ЭН351074</t>
  </si>
  <si>
    <t>Нафта-ПА</t>
  </si>
  <si>
    <t>Нафта (35,421т)</t>
  </si>
  <si>
    <t>ЭН479200</t>
  </si>
  <si>
    <t>01-08.09.2023</t>
  </si>
  <si>
    <t>09-30.09.2023</t>
  </si>
  <si>
    <t>ЭН615084</t>
  </si>
  <si>
    <t>11.09-2</t>
  </si>
  <si>
    <r>
      <t>58190349,</t>
    </r>
    <r>
      <rPr>
        <sz val="11"/>
        <color rgb="FFFF0000"/>
        <rFont val="Calibri"/>
        <family val="2"/>
        <charset val="204"/>
        <scheme val="minor"/>
      </rPr>
      <t xml:space="preserve"> …474</t>
    </r>
  </si>
  <si>
    <t>23 от 12.09.2023</t>
  </si>
  <si>
    <t>ЭН663472</t>
  </si>
  <si>
    <t>58256157, 58240862</t>
  </si>
  <si>
    <t>ЭН805546</t>
  </si>
  <si>
    <t>ЭН827416</t>
  </si>
  <si>
    <t>ЭН866955</t>
  </si>
  <si>
    <t>ЭН888014</t>
  </si>
  <si>
    <t>Шелко (32,262)</t>
  </si>
  <si>
    <t>ЭН963982</t>
  </si>
  <si>
    <t>Нафта (32,21+36,106)</t>
  </si>
  <si>
    <t>ЭН975009</t>
  </si>
  <si>
    <t xml:space="preserve">ООО "ГазОйл" (авто)
</t>
  </si>
  <si>
    <t>от 19.09.2023</t>
  </si>
  <si>
    <t>286 от 20.09.2023</t>
  </si>
  <si>
    <t>ПБТ 60т.</t>
  </si>
  <si>
    <r>
      <t>Коротча́ево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</si>
  <si>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01-31.10.2023</t>
  </si>
  <si>
    <t>01.10-2</t>
  </si>
  <si>
    <t>12.10-1</t>
  </si>
  <si>
    <t>26 от 20.09.2023</t>
  </si>
  <si>
    <t>03.10-2</t>
  </si>
  <si>
    <t>11.10-2</t>
  </si>
  <si>
    <t>18.10-1</t>
  </si>
  <si>
    <t>17.10-1</t>
  </si>
  <si>
    <t>06.10-1</t>
  </si>
  <si>
    <t>13.10-1</t>
  </si>
  <si>
    <t>27 от 21.09.2023</t>
  </si>
  <si>
    <t>ЭО082289</t>
  </si>
  <si>
    <t>ЭО123961</t>
  </si>
  <si>
    <t>21.09-1</t>
  </si>
  <si>
    <t>Нафта (36,76 т.)</t>
  </si>
  <si>
    <t>Нафта (33,06 т.)</t>
  </si>
  <si>
    <t>33,06+36,76 разные приложения</t>
  </si>
  <si>
    <t>ЭО138294</t>
  </si>
  <si>
    <t>28 от 25.09.2023</t>
  </si>
  <si>
    <t>ЭО338459</t>
  </si>
  <si>
    <t>25 от 19.09.2023</t>
  </si>
  <si>
    <t>24 от 19.09.2023</t>
  </si>
  <si>
    <t>ОКТЯБРЬ
2023</t>
  </si>
  <si>
    <t>29 от 27.09.2023</t>
  </si>
  <si>
    <t>Тобольск</t>
  </si>
  <si>
    <t>Тобольск ОТП</t>
  </si>
  <si>
    <t>30 от 28.09.2023</t>
  </si>
  <si>
    <t>31 от 29.09.2023</t>
  </si>
  <si>
    <t>58181785, 57805343</t>
  </si>
  <si>
    <t>ЭО642383</t>
  </si>
  <si>
    <r>
      <rPr>
        <sz val="11"/>
        <color rgb="FFFF0000"/>
        <rFont val="Calibri"/>
        <family val="2"/>
        <charset val="204"/>
        <scheme val="minor"/>
      </rPr>
      <t>77254290,</t>
    </r>
    <r>
      <rPr>
        <sz val="11"/>
        <rFont val="Calibri"/>
        <family val="2"/>
        <charset val="204"/>
        <scheme val="minor"/>
      </rPr>
      <t xml:space="preserve"> 77688746</t>
    </r>
  </si>
  <si>
    <t>Нафта (33,3+37,2т.)</t>
  </si>
  <si>
    <t>Нафта (34,2т.)</t>
  </si>
  <si>
    <t>Нафта (33,7т.)</t>
  </si>
  <si>
    <t>37,540+38,020</t>
  </si>
  <si>
    <t>32 от 02.10.2023</t>
  </si>
  <si>
    <t>34 от 03.10.2023</t>
  </si>
  <si>
    <t>33 от 03.10.2023</t>
  </si>
  <si>
    <t>ЭО758018</t>
  </si>
  <si>
    <t>50837418, 50816545</t>
  </si>
  <si>
    <t>Нафта (33,4+37,3т)</t>
  </si>
  <si>
    <t>Нафта (33,45т.)</t>
  </si>
  <si>
    <t>ЭП047693</t>
  </si>
  <si>
    <t>09.10-1</t>
  </si>
  <si>
    <t>ЭП196474</t>
  </si>
  <si>
    <t>76655133, 76639111</t>
  </si>
  <si>
    <t>ЭП198232</t>
  </si>
  <si>
    <t>ЭП281573</t>
  </si>
  <si>
    <t>ЭП346224</t>
  </si>
  <si>
    <t>Тоб.</t>
  </si>
  <si>
    <t>ЭП349004</t>
  </si>
  <si>
    <t>58155656, 57889263, 57779530</t>
  </si>
  <si>
    <t>ЭП372005</t>
  </si>
  <si>
    <t>01-30.11.2023</t>
  </si>
  <si>
    <t>08.11-2</t>
  </si>
  <si>
    <t>01.11-1</t>
  </si>
  <si>
    <t>ЭП505451</t>
  </si>
  <si>
    <t>08.11-1</t>
  </si>
  <si>
    <t>22.11-1</t>
  </si>
  <si>
    <t>15.11-1</t>
  </si>
  <si>
    <t>01.11-2</t>
  </si>
  <si>
    <t>ЭР117394</t>
  </si>
  <si>
    <t>ЭР267194</t>
  </si>
  <si>
    <t>77360691, 57820177, 57803934</t>
  </si>
  <si>
    <t>ЭР267502</t>
  </si>
  <si>
    <t>58170119, 54646724</t>
  </si>
  <si>
    <t>ЭР268290</t>
  </si>
  <si>
    <t>НОЯБРЬ
2023</t>
  </si>
  <si>
    <t>ЭР306011</t>
  </si>
  <si>
    <t>ЭР464205</t>
  </si>
  <si>
    <t>76629450, 50875152</t>
  </si>
  <si>
    <t>04.11-2</t>
  </si>
  <si>
    <t>ЭР697874</t>
  </si>
  <si>
    <t>ЭР697456</t>
  </si>
  <si>
    <t>50514702, 58153347</t>
  </si>
  <si>
    <t>78215209, 55696678</t>
  </si>
  <si>
    <t>09.11-2</t>
  </si>
  <si>
    <t>ЭР754087</t>
  </si>
  <si>
    <t>36,ПБТ</t>
  </si>
  <si>
    <t>* ст. Сургут ж/д тариф с 01.12.2023 г. - 10036 руб/т. с НДС</t>
  </si>
  <si>
    <t>* ст. Войновка ж/д тариф 2023 - 7911 руб/т. с НДС</t>
  </si>
  <si>
    <t>01-31.12.2023</t>
  </si>
  <si>
    <t>09.12-1</t>
  </si>
  <si>
    <t>20.12-1</t>
  </si>
  <si>
    <t xml:space="preserve">105 т. </t>
  </si>
  <si>
    <t>ЭС047240</t>
  </si>
  <si>
    <t>17.11-1</t>
  </si>
  <si>
    <t>ЭС142577</t>
  </si>
  <si>
    <t>05.12-1</t>
  </si>
  <si>
    <t>21.12-1</t>
  </si>
  <si>
    <t>12.12-2</t>
  </si>
  <si>
    <t>20.12-2</t>
  </si>
  <si>
    <t>ДЕКАБРЬ
2023</t>
  </si>
  <si>
    <r>
      <t>Коротча́ево</t>
    </r>
    <r>
      <rPr>
        <sz val="11"/>
        <rFont val="Calibri"/>
        <family val="2"/>
        <charset val="204"/>
        <scheme val="minor"/>
      </rPr>
      <t xml:space="preserve"> </t>
    </r>
  </si>
  <si>
    <t xml:space="preserve">165 т. </t>
  </si>
  <si>
    <t xml:space="preserve">108 т. </t>
  </si>
  <si>
    <t>30.11-1</t>
  </si>
  <si>
    <t>ЭС889920</t>
  </si>
  <si>
    <t>ЭС933855</t>
  </si>
  <si>
    <t>03.12-1</t>
  </si>
  <si>
    <t>02.12-1</t>
  </si>
  <si>
    <t>ЭС989660</t>
  </si>
  <si>
    <t>ЭТ051274</t>
  </si>
  <si>
    <t>ЭТ352510</t>
  </si>
  <si>
    <t>ЭТ427069</t>
  </si>
  <si>
    <t>10.12-1</t>
  </si>
  <si>
    <t>01-06.12.2023</t>
  </si>
  <si>
    <t>01-31.01.2024</t>
  </si>
  <si>
    <t>01.01-2</t>
  </si>
  <si>
    <t>07.01-2</t>
  </si>
  <si>
    <t>18.01-1</t>
  </si>
  <si>
    <t>05.01-1</t>
  </si>
  <si>
    <t>11.01-1</t>
  </si>
  <si>
    <t>19.01-1</t>
  </si>
  <si>
    <t xml:space="preserve">107 т. </t>
  </si>
  <si>
    <t>10.01-1</t>
  </si>
  <si>
    <t>35 от 12.12.2023</t>
  </si>
  <si>
    <t>ЭТ594934</t>
  </si>
  <si>
    <t>57728503, 50860089</t>
  </si>
  <si>
    <t>14.12-2</t>
  </si>
  <si>
    <t>07-14.12.2023</t>
  </si>
  <si>
    <t>15-31.12.2023</t>
  </si>
  <si>
    <t>ЭТ829798</t>
  </si>
  <si>
    <t>18.12-1</t>
  </si>
  <si>
    <t>36 от 18.12.2023</t>
  </si>
  <si>
    <t>ЭТ906740</t>
  </si>
  <si>
    <t>37 от 20.12.2023</t>
  </si>
  <si>
    <t>ЭУ053235</t>
  </si>
  <si>
    <t>23.12-2</t>
  </si>
  <si>
    <t>26.01-1</t>
  </si>
  <si>
    <t>17.01-1</t>
  </si>
  <si>
    <t>ЯНВАРЬ
2024</t>
  </si>
  <si>
    <t>ЭУ621320</t>
  </si>
  <si>
    <t>ЭУ714115</t>
  </si>
  <si>
    <t>02.01-2</t>
  </si>
  <si>
    <t>04.01-1</t>
  </si>
  <si>
    <t>06.01-2</t>
  </si>
  <si>
    <t>отгрузка 06.01.2024</t>
  </si>
  <si>
    <t>58251646, 50819168</t>
  </si>
  <si>
    <t>ЭУ812483</t>
  </si>
  <si>
    <t>76639848, 50858901</t>
  </si>
  <si>
    <t>ЭУ963180</t>
  </si>
  <si>
    <t>ЭФ155365</t>
  </si>
  <si>
    <t>ЭФ155987</t>
  </si>
  <si>
    <t>ЭУ782038</t>
  </si>
  <si>
    <t>отгрузка 13.01.2024</t>
  </si>
  <si>
    <t>ЭФ337327</t>
  </si>
  <si>
    <t>ЭФ390887</t>
  </si>
  <si>
    <t>01-29.02.2024</t>
  </si>
  <si>
    <t>ЭФ610819</t>
  </si>
  <si>
    <t>22.01-1</t>
  </si>
  <si>
    <t>09.02-1</t>
  </si>
  <si>
    <t>26.02-1</t>
  </si>
  <si>
    <t>07.02-2</t>
  </si>
  <si>
    <t>22.02-1</t>
  </si>
  <si>
    <t>Коротчаево</t>
  </si>
  <si>
    <t>ЮРГ</t>
  </si>
  <si>
    <t>ЭФ806376</t>
  </si>
  <si>
    <t>23-31.01.2024</t>
  </si>
  <si>
    <t>01-22.01.2024</t>
  </si>
  <si>
    <t>25.01-1</t>
  </si>
  <si>
    <t>ЭФ360087</t>
  </si>
  <si>
    <t>ФЕВРАЛЬ
2024</t>
  </si>
  <si>
    <t>ЭХ507820</t>
  </si>
  <si>
    <t>06.02-1</t>
  </si>
  <si>
    <t>ЭХ510242</t>
  </si>
  <si>
    <t>76682418, 5824221</t>
  </si>
  <si>
    <t>06.02-2</t>
  </si>
  <si>
    <t>25.02-1</t>
  </si>
  <si>
    <t>105т.</t>
  </si>
  <si>
    <t>107т.</t>
  </si>
  <si>
    <t>165т.</t>
  </si>
  <si>
    <t>01-31.03.2024</t>
  </si>
  <si>
    <t>06.03-1</t>
  </si>
  <si>
    <t>ЭЦ177355</t>
  </si>
  <si>
    <t>76649615, 50862986</t>
  </si>
  <si>
    <t>19.02-2</t>
  </si>
  <si>
    <t>6*36т.</t>
  </si>
  <si>
    <t>19-29.02.2024</t>
  </si>
  <si>
    <t>ЭЦ285253</t>
  </si>
  <si>
    <t>13.03-1</t>
  </si>
  <si>
    <t>05.03-2</t>
  </si>
  <si>
    <t>12.03-2</t>
  </si>
  <si>
    <t>19.03-1</t>
  </si>
  <si>
    <t>МАРТ
2024</t>
  </si>
  <si>
    <t>175т.</t>
  </si>
  <si>
    <t>ЭЦ320964</t>
  </si>
  <si>
    <t>21.02-1</t>
  </si>
  <si>
    <t>29.02-3</t>
  </si>
  <si>
    <t>ЭЦ373265</t>
  </si>
  <si>
    <t>ЭЦ490865</t>
  </si>
  <si>
    <t>ЭЦ498178</t>
  </si>
  <si>
    <t>24.02-1</t>
  </si>
  <si>
    <t>21-29.02.2024</t>
  </si>
  <si>
    <t>ЭЦ721417</t>
  </si>
  <si>
    <t>50533306, 57773210, 50881598</t>
  </si>
  <si>
    <t>100т.</t>
  </si>
  <si>
    <t>ЭЦ888683</t>
  </si>
  <si>
    <t>ЭЦ961561</t>
  </si>
  <si>
    <t>ЭЦ988632</t>
  </si>
  <si>
    <t>04.03-2</t>
  </si>
  <si>
    <t>ЭЧ077728</t>
  </si>
  <si>
    <t>ЭЧ278846</t>
  </si>
  <si>
    <t>10.03-1</t>
  </si>
  <si>
    <t>ЭЧ293087</t>
  </si>
  <si>
    <t>11.03-1</t>
  </si>
  <si>
    <t>ЭЧ434961</t>
  </si>
  <si>
    <t>01-12.03.2024</t>
  </si>
  <si>
    <t>13-31.03.2024</t>
  </si>
  <si>
    <t>ЭЧ502076</t>
  </si>
  <si>
    <t>15.03-1</t>
  </si>
  <si>
    <t>01-30.04.2024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</si>
</sst>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00"/>
    <numFmt numFmtId="166" formatCode="#,##0.000"/>
    <numFmt numFmtId="167" formatCode="0.0"/>
  </numFmts>
  <fonts count="6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0"/>
      <color rgb="FF002060"/>
      <name val="Calibri"/>
      <family val="2"/>
      <charset val="204"/>
      <scheme val="minor"/>
    </font>
    <font>
      <sz val="11"/>
      <color rgb="FF00660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b/>
      <sz val="11"/>
      <color theme="0" tint="-4.9989318521683403E-2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i/>
      <strike/>
      <sz val="1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9"/>
      <color rgb="FF006600"/>
      <name val="Calibri"/>
      <family val="2"/>
      <charset val="204"/>
      <scheme val="minor"/>
    </font>
    <font>
      <b/>
      <sz val="9"/>
      <color rgb="FF0070C0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1"/>
      <color rgb="FF0070C0"/>
      <name val="Calibri"/>
      <family val="2"/>
      <charset val="204"/>
      <scheme val="minor"/>
    </font>
    <font>
      <b/>
      <sz val="11"/>
      <color rgb="FF0066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b/>
      <sz val="10.5"/>
      <color rgb="FFC00000"/>
      <name val="Calibri"/>
      <family val="2"/>
      <charset val="204"/>
      <scheme val="minor"/>
    </font>
    <font>
      <sz val="10.5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color rgb="FF00B05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i/>
      <strike/>
      <sz val="11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trike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trike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i/>
      <sz val="11"/>
      <color theme="0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b/>
      <i/>
      <sz val="9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5">
    <xf numFmtId="0" fontId="0" fillId="0" borderId="0" xfId="0"/>
    <xf numFmtId="0" fontId="1" fillId="0" borderId="0" xfId="0" applyFont="1"/>
    <xf numFmtId="0" fontId="3" fillId="0" borderId="0" xfId="0" applyFont="1"/>
    <xf numFmtId="16" fontId="2" fillId="0" borderId="22" xfId="0" applyNumberFormat="1" applyFont="1" applyBorder="1"/>
    <xf numFmtId="0" fontId="2" fillId="0" borderId="30" xfId="0" applyFont="1" applyBorder="1" applyAlignment="1">
      <alignment horizontal="right" vertical="center"/>
    </xf>
    <xf numFmtId="166" fontId="2" fillId="0" borderId="29" xfId="0" applyNumberFormat="1" applyFont="1" applyBorder="1" applyAlignment="1">
      <alignment horizontal="right" vertical="center"/>
    </xf>
    <xf numFmtId="166" fontId="2" fillId="2" borderId="10" xfId="0" applyNumberFormat="1" applyFont="1" applyFill="1" applyBorder="1" applyAlignment="1">
      <alignment horizontal="right" vertical="center"/>
    </xf>
    <xf numFmtId="16" fontId="4" fillId="0" borderId="22" xfId="0" applyNumberFormat="1" applyFont="1" applyBorder="1"/>
    <xf numFmtId="0" fontId="4" fillId="0" borderId="30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9" xfId="0" applyFont="1" applyBorder="1" applyAlignment="1">
      <alignment horizontal="right" vertical="center"/>
    </xf>
    <xf numFmtId="166" fontId="4" fillId="0" borderId="29" xfId="0" applyNumberFormat="1" applyFont="1" applyBorder="1" applyAlignment="1">
      <alignment horizontal="right" vertical="center"/>
    </xf>
    <xf numFmtId="166" fontId="4" fillId="2" borderId="10" xfId="0" applyNumberFormat="1" applyFont="1" applyFill="1" applyBorder="1" applyAlignment="1">
      <alignment horizontal="right" vertical="center"/>
    </xf>
    <xf numFmtId="166" fontId="4" fillId="2" borderId="14" xfId="0" applyNumberFormat="1" applyFont="1" applyFill="1" applyBorder="1" applyAlignment="1">
      <alignment horizontal="right" vertical="center"/>
    </xf>
    <xf numFmtId="4" fontId="4" fillId="0" borderId="29" xfId="0" applyNumberFormat="1" applyFont="1" applyBorder="1" applyAlignment="1">
      <alignment horizontal="right" vertical="center"/>
    </xf>
    <xf numFmtId="16" fontId="6" fillId="0" borderId="33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wrapText="1"/>
    </xf>
    <xf numFmtId="0" fontId="4" fillId="0" borderId="55" xfId="0" applyFont="1" applyBorder="1" applyAlignment="1">
      <alignment horizontal="right" vertical="center"/>
    </xf>
    <xf numFmtId="0" fontId="4" fillId="0" borderId="50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Fill="1"/>
    <xf numFmtId="0" fontId="4" fillId="0" borderId="18" xfId="0" applyFont="1" applyFill="1" applyBorder="1" applyAlignment="1">
      <alignment horizontal="right" vertical="center"/>
    </xf>
    <xf numFmtId="0" fontId="3" fillId="5" borderId="0" xfId="0" applyFont="1" applyFill="1"/>
    <xf numFmtId="0" fontId="4" fillId="0" borderId="29" xfId="0" applyFont="1" applyFill="1" applyBorder="1" applyAlignment="1">
      <alignment horizontal="right" vertical="center"/>
    </xf>
    <xf numFmtId="166" fontId="4" fillId="2" borderId="1" xfId="0" applyNumberFormat="1" applyFont="1" applyFill="1" applyBorder="1" applyAlignment="1">
      <alignment horizontal="right" vertical="center"/>
    </xf>
    <xf numFmtId="166" fontId="4" fillId="0" borderId="29" xfId="0" applyNumberFormat="1" applyFont="1" applyFill="1" applyBorder="1" applyAlignment="1">
      <alignment horizontal="right" vertical="center"/>
    </xf>
    <xf numFmtId="0" fontId="1" fillId="0" borderId="0" xfId="0" applyFont="1" applyFill="1"/>
    <xf numFmtId="0" fontId="4" fillId="0" borderId="30" xfId="0" applyFont="1" applyFill="1" applyBorder="1" applyAlignment="1">
      <alignment horizontal="right" vertical="center"/>
    </xf>
    <xf numFmtId="0" fontId="6" fillId="0" borderId="33" xfId="0" applyFont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right" vertical="center"/>
    </xf>
    <xf numFmtId="0" fontId="11" fillId="0" borderId="0" xfId="0" applyFont="1"/>
    <xf numFmtId="166" fontId="11" fillId="0" borderId="0" xfId="0" applyNumberFormat="1" applyFont="1"/>
    <xf numFmtId="0" fontId="12" fillId="0" borderId="0" xfId="0" applyFont="1"/>
    <xf numFmtId="0" fontId="3" fillId="0" borderId="0" xfId="0" applyFont="1" applyBorder="1" applyAlignment="1">
      <alignment horizontal="right"/>
    </xf>
    <xf numFmtId="1" fontId="3" fillId="0" borderId="0" xfId="0" applyNumberFormat="1" applyFont="1"/>
    <xf numFmtId="0" fontId="4" fillId="6" borderId="40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right" vertical="center"/>
    </xf>
    <xf numFmtId="0" fontId="4" fillId="6" borderId="56" xfId="0" applyFont="1" applyFill="1" applyBorder="1" applyAlignment="1">
      <alignment horizontal="right" vertical="center"/>
    </xf>
    <xf numFmtId="0" fontId="4" fillId="6" borderId="33" xfId="0" applyFont="1" applyFill="1" applyBorder="1" applyAlignment="1">
      <alignment horizontal="right" vertical="center"/>
    </xf>
    <xf numFmtId="166" fontId="4" fillId="6" borderId="52" xfId="0" applyNumberFormat="1" applyFont="1" applyFill="1" applyBorder="1" applyAlignment="1">
      <alignment horizontal="right" vertical="center"/>
    </xf>
    <xf numFmtId="166" fontId="4" fillId="6" borderId="33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1" fontId="4" fillId="6" borderId="22" xfId="0" applyNumberFormat="1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166" fontId="4" fillId="6" borderId="1" xfId="0" applyNumberFormat="1" applyFont="1" applyFill="1" applyBorder="1" applyAlignment="1">
      <alignment horizontal="right" vertical="center"/>
    </xf>
    <xf numFmtId="166" fontId="4" fillId="6" borderId="26" xfId="0" applyNumberFormat="1" applyFont="1" applyFill="1" applyBorder="1" applyAlignment="1">
      <alignment horizontal="right" vertical="center"/>
    </xf>
    <xf numFmtId="166" fontId="4" fillId="6" borderId="10" xfId="0" applyNumberFormat="1" applyFont="1" applyFill="1" applyBorder="1" applyAlignment="1">
      <alignment horizontal="right" vertical="center"/>
    </xf>
    <xf numFmtId="166" fontId="4" fillId="6" borderId="27" xfId="0" applyNumberFormat="1" applyFont="1" applyFill="1" applyBorder="1" applyAlignment="1">
      <alignment horizontal="right" vertical="center"/>
    </xf>
    <xf numFmtId="166" fontId="2" fillId="6" borderId="27" xfId="0" applyNumberFormat="1" applyFont="1" applyFill="1" applyBorder="1" applyAlignment="1">
      <alignment horizontal="right" vertical="center"/>
    </xf>
    <xf numFmtId="166" fontId="4" fillId="6" borderId="28" xfId="0" applyNumberFormat="1" applyFont="1" applyFill="1" applyBorder="1" applyAlignment="1">
      <alignment horizontal="right" vertical="center"/>
    </xf>
    <xf numFmtId="0" fontId="4" fillId="7" borderId="30" xfId="0" applyFont="1" applyFill="1" applyBorder="1" applyAlignment="1">
      <alignment horizontal="right" vertical="center"/>
    </xf>
    <xf numFmtId="16" fontId="18" fillId="0" borderId="22" xfId="0" applyNumberFormat="1" applyFont="1" applyBorder="1"/>
    <xf numFmtId="166" fontId="4" fillId="0" borderId="10" xfId="0" applyNumberFormat="1" applyFont="1" applyFill="1" applyBorder="1" applyAlignment="1">
      <alignment horizontal="right" vertical="center"/>
    </xf>
    <xf numFmtId="166" fontId="4" fillId="0" borderId="27" xfId="0" applyNumberFormat="1" applyFont="1" applyFill="1" applyBorder="1" applyAlignment="1">
      <alignment horizontal="right" vertical="center"/>
    </xf>
    <xf numFmtId="4" fontId="4" fillId="0" borderId="30" xfId="0" applyNumberFormat="1" applyFont="1" applyBorder="1" applyAlignment="1">
      <alignment horizontal="right" vertical="center"/>
    </xf>
    <xf numFmtId="4" fontId="4" fillId="0" borderId="17" xfId="0" applyNumberFormat="1" applyFont="1" applyBorder="1" applyAlignment="1">
      <alignment horizontal="right" vertical="center"/>
    </xf>
    <xf numFmtId="4" fontId="4" fillId="0" borderId="17" xfId="0" applyNumberFormat="1" applyFont="1" applyFill="1" applyBorder="1"/>
    <xf numFmtId="4" fontId="4" fillId="0" borderId="38" xfId="0" applyNumberFormat="1" applyFont="1" applyFill="1" applyBorder="1" applyAlignment="1">
      <alignment horizontal="right" vertical="center"/>
    </xf>
    <xf numFmtId="4" fontId="6" fillId="0" borderId="38" xfId="0" applyNumberFormat="1" applyFont="1" applyFill="1" applyBorder="1" applyAlignment="1">
      <alignment horizontal="right" vertical="center"/>
    </xf>
    <xf numFmtId="0" fontId="17" fillId="0" borderId="0" xfId="0" applyFont="1"/>
    <xf numFmtId="0" fontId="7" fillId="0" borderId="0" xfId="0" applyFont="1" applyAlignment="1">
      <alignment horizontal="center"/>
    </xf>
    <xf numFmtId="0" fontId="4" fillId="0" borderId="14" xfId="0" applyFont="1" applyBorder="1" applyAlignment="1">
      <alignment horizontal="right" vertical="center"/>
    </xf>
    <xf numFmtId="0" fontId="4" fillId="7" borderId="14" xfId="0" applyFont="1" applyFill="1" applyBorder="1" applyAlignment="1">
      <alignment horizontal="right" vertical="center"/>
    </xf>
    <xf numFmtId="166" fontId="4" fillId="0" borderId="14" xfId="0" applyNumberFormat="1" applyFont="1" applyBorder="1" applyAlignment="1">
      <alignment horizontal="right" vertical="center"/>
    </xf>
    <xf numFmtId="166" fontId="4" fillId="6" borderId="14" xfId="0" applyNumberFormat="1" applyFont="1" applyFill="1" applyBorder="1" applyAlignment="1">
      <alignment horizontal="right" vertical="center"/>
    </xf>
    <xf numFmtId="4" fontId="4" fillId="0" borderId="17" xfId="0" applyNumberFormat="1" applyFont="1" applyFill="1" applyBorder="1" applyAlignment="1">
      <alignment horizontal="right" vertical="center"/>
    </xf>
    <xf numFmtId="0" fontId="4" fillId="0" borderId="55" xfId="0" applyFont="1" applyFill="1" applyBorder="1" applyAlignment="1">
      <alignment horizontal="right" vertical="center"/>
    </xf>
    <xf numFmtId="0" fontId="4" fillId="0" borderId="50" xfId="0" applyFont="1" applyFill="1" applyBorder="1" applyAlignment="1">
      <alignment horizontal="right" vertical="center"/>
    </xf>
    <xf numFmtId="0" fontId="4" fillId="0" borderId="54" xfId="0" applyFont="1" applyFill="1" applyBorder="1" applyAlignment="1">
      <alignment horizontal="right" vertical="center"/>
    </xf>
    <xf numFmtId="166" fontId="4" fillId="0" borderId="54" xfId="0" applyNumberFormat="1" applyFont="1" applyFill="1" applyBorder="1" applyAlignment="1">
      <alignment horizontal="right" vertical="center"/>
    </xf>
    <xf numFmtId="166" fontId="4" fillId="0" borderId="28" xfId="0" applyNumberFormat="1" applyFont="1" applyFill="1" applyBorder="1" applyAlignment="1">
      <alignment horizontal="right" vertical="center"/>
    </xf>
    <xf numFmtId="166" fontId="4" fillId="0" borderId="32" xfId="0" applyNumberFormat="1" applyFont="1" applyFill="1" applyBorder="1" applyAlignment="1">
      <alignment horizontal="right" vertical="center"/>
    </xf>
    <xf numFmtId="1" fontId="4" fillId="6" borderId="16" xfId="0" applyNumberFormat="1" applyFont="1" applyFill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166" fontId="4" fillId="2" borderId="0" xfId="0" applyNumberFormat="1" applyFont="1" applyFill="1" applyBorder="1" applyAlignment="1">
      <alignment horizontal="right" vertical="center"/>
    </xf>
    <xf numFmtId="166" fontId="4" fillId="6" borderId="0" xfId="0" applyNumberFormat="1" applyFont="1" applyFill="1" applyBorder="1" applyAlignment="1">
      <alignment horizontal="right" vertical="center"/>
    </xf>
    <xf numFmtId="165" fontId="3" fillId="0" borderId="0" xfId="0" applyNumberFormat="1" applyFont="1"/>
    <xf numFmtId="165" fontId="4" fillId="0" borderId="18" xfId="0" applyNumberFormat="1" applyFont="1" applyFill="1" applyBorder="1" applyAlignment="1">
      <alignment horizontal="right" vertical="center"/>
    </xf>
    <xf numFmtId="4" fontId="4" fillId="0" borderId="29" xfId="0" applyNumberFormat="1" applyFont="1" applyFill="1" applyBorder="1" applyAlignment="1">
      <alignment horizontal="right" vertical="center"/>
    </xf>
    <xf numFmtId="4" fontId="4" fillId="0" borderId="30" xfId="0" applyNumberFormat="1" applyFont="1" applyFill="1" applyBorder="1" applyAlignment="1">
      <alignment horizontal="right" vertical="center"/>
    </xf>
    <xf numFmtId="4" fontId="4" fillId="0" borderId="46" xfId="0" applyNumberFormat="1" applyFont="1" applyBorder="1"/>
    <xf numFmtId="4" fontId="4" fillId="0" borderId="18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4" fontId="4" fillId="0" borderId="25" xfId="0" applyNumberFormat="1" applyFont="1" applyFill="1" applyBorder="1" applyAlignment="1">
      <alignment horizontal="right" vertical="center"/>
    </xf>
    <xf numFmtId="4" fontId="4" fillId="0" borderId="22" xfId="0" applyNumberFormat="1" applyFont="1" applyFill="1" applyBorder="1" applyAlignment="1">
      <alignment horizontal="right" vertical="center"/>
    </xf>
    <xf numFmtId="4" fontId="4" fillId="0" borderId="10" xfId="0" applyNumberFormat="1" applyFont="1" applyFill="1" applyBorder="1" applyAlignment="1">
      <alignment horizontal="right" vertical="center"/>
    </xf>
    <xf numFmtId="4" fontId="6" fillId="0" borderId="22" xfId="0" applyNumberFormat="1" applyFont="1" applyFill="1" applyBorder="1" applyAlignment="1">
      <alignment horizontal="right" vertical="center"/>
    </xf>
    <xf numFmtId="0" fontId="24" fillId="0" borderId="0" xfId="0" applyFont="1"/>
    <xf numFmtId="4" fontId="3" fillId="0" borderId="0" xfId="0" applyNumberFormat="1" applyFont="1" applyFill="1"/>
    <xf numFmtId="0" fontId="3" fillId="0" borderId="0" xfId="0" applyFont="1" applyFill="1" applyBorder="1"/>
    <xf numFmtId="165" fontId="4" fillId="0" borderId="10" xfId="0" applyNumberFormat="1" applyFont="1" applyFill="1" applyBorder="1"/>
    <xf numFmtId="4" fontId="4" fillId="0" borderId="13" xfId="0" applyNumberFormat="1" applyFont="1" applyFill="1" applyBorder="1" applyAlignment="1">
      <alignment horizontal="right" vertical="center"/>
    </xf>
    <xf numFmtId="4" fontId="4" fillId="0" borderId="21" xfId="0" applyNumberFormat="1" applyFont="1" applyFill="1" applyBorder="1" applyAlignment="1">
      <alignment horizontal="right" vertical="center"/>
    </xf>
    <xf numFmtId="4" fontId="4" fillId="0" borderId="53" xfId="0" applyNumberFormat="1" applyFont="1" applyBorder="1" applyAlignment="1">
      <alignment horizontal="right" vertical="center" wrapText="1"/>
    </xf>
    <xf numFmtId="4" fontId="4" fillId="0" borderId="23" xfId="0" applyNumberFormat="1" applyFont="1" applyBorder="1" applyAlignment="1">
      <alignment horizontal="right" vertical="center"/>
    </xf>
    <xf numFmtId="0" fontId="27" fillId="0" borderId="0" xfId="0" applyFont="1"/>
    <xf numFmtId="0" fontId="7" fillId="0" borderId="0" xfId="0" applyFont="1" applyBorder="1"/>
    <xf numFmtId="0" fontId="0" fillId="0" borderId="0" xfId="0" applyFill="1"/>
    <xf numFmtId="0" fontId="4" fillId="7" borderId="55" xfId="0" applyFont="1" applyFill="1" applyBorder="1" applyAlignment="1">
      <alignment horizontal="right" vertical="center"/>
    </xf>
    <xf numFmtId="0" fontId="4" fillId="6" borderId="16" xfId="0" applyFont="1" applyFill="1" applyBorder="1" applyAlignment="1">
      <alignment horizontal="right" vertical="center"/>
    </xf>
    <xf numFmtId="0" fontId="0" fillId="0" borderId="0" xfId="0" applyFill="1" applyAlignment="1">
      <alignment vertical="center" wrapText="1"/>
    </xf>
    <xf numFmtId="165" fontId="3" fillId="0" borderId="0" xfId="0" applyNumberFormat="1" applyFont="1" applyFill="1" applyBorder="1"/>
    <xf numFmtId="4" fontId="4" fillId="0" borderId="41" xfId="0" applyNumberFormat="1" applyFont="1" applyBorder="1"/>
    <xf numFmtId="4" fontId="4" fillId="0" borderId="51" xfId="0" applyNumberFormat="1" applyFont="1" applyBorder="1"/>
    <xf numFmtId="4" fontId="4" fillId="0" borderId="41" xfId="0" applyNumberFormat="1" applyFont="1" applyFill="1" applyBorder="1" applyAlignment="1">
      <alignment horizontal="right" vertical="center"/>
    </xf>
    <xf numFmtId="4" fontId="23" fillId="0" borderId="10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7" borderId="2" xfId="0" applyFont="1" applyFill="1" applyBorder="1" applyAlignment="1">
      <alignment horizontal="right" vertical="center"/>
    </xf>
    <xf numFmtId="1" fontId="12" fillId="0" borderId="0" xfId="0" applyNumberFormat="1" applyFont="1"/>
    <xf numFmtId="3" fontId="12" fillId="0" borderId="0" xfId="0" applyNumberFormat="1" applyFont="1" applyBorder="1"/>
    <xf numFmtId="3" fontId="26" fillId="0" borderId="0" xfId="0" applyNumberFormat="1" applyFont="1" applyBorder="1"/>
    <xf numFmtId="165" fontId="12" fillId="0" borderId="0" xfId="0" applyNumberFormat="1" applyFont="1"/>
    <xf numFmtId="1" fontId="13" fillId="6" borderId="33" xfId="0" applyNumberFormat="1" applyFont="1" applyFill="1" applyBorder="1" applyAlignment="1">
      <alignment horizontal="center" vertical="center"/>
    </xf>
    <xf numFmtId="1" fontId="13" fillId="5" borderId="33" xfId="0" applyNumberFormat="1" applyFont="1" applyFill="1" applyBorder="1" applyAlignment="1">
      <alignment horizontal="center" vertical="center"/>
    </xf>
    <xf numFmtId="4" fontId="4" fillId="0" borderId="23" xfId="0" applyNumberFormat="1" applyFont="1" applyBorder="1" applyAlignment="1">
      <alignment horizontal="right" vertical="center" wrapText="1"/>
    </xf>
    <xf numFmtId="0" fontId="3" fillId="5" borderId="0" xfId="0" applyFont="1" applyFill="1" applyBorder="1"/>
    <xf numFmtId="0" fontId="25" fillId="0" borderId="0" xfId="0" applyFont="1" applyFill="1" applyBorder="1" applyAlignment="1">
      <alignment horizontal="right"/>
    </xf>
    <xf numFmtId="3" fontId="3" fillId="0" borderId="3" xfId="0" applyNumberFormat="1" applyFont="1" applyBorder="1" applyAlignment="1">
      <alignment horizontal="left"/>
    </xf>
    <xf numFmtId="165" fontId="29" fillId="0" borderId="0" xfId="0" applyNumberFormat="1" applyFont="1" applyFill="1" applyBorder="1"/>
    <xf numFmtId="165" fontId="9" fillId="0" borderId="0" xfId="0" applyNumberFormat="1" applyFont="1" applyFill="1" applyBorder="1"/>
    <xf numFmtId="165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17" fontId="3" fillId="0" borderId="31" xfId="0" applyNumberFormat="1" applyFont="1" applyFill="1" applyBorder="1" applyAlignment="1">
      <alignment horizontal="left" vertical="center"/>
    </xf>
    <xf numFmtId="3" fontId="3" fillId="0" borderId="31" xfId="0" applyNumberFormat="1" applyFont="1" applyFill="1" applyBorder="1"/>
    <xf numFmtId="16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4" fontId="4" fillId="2" borderId="30" xfId="0" applyNumberFormat="1" applyFont="1" applyFill="1" applyBorder="1" applyAlignment="1">
      <alignment horizontal="right" vertical="center"/>
    </xf>
    <xf numFmtId="0" fontId="0" fillId="0" borderId="0" xfId="0" applyFont="1" applyFill="1"/>
    <xf numFmtId="4" fontId="4" fillId="0" borderId="21" xfId="0" applyNumberFormat="1" applyFont="1" applyFill="1" applyBorder="1"/>
    <xf numFmtId="3" fontId="4" fillId="0" borderId="21" xfId="0" applyNumberFormat="1" applyFont="1" applyBorder="1"/>
    <xf numFmtId="4" fontId="4" fillId="0" borderId="22" xfId="0" applyNumberFormat="1" applyFont="1" applyBorder="1"/>
    <xf numFmtId="0" fontId="3" fillId="0" borderId="23" xfId="0" applyFont="1" applyBorder="1"/>
    <xf numFmtId="0" fontId="9" fillId="0" borderId="0" xfId="0" applyFont="1" applyFill="1"/>
    <xf numFmtId="4" fontId="2" fillId="0" borderId="29" xfId="0" applyNumberFormat="1" applyFont="1" applyBorder="1" applyAlignment="1">
      <alignment horizontal="right" vertical="center"/>
    </xf>
    <xf numFmtId="0" fontId="30" fillId="0" borderId="0" xfId="0" applyFont="1" applyFill="1" applyBorder="1" applyAlignment="1">
      <alignment horizontal="center"/>
    </xf>
    <xf numFmtId="0" fontId="19" fillId="0" borderId="0" xfId="0" applyFont="1"/>
    <xf numFmtId="0" fontId="31" fillId="0" borderId="0" xfId="0" applyFont="1"/>
    <xf numFmtId="4" fontId="4" fillId="0" borderId="24" xfId="0" applyNumberFormat="1" applyFont="1" applyBorder="1" applyAlignment="1">
      <alignment horizontal="right" vertical="center"/>
    </xf>
    <xf numFmtId="0" fontId="3" fillId="0" borderId="31" xfId="0" applyFont="1" applyBorder="1"/>
    <xf numFmtId="0" fontId="3" fillId="0" borderId="29" xfId="0" applyFont="1" applyBorder="1"/>
    <xf numFmtId="3" fontId="3" fillId="0" borderId="14" xfId="0" applyNumberFormat="1" applyFont="1" applyBorder="1" applyAlignment="1">
      <alignment horizontal="center"/>
    </xf>
    <xf numFmtId="3" fontId="20" fillId="0" borderId="41" xfId="0" applyNumberFormat="1" applyFont="1" applyFill="1" applyBorder="1" applyAlignment="1">
      <alignment horizontal="right" vertical="center"/>
    </xf>
    <xf numFmtId="3" fontId="3" fillId="0" borderId="29" xfId="0" applyNumberFormat="1" applyFont="1" applyFill="1" applyBorder="1"/>
    <xf numFmtId="165" fontId="4" fillId="0" borderId="31" xfId="0" applyNumberFormat="1" applyFont="1" applyFill="1" applyBorder="1" applyAlignment="1">
      <alignment horizontal="right" vertical="center"/>
    </xf>
    <xf numFmtId="1" fontId="7" fillId="0" borderId="2" xfId="0" applyNumberFormat="1" applyFont="1" applyFill="1" applyBorder="1" applyAlignment="1">
      <alignment horizontal="center" vertical="center"/>
    </xf>
    <xf numFmtId="167" fontId="10" fillId="0" borderId="40" xfId="0" applyNumberFormat="1" applyFont="1" applyBorder="1"/>
    <xf numFmtId="1" fontId="20" fillId="0" borderId="42" xfId="0" applyNumberFormat="1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0" fontId="15" fillId="0" borderId="0" xfId="0" applyFont="1" applyFill="1" applyBorder="1"/>
    <xf numFmtId="4" fontId="15" fillId="0" borderId="0" xfId="0" applyNumberFormat="1" applyFont="1" applyFill="1" applyBorder="1"/>
    <xf numFmtId="4" fontId="6" fillId="0" borderId="17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/>
    <xf numFmtId="165" fontId="30" fillId="0" borderId="0" xfId="0" applyNumberFormat="1" applyFont="1" applyFill="1" applyBorder="1"/>
    <xf numFmtId="165" fontId="4" fillId="0" borderId="30" xfId="0" applyNumberFormat="1" applyFont="1" applyFill="1" applyBorder="1" applyAlignment="1">
      <alignment horizontal="right" vertical="center"/>
    </xf>
    <xf numFmtId="4" fontId="22" fillId="0" borderId="22" xfId="0" applyNumberFormat="1" applyFont="1" applyFill="1" applyBorder="1" applyAlignment="1">
      <alignment horizontal="right" vertical="center"/>
    </xf>
    <xf numFmtId="4" fontId="4" fillId="0" borderId="41" xfId="0" applyNumberFormat="1" applyFont="1" applyBorder="1" applyAlignment="1">
      <alignment horizontal="right" vertical="center"/>
    </xf>
    <xf numFmtId="165" fontId="4" fillId="0" borderId="38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/>
    </xf>
    <xf numFmtId="165" fontId="4" fillId="6" borderId="22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166" fontId="4" fillId="6" borderId="3" xfId="0" applyNumberFormat="1" applyFont="1" applyFill="1" applyBorder="1" applyAlignment="1">
      <alignment horizontal="center" vertical="center"/>
    </xf>
    <xf numFmtId="166" fontId="4" fillId="6" borderId="9" xfId="0" applyNumberFormat="1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/>
    </xf>
    <xf numFmtId="164" fontId="4" fillId="0" borderId="41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34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3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165" fontId="34" fillId="0" borderId="0" xfId="0" applyNumberFormat="1" applyFont="1" applyFill="1" applyAlignment="1">
      <alignment horizontal="right"/>
    </xf>
    <xf numFmtId="0" fontId="34" fillId="0" borderId="0" xfId="0" applyFont="1" applyFill="1" applyAlignment="1">
      <alignment horizontal="right"/>
    </xf>
    <xf numFmtId="4" fontId="35" fillId="0" borderId="0" xfId="0" applyNumberFormat="1" applyFont="1" applyFill="1" applyAlignment="1">
      <alignment horizontal="right"/>
    </xf>
    <xf numFmtId="4" fontId="34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right" vertical="center" textRotation="90"/>
    </xf>
    <xf numFmtId="0" fontId="12" fillId="0" borderId="0" xfId="0" applyFont="1" applyAlignment="1">
      <alignment horizontal="left"/>
    </xf>
    <xf numFmtId="3" fontId="3" fillId="0" borderId="11" xfId="0" applyNumberFormat="1" applyFont="1" applyBorder="1" applyAlignment="1">
      <alignment horizontal="center"/>
    </xf>
    <xf numFmtId="4" fontId="4" fillId="5" borderId="29" xfId="0" applyNumberFormat="1" applyFont="1" applyFill="1" applyBorder="1" applyAlignment="1">
      <alignment horizontal="right" vertical="center"/>
    </xf>
    <xf numFmtId="0" fontId="3" fillId="0" borderId="19" xfId="0" applyFont="1" applyBorder="1" applyAlignment="1">
      <alignment horizontal="left"/>
    </xf>
    <xf numFmtId="166" fontId="4" fillId="0" borderId="13" xfId="0" applyNumberFormat="1" applyFont="1" applyFill="1" applyBorder="1"/>
    <xf numFmtId="0" fontId="6" fillId="0" borderId="41" xfId="0" applyFont="1" applyBorder="1" applyAlignment="1">
      <alignment vertical="center" wrapText="1"/>
    </xf>
    <xf numFmtId="4" fontId="6" fillId="5" borderId="17" xfId="0" applyNumberFormat="1" applyFont="1" applyFill="1" applyBorder="1" applyAlignment="1">
      <alignment horizontal="right" vertical="center"/>
    </xf>
    <xf numFmtId="4" fontId="4" fillId="5" borderId="21" xfId="0" applyNumberFormat="1" applyFont="1" applyFill="1" applyBorder="1" applyAlignment="1">
      <alignment horizontal="right" vertical="center"/>
    </xf>
    <xf numFmtId="0" fontId="6" fillId="0" borderId="43" xfId="0" applyFont="1" applyBorder="1" applyAlignment="1">
      <alignment vertical="top" wrapText="1"/>
    </xf>
    <xf numFmtId="4" fontId="6" fillId="0" borderId="17" xfId="0" applyNumberFormat="1" applyFont="1" applyBorder="1" applyAlignment="1">
      <alignment horizontal="right" vertical="center"/>
    </xf>
    <xf numFmtId="0" fontId="30" fillId="0" borderId="0" xfId="0" applyFont="1" applyFill="1" applyBorder="1" applyAlignment="1">
      <alignment horizontal="left"/>
    </xf>
    <xf numFmtId="3" fontId="20" fillId="0" borderId="1" xfId="0" applyNumberFormat="1" applyFont="1" applyFill="1" applyBorder="1" applyAlignment="1">
      <alignment horizontal="right" vertical="center"/>
    </xf>
    <xf numFmtId="3" fontId="20" fillId="0" borderId="10" xfId="0" applyNumberFormat="1" applyFont="1" applyFill="1" applyBorder="1" applyAlignment="1">
      <alignment horizontal="right" vertical="center"/>
    </xf>
    <xf numFmtId="3" fontId="20" fillId="0" borderId="23" xfId="0" applyNumberFormat="1" applyFont="1" applyFill="1" applyBorder="1" applyAlignment="1">
      <alignment horizontal="right" vertical="center"/>
    </xf>
    <xf numFmtId="166" fontId="2" fillId="0" borderId="13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" fillId="0" borderId="54" xfId="0" applyFont="1" applyBorder="1" applyAlignment="1">
      <alignment vertical="center"/>
    </xf>
    <xf numFmtId="0" fontId="0" fillId="0" borderId="0" xfId="0"/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6" fillId="0" borderId="0" xfId="0" applyFont="1" applyFill="1"/>
    <xf numFmtId="0" fontId="3" fillId="0" borderId="31" xfId="0" applyFont="1" applyFill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" fontId="4" fillId="3" borderId="22" xfId="0" applyNumberFormat="1" applyFont="1" applyFill="1" applyBorder="1" applyAlignment="1">
      <alignment horizontal="righ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165" fontId="30" fillId="0" borderId="0" xfId="0" applyNumberFormat="1" applyFont="1" applyFill="1" applyBorder="1" applyAlignment="1">
      <alignment horizontal="center"/>
    </xf>
    <xf numFmtId="166" fontId="4" fillId="0" borderId="31" xfId="0" applyNumberFormat="1" applyFont="1" applyBorder="1" applyAlignment="1">
      <alignment horizontal="righ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3" fontId="3" fillId="0" borderId="55" xfId="0" applyNumberFormat="1" applyFont="1" applyBorder="1" applyAlignment="1">
      <alignment horizontal="center"/>
    </xf>
    <xf numFmtId="1" fontId="7" fillId="0" borderId="5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31" xfId="0" applyFont="1" applyFill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4" fontId="6" fillId="0" borderId="18" xfId="0" applyNumberFormat="1" applyFont="1" applyFill="1" applyBorder="1" applyAlignment="1">
      <alignment horizontal="right" vertical="center"/>
    </xf>
    <xf numFmtId="0" fontId="3" fillId="2" borderId="0" xfId="0" applyFont="1" applyFill="1" applyBorder="1"/>
    <xf numFmtId="0" fontId="0" fillId="0" borderId="0" xfId="0"/>
    <xf numFmtId="0" fontId="6" fillId="0" borderId="9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27" fillId="0" borderId="0" xfId="0" applyFont="1" applyFill="1"/>
    <xf numFmtId="3" fontId="3" fillId="0" borderId="14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7" fontId="1" fillId="0" borderId="31" xfId="0" applyNumberFormat="1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3" fontId="1" fillId="0" borderId="29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1" fillId="0" borderId="0" xfId="0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4" fontId="42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 applyAlignment="1">
      <alignment horizontal="center"/>
    </xf>
    <xf numFmtId="165" fontId="1" fillId="0" borderId="0" xfId="0" applyNumberFormat="1" applyFont="1"/>
    <xf numFmtId="0" fontId="3" fillId="0" borderId="3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" fontId="1" fillId="0" borderId="55" xfId="0" applyNumberFormat="1" applyFont="1" applyFill="1" applyBorder="1" applyAlignment="1">
      <alignment horizontal="center"/>
    </xf>
    <xf numFmtId="3" fontId="1" fillId="0" borderId="31" xfId="0" applyNumberFormat="1" applyFont="1" applyFill="1" applyBorder="1"/>
    <xf numFmtId="0" fontId="27" fillId="0" borderId="0" xfId="0" applyFont="1" applyAlignment="1">
      <alignment horizontal="left"/>
    </xf>
    <xf numFmtId="165" fontId="7" fillId="2" borderId="0" xfId="0" applyNumberFormat="1" applyFont="1" applyFill="1" applyBorder="1"/>
    <xf numFmtId="165" fontId="29" fillId="2" borderId="0" xfId="0" applyNumberFormat="1" applyFont="1" applyFill="1" applyBorder="1"/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27" fillId="0" borderId="0" xfId="0" applyFont="1" applyFill="1" applyAlignment="1">
      <alignment horizontal="left"/>
    </xf>
    <xf numFmtId="167" fontId="10" fillId="0" borderId="43" xfId="0" applyNumberFormat="1" applyFont="1" applyBorder="1"/>
    <xf numFmtId="4" fontId="4" fillId="5" borderId="30" xfId="0" applyNumberFormat="1" applyFont="1" applyFill="1" applyBorder="1" applyAlignment="1">
      <alignment horizontal="right" vertical="center"/>
    </xf>
    <xf numFmtId="4" fontId="4" fillId="5" borderId="25" xfId="0" applyNumberFormat="1" applyFont="1" applyFill="1" applyBorder="1" applyAlignment="1">
      <alignment horizontal="righ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righ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3" fontId="1" fillId="0" borderId="14" xfId="0" applyNumberFormat="1" applyFont="1" applyFill="1" applyBorder="1" applyAlignment="1">
      <alignment horizontal="center"/>
    </xf>
    <xf numFmtId="0" fontId="43" fillId="0" borderId="0" xfId="0" applyFont="1"/>
    <xf numFmtId="3" fontId="40" fillId="0" borderId="14" xfId="0" applyNumberFormat="1" applyFont="1" applyFill="1" applyBorder="1" applyAlignment="1">
      <alignment horizontal="center"/>
    </xf>
    <xf numFmtId="4" fontId="2" fillId="0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2" borderId="25" xfId="0" applyNumberFormat="1" applyFont="1" applyFill="1" applyBorder="1" applyAlignment="1">
      <alignment horizontal="right" vertical="center"/>
    </xf>
    <xf numFmtId="4" fontId="4" fillId="2" borderId="38" xfId="0" applyNumberFormat="1" applyFont="1" applyFill="1" applyBorder="1" applyAlignment="1">
      <alignment horizontal="righ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4" fontId="4" fillId="5" borderId="10" xfId="0" applyNumberFormat="1" applyFont="1" applyFill="1" applyBorder="1" applyAlignment="1">
      <alignment horizontal="right" vertical="center"/>
    </xf>
    <xf numFmtId="4" fontId="4" fillId="5" borderId="38" xfId="0" applyNumberFormat="1" applyFont="1" applyFill="1" applyBorder="1" applyAlignment="1">
      <alignment horizontal="righ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3" fontId="3" fillId="5" borderId="14" xfId="0" applyNumberFormat="1" applyFont="1" applyFill="1" applyBorder="1" applyAlignment="1">
      <alignment horizontal="center"/>
    </xf>
    <xf numFmtId="0" fontId="46" fillId="0" borderId="54" xfId="0" applyFont="1" applyBorder="1" applyAlignment="1">
      <alignment horizontal="center" vertical="center"/>
    </xf>
    <xf numFmtId="17" fontId="0" fillId="0" borderId="31" xfId="0" applyNumberFormat="1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3" fontId="0" fillId="0" borderId="29" xfId="0" applyNumberFormat="1" applyFont="1" applyFill="1" applyBorder="1"/>
    <xf numFmtId="3" fontId="0" fillId="0" borderId="14" xfId="0" applyNumberFormat="1" applyFont="1" applyFill="1" applyBorder="1" applyAlignment="1">
      <alignment horizontal="center"/>
    </xf>
    <xf numFmtId="1" fontId="45" fillId="0" borderId="2" xfId="0" applyNumberFormat="1" applyFont="1" applyFill="1" applyBorder="1" applyAlignment="1">
      <alignment horizontal="center" vertical="center"/>
    </xf>
    <xf numFmtId="0" fontId="47" fillId="0" borderId="0" xfId="0" applyFont="1"/>
    <xf numFmtId="49" fontId="4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8" fillId="0" borderId="0" xfId="0" applyFont="1"/>
    <xf numFmtId="3" fontId="0" fillId="0" borderId="31" xfId="0" applyNumberFormat="1" applyFont="1" applyFill="1" applyBorder="1"/>
    <xf numFmtId="49" fontId="12" fillId="0" borderId="0" xfId="0" applyNumberFormat="1" applyFont="1" applyAlignment="1">
      <alignment horizontal="center"/>
    </xf>
    <xf numFmtId="1" fontId="45" fillId="0" borderId="14" xfId="0" applyNumberFormat="1" applyFont="1" applyFill="1" applyBorder="1" applyAlignment="1">
      <alignment horizontal="center" vertical="center"/>
    </xf>
    <xf numFmtId="1" fontId="20" fillId="0" borderId="37" xfId="0" applyNumberFormat="1" applyFont="1" applyBorder="1" applyAlignment="1">
      <alignment horizontal="center"/>
    </xf>
    <xf numFmtId="4" fontId="6" fillId="0" borderId="10" xfId="0" applyNumberFormat="1" applyFont="1" applyFill="1" applyBorder="1" applyAlignment="1">
      <alignment horizontal="right" vertical="center"/>
    </xf>
    <xf numFmtId="0" fontId="40" fillId="0" borderId="0" xfId="0" applyFont="1"/>
    <xf numFmtId="17" fontId="40" fillId="0" borderId="31" xfId="0" applyNumberFormat="1" applyFont="1" applyFill="1" applyBorder="1" applyAlignment="1">
      <alignment horizontal="left" vertical="center"/>
    </xf>
    <xf numFmtId="0" fontId="40" fillId="0" borderId="31" xfId="0" applyFont="1" applyFill="1" applyBorder="1" applyAlignment="1">
      <alignment horizontal="left" vertical="center"/>
    </xf>
    <xf numFmtId="3" fontId="40" fillId="0" borderId="29" xfId="0" applyNumberFormat="1" applyFont="1" applyFill="1" applyBorder="1"/>
    <xf numFmtId="49" fontId="40" fillId="0" borderId="0" xfId="0" applyNumberFormat="1" applyFont="1" applyAlignment="1">
      <alignment horizontal="center"/>
    </xf>
    <xf numFmtId="165" fontId="40" fillId="0" borderId="0" xfId="0" applyNumberFormat="1" applyFont="1" applyFill="1" applyAlignment="1">
      <alignment horizontal="right"/>
    </xf>
    <xf numFmtId="0" fontId="40" fillId="0" borderId="0" xfId="0" applyFont="1" applyFill="1" applyAlignment="1">
      <alignment horizontal="right"/>
    </xf>
    <xf numFmtId="4" fontId="49" fillId="0" borderId="0" xfId="0" applyNumberFormat="1" applyFont="1" applyFill="1" applyAlignment="1">
      <alignment horizontal="right"/>
    </xf>
    <xf numFmtId="4" fontId="40" fillId="0" borderId="0" xfId="0" applyNumberFormat="1" applyFont="1" applyFill="1" applyAlignment="1">
      <alignment horizontal="right"/>
    </xf>
    <xf numFmtId="0" fontId="40" fillId="0" borderId="0" xfId="0" applyFont="1" applyFill="1" applyBorder="1"/>
    <xf numFmtId="0" fontId="39" fillId="0" borderId="0" xfId="0" applyFont="1" applyFill="1" applyBorder="1" applyAlignment="1">
      <alignment horizontal="center"/>
    </xf>
    <xf numFmtId="165" fontId="40" fillId="0" borderId="0" xfId="0" applyNumberFormat="1" applyFont="1"/>
    <xf numFmtId="0" fontId="39" fillId="0" borderId="0" xfId="0" applyFont="1" applyBorder="1"/>
    <xf numFmtId="1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right"/>
    </xf>
    <xf numFmtId="3" fontId="40" fillId="0" borderId="31" xfId="0" applyNumberFormat="1" applyFont="1" applyFill="1" applyBorder="1"/>
    <xf numFmtId="1" fontId="39" fillId="0" borderId="14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right"/>
    </xf>
    <xf numFmtId="165" fontId="40" fillId="0" borderId="0" xfId="0" applyNumberFormat="1" applyFont="1" applyFill="1" applyBorder="1"/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0" xfId="0" applyFont="1"/>
    <xf numFmtId="17" fontId="8" fillId="0" borderId="31" xfId="0" applyNumberFormat="1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3" fontId="8" fillId="0" borderId="29" xfId="0" applyNumberFormat="1" applyFont="1" applyFill="1" applyBorder="1"/>
    <xf numFmtId="1" fontId="10" fillId="0" borderId="2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3" fontId="8" fillId="0" borderId="14" xfId="0" applyNumberFormat="1" applyFont="1" applyFill="1" applyBorder="1" applyAlignment="1">
      <alignment horizontal="center"/>
    </xf>
    <xf numFmtId="1" fontId="10" fillId="0" borderId="14" xfId="0" applyNumberFormat="1" applyFont="1" applyFill="1" applyBorder="1" applyAlignment="1">
      <alignment horizontal="center" vertical="center"/>
    </xf>
    <xf numFmtId="3" fontId="8" fillId="0" borderId="31" xfId="0" applyNumberFormat="1" applyFont="1" applyFill="1" applyBorder="1"/>
    <xf numFmtId="0" fontId="8" fillId="0" borderId="0" xfId="0" applyFont="1" applyAlignment="1">
      <alignment horizontal="right"/>
    </xf>
    <xf numFmtId="1" fontId="10" fillId="0" borderId="37" xfId="0" applyNumberFormat="1" applyFont="1" applyBorder="1" applyAlignment="1">
      <alignment horizontal="center"/>
    </xf>
    <xf numFmtId="22" fontId="0" fillId="0" borderId="0" xfId="0" applyNumberFormat="1" applyFill="1"/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66" fontId="4" fillId="3" borderId="13" xfId="0" applyNumberFormat="1" applyFont="1" applyFill="1" applyBorder="1"/>
    <xf numFmtId="165" fontId="4" fillId="3" borderId="10" xfId="0" applyNumberFormat="1" applyFont="1" applyFill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165" fontId="0" fillId="0" borderId="0" xfId="0" applyNumberFormat="1" applyFill="1"/>
    <xf numFmtId="1" fontId="9" fillId="0" borderId="14" xfId="0" applyNumberFormat="1" applyFont="1" applyFill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3" fillId="0" borderId="31" xfId="0" applyFont="1" applyFill="1" applyBorder="1" applyAlignment="1">
      <alignment horizontal="left" vertical="center"/>
    </xf>
    <xf numFmtId="0" fontId="46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46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46" fillId="0" borderId="54" xfId="0" applyFont="1" applyBorder="1" applyAlignment="1">
      <alignment horizontal="center" vertical="center"/>
    </xf>
    <xf numFmtId="1" fontId="10" fillId="0" borderId="42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46" fillId="0" borderId="54" xfId="0" applyFont="1" applyBorder="1" applyAlignment="1">
      <alignment horizontal="center" vertical="center"/>
    </xf>
    <xf numFmtId="167" fontId="39" fillId="0" borderId="2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46" fillId="0" borderId="5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1" fontId="10" fillId="5" borderId="2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49" fontId="8" fillId="0" borderId="0" xfId="0" applyNumberFormat="1" applyFont="1" applyAlignment="1">
      <alignment horizontal="left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center"/>
    </xf>
    <xf numFmtId="165" fontId="52" fillId="0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165" fontId="29" fillId="5" borderId="0" xfId="0" applyNumberFormat="1" applyFont="1" applyFill="1" applyBorder="1"/>
    <xf numFmtId="4" fontId="4" fillId="3" borderId="10" xfId="0" applyNumberFormat="1" applyFont="1" applyFill="1" applyBorder="1" applyAlignment="1">
      <alignment horizontal="right" vertical="center"/>
    </xf>
    <xf numFmtId="165" fontId="7" fillId="0" borderId="0" xfId="0" applyNumberFormat="1" applyFont="1" applyAlignment="1">
      <alignment horizontal="center"/>
    </xf>
    <xf numFmtId="165" fontId="4" fillId="0" borderId="10" xfId="0" applyNumberFormat="1" applyFont="1" applyFill="1" applyBorder="1" applyAlignment="1">
      <alignment horizontal="right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4" fontId="40" fillId="0" borderId="0" xfId="0" applyNumberFormat="1" applyFont="1" applyFill="1" applyBorder="1"/>
    <xf numFmtId="4" fontId="55" fillId="0" borderId="38" xfId="0" applyNumberFormat="1" applyFont="1" applyFill="1" applyBorder="1" applyAlignment="1">
      <alignment horizontal="right" vertical="center"/>
    </xf>
    <xf numFmtId="0" fontId="6" fillId="6" borderId="40" xfId="0" applyFont="1" applyFill="1" applyBorder="1" applyAlignment="1">
      <alignment horizontal="right" vertical="center"/>
    </xf>
    <xf numFmtId="0" fontId="56" fillId="0" borderId="0" xfId="0" applyFont="1" applyFill="1"/>
    <xf numFmtId="22" fontId="3" fillId="0" borderId="0" xfId="0" applyNumberFormat="1" applyFont="1" applyFill="1"/>
    <xf numFmtId="0" fontId="3" fillId="0" borderId="31" xfId="0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/>
    </xf>
    <xf numFmtId="4" fontId="22" fillId="0" borderId="38" xfId="0" applyNumberFormat="1" applyFont="1" applyFill="1" applyBorder="1" applyAlignment="1">
      <alignment horizontal="righ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5" fontId="3" fillId="5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165" fontId="3" fillId="2" borderId="0" xfId="0" applyNumberFormat="1" applyFont="1" applyFill="1" applyBorder="1"/>
    <xf numFmtId="0" fontId="0" fillId="2" borderId="0" xfId="0" applyFill="1"/>
    <xf numFmtId="22" fontId="0" fillId="2" borderId="0" xfId="0" applyNumberFormat="1" applyFill="1"/>
    <xf numFmtId="0" fontId="29" fillId="0" borderId="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9" fillId="0" borderId="54" xfId="0" applyFont="1" applyBorder="1" applyAlignment="1">
      <alignment horizontal="center" vertical="center"/>
    </xf>
    <xf numFmtId="167" fontId="10" fillId="0" borderId="44" xfId="0" applyNumberFormat="1" applyFont="1" applyBorder="1"/>
    <xf numFmtId="1" fontId="10" fillId="0" borderId="33" xfId="0" applyNumberFormat="1" applyFont="1" applyBorder="1" applyAlignment="1">
      <alignment horizontal="center"/>
    </xf>
    <xf numFmtId="4" fontId="2" fillId="2" borderId="22" xfId="0" applyNumberFormat="1" applyFont="1" applyFill="1" applyBorder="1" applyAlignment="1">
      <alignment horizontal="right" vertical="center"/>
    </xf>
    <xf numFmtId="4" fontId="2" fillId="0" borderId="10" xfId="0" applyNumberFormat="1" applyFont="1" applyFill="1" applyBorder="1" applyAlignment="1">
      <alignment horizontal="right" vertical="center"/>
    </xf>
    <xf numFmtId="4" fontId="2" fillId="0" borderId="30" xfId="0" applyNumberFormat="1" applyFont="1" applyFill="1" applyBorder="1" applyAlignment="1">
      <alignment horizontal="right" vertical="center"/>
    </xf>
    <xf numFmtId="0" fontId="3" fillId="0" borderId="31" xfId="0" applyFont="1" applyFill="1" applyBorder="1" applyAlignment="1">
      <alignment horizontal="left" vertical="center"/>
    </xf>
    <xf numFmtId="4" fontId="6" fillId="0" borderId="29" xfId="0" applyNumberFormat="1" applyFont="1" applyFill="1" applyBorder="1" applyAlignment="1">
      <alignment horizontal="right" vertical="center"/>
    </xf>
    <xf numFmtId="0" fontId="57" fillId="0" borderId="54" xfId="0" applyFont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46" fillId="0" borderId="0" xfId="0" applyFont="1"/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4" fontId="6" fillId="0" borderId="2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0" fontId="3" fillId="0" borderId="3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165" fontId="28" fillId="10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165" fontId="3" fillId="11" borderId="0" xfId="0" applyNumberFormat="1" applyFont="1" applyFill="1" applyBorder="1"/>
    <xf numFmtId="0" fontId="3" fillId="11" borderId="0" xfId="0" applyFont="1" applyFill="1"/>
    <xf numFmtId="0" fontId="36" fillId="11" borderId="0" xfId="0" applyFont="1" applyFill="1"/>
    <xf numFmtId="165" fontId="29" fillId="10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12" borderId="0" xfId="0" applyFont="1" applyFill="1" applyBorder="1"/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4" fontId="6" fillId="3" borderId="10" xfId="0" applyNumberFormat="1" applyFont="1" applyFill="1" applyBorder="1" applyAlignment="1">
      <alignment horizontal="right" vertical="center"/>
    </xf>
    <xf numFmtId="49" fontId="43" fillId="0" borderId="0" xfId="0" applyNumberFormat="1" applyFont="1" applyAlignment="1">
      <alignment horizontal="center"/>
    </xf>
    <xf numFmtId="0" fontId="0" fillId="13" borderId="0" xfId="0" applyFill="1"/>
    <xf numFmtId="165" fontId="3" fillId="13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0" fontId="1" fillId="5" borderId="0" xfId="0" applyFont="1" applyFill="1"/>
    <xf numFmtId="0" fontId="1" fillId="5" borderId="0" xfId="0" applyFont="1" applyFill="1" applyBorder="1"/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165" fontId="3" fillId="0" borderId="0" xfId="0" applyNumberFormat="1" applyFont="1" applyFill="1"/>
    <xf numFmtId="165" fontId="12" fillId="0" borderId="0" xfId="0" applyNumberFormat="1" applyFont="1" applyFill="1"/>
    <xf numFmtId="0" fontId="12" fillId="0" borderId="0" xfId="0" applyFont="1" applyFill="1"/>
    <xf numFmtId="165" fontId="28" fillId="5" borderId="0" xfId="0" applyNumberFormat="1" applyFont="1" applyFill="1" applyBorder="1"/>
    <xf numFmtId="0" fontId="10" fillId="0" borderId="54" xfId="0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/>
    <xf numFmtId="167" fontId="10" fillId="0" borderId="0" xfId="0" applyNumberFormat="1" applyFont="1" applyBorder="1"/>
    <xf numFmtId="1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3" fillId="0" borderId="31" xfId="0" applyFont="1" applyFill="1" applyBorder="1" applyAlignment="1">
      <alignment horizontal="left" vertical="center"/>
    </xf>
    <xf numFmtId="166" fontId="4" fillId="9" borderId="13" xfId="0" applyNumberFormat="1" applyFont="1" applyFill="1" applyBorder="1"/>
    <xf numFmtId="165" fontId="7" fillId="9" borderId="0" xfId="0" applyNumberFormat="1" applyFont="1" applyFill="1" applyBorder="1"/>
    <xf numFmtId="165" fontId="29" fillId="9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0" fontId="3" fillId="0" borderId="31" xfId="0" applyFont="1" applyFill="1" applyBorder="1" applyAlignment="1">
      <alignment horizontal="left" vertical="center"/>
    </xf>
    <xf numFmtId="1" fontId="7" fillId="5" borderId="2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14" fontId="40" fillId="0" borderId="21" xfId="0" applyNumberFormat="1" applyFont="1" applyFill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49" fontId="8" fillId="0" borderId="0" xfId="0" applyNumberFormat="1" applyFont="1" applyAlignment="1">
      <alignment horizontal="right"/>
    </xf>
    <xf numFmtId="1" fontId="3" fillId="0" borderId="0" xfId="0" applyNumberFormat="1" applyFont="1" applyFill="1" applyBorder="1"/>
    <xf numFmtId="165" fontId="30" fillId="13" borderId="0" xfId="0" applyNumberFormat="1" applyFont="1" applyFill="1" applyBorder="1"/>
    <xf numFmtId="165" fontId="29" fillId="13" borderId="0" xfId="0" applyNumberFormat="1" applyFont="1" applyFill="1" applyBorder="1"/>
    <xf numFmtId="0" fontId="3" fillId="0" borderId="3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165" fontId="28" fillId="13" borderId="0" xfId="0" applyNumberFormat="1" applyFont="1" applyFill="1" applyBorder="1"/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31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4" fontId="58" fillId="3" borderId="10" xfId="0" applyNumberFormat="1" applyFont="1" applyFill="1" applyBorder="1" applyAlignment="1">
      <alignment horizontal="right" vertical="center"/>
    </xf>
    <xf numFmtId="4" fontId="59" fillId="3" borderId="10" xfId="0" applyNumberFormat="1" applyFont="1" applyFill="1" applyBorder="1" applyAlignment="1">
      <alignment horizontal="right" vertical="center"/>
    </xf>
    <xf numFmtId="0" fontId="19" fillId="0" borderId="54" xfId="0" applyFont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165" fontId="4" fillId="6" borderId="33" xfId="0" applyNumberFormat="1" applyFont="1" applyFill="1" applyBorder="1" applyAlignment="1">
      <alignment horizontal="right" vertical="center"/>
    </xf>
    <xf numFmtId="166" fontId="6" fillId="6" borderId="40" xfId="0" applyNumberFormat="1" applyFont="1" applyFill="1" applyBorder="1" applyAlignment="1">
      <alignment horizontal="center" vertical="center"/>
    </xf>
    <xf numFmtId="4" fontId="58" fillId="0" borderId="10" xfId="0" applyNumberFormat="1" applyFont="1" applyFill="1" applyBorder="1" applyAlignment="1">
      <alignment horizontal="right" vertical="center"/>
    </xf>
    <xf numFmtId="165" fontId="7" fillId="5" borderId="0" xfId="0" applyNumberFormat="1" applyFont="1" applyFill="1" applyBorder="1"/>
    <xf numFmtId="0" fontId="25" fillId="5" borderId="0" xfId="0" applyFont="1" applyFill="1" applyBorder="1" applyAlignment="1">
      <alignment horizontal="right"/>
    </xf>
    <xf numFmtId="0" fontId="3" fillId="12" borderId="0" xfId="0" applyFont="1" applyFill="1"/>
    <xf numFmtId="0" fontId="3" fillId="0" borderId="31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/>
    </xf>
    <xf numFmtId="0" fontId="7" fillId="0" borderId="21" xfId="0" applyFont="1" applyFill="1" applyBorder="1" applyAlignment="1"/>
    <xf numFmtId="0" fontId="7" fillId="0" borderId="27" xfId="0" applyFont="1" applyFill="1" applyBorder="1" applyAlignment="1"/>
    <xf numFmtId="0" fontId="7" fillId="0" borderId="17" xfId="0" applyFont="1" applyFill="1" applyBorder="1" applyAlignment="1"/>
    <xf numFmtId="14" fontId="8" fillId="0" borderId="21" xfId="0" applyNumberFormat="1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7" xfId="0" applyBorder="1" applyAlignment="1"/>
    <xf numFmtId="0" fontId="0" fillId="0" borderId="17" xfId="0" applyBorder="1" applyAlignment="1"/>
    <xf numFmtId="0" fontId="32" fillId="0" borderId="9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8" fillId="0" borderId="14" xfId="0" applyNumberFormat="1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6" fillId="9" borderId="4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top" wrapText="1"/>
    </xf>
    <xf numFmtId="0" fontId="6" fillId="0" borderId="43" xfId="0" applyFont="1" applyBorder="1" applyAlignment="1">
      <alignment horizontal="center" vertical="top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0" borderId="14" xfId="0" applyFont="1" applyFill="1" applyBorder="1" applyAlignment="1"/>
    <xf numFmtId="167" fontId="10" fillId="0" borderId="19" xfId="0" applyNumberFormat="1" applyFont="1" applyBorder="1" applyAlignment="1">
      <alignment horizontal="right"/>
    </xf>
    <xf numFmtId="167" fontId="10" fillId="0" borderId="34" xfId="0" applyNumberFormat="1" applyFont="1" applyBorder="1" applyAlignment="1">
      <alignment horizontal="right"/>
    </xf>
    <xf numFmtId="167" fontId="10" fillId="0" borderId="20" xfId="0" applyNumberFormat="1" applyFont="1" applyBorder="1" applyAlignment="1">
      <alignment horizontal="right"/>
    </xf>
    <xf numFmtId="0" fontId="3" fillId="0" borderId="16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right"/>
    </xf>
    <xf numFmtId="0" fontId="7" fillId="0" borderId="29" xfId="0" applyFont="1" applyFill="1" applyBorder="1" applyAlignment="1"/>
    <xf numFmtId="0" fontId="7" fillId="0" borderId="26" xfId="0" applyFont="1" applyFill="1" applyBorder="1" applyAlignment="1"/>
    <xf numFmtId="0" fontId="7" fillId="0" borderId="30" xfId="0" applyFont="1" applyFill="1" applyBorder="1" applyAlignment="1"/>
    <xf numFmtId="14" fontId="3" fillId="0" borderId="31" xfId="0" applyNumberFormat="1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right"/>
    </xf>
    <xf numFmtId="0" fontId="7" fillId="0" borderId="27" xfId="0" applyFont="1" applyFill="1" applyBorder="1" applyAlignment="1">
      <alignment horizontal="right"/>
    </xf>
    <xf numFmtId="0" fontId="7" fillId="0" borderId="17" xfId="0" applyFont="1" applyFill="1" applyBorder="1" applyAlignment="1">
      <alignment horizontal="right"/>
    </xf>
    <xf numFmtId="0" fontId="39" fillId="0" borderId="14" xfId="0" applyFont="1" applyFill="1" applyBorder="1" applyAlignment="1">
      <alignment horizontal="center" vertical="center"/>
    </xf>
    <xf numFmtId="14" fontId="40" fillId="0" borderId="21" xfId="0" applyNumberFormat="1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4" fontId="8" fillId="0" borderId="17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/>
    <xf numFmtId="0" fontId="9" fillId="0" borderId="21" xfId="0" applyFont="1" applyFill="1" applyBorder="1" applyAlignment="1"/>
    <xf numFmtId="0" fontId="9" fillId="0" borderId="27" xfId="0" applyFont="1" applyFill="1" applyBorder="1" applyAlignment="1"/>
    <xf numFmtId="0" fontId="9" fillId="0" borderId="17" xfId="0" applyFont="1" applyFill="1" applyBorder="1" applyAlignment="1"/>
    <xf numFmtId="14" fontId="3" fillId="0" borderId="21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67" fontId="10" fillId="0" borderId="0" xfId="0" applyNumberFormat="1" applyFont="1" applyBorder="1" applyAlignment="1">
      <alignment horizontal="left"/>
    </xf>
    <xf numFmtId="167" fontId="10" fillId="0" borderId="4" xfId="0" applyNumberFormat="1" applyFont="1" applyBorder="1" applyAlignment="1">
      <alignment horizontal="left"/>
    </xf>
    <xf numFmtId="167" fontId="10" fillId="0" borderId="5" xfId="0" applyNumberFormat="1" applyFont="1" applyBorder="1" applyAlignment="1">
      <alignment horizontal="left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3" fontId="3" fillId="0" borderId="60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4" fontId="0" fillId="0" borderId="21" xfId="0" applyNumberFormat="1" applyFont="1" applyFill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7" fillId="0" borderId="21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39" fillId="0" borderId="21" xfId="0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left" vertical="center"/>
    </xf>
    <xf numFmtId="0" fontId="39" fillId="0" borderId="14" xfId="0" applyFont="1" applyFill="1" applyBorder="1" applyAlignment="1"/>
    <xf numFmtId="14" fontId="1" fillId="0" borderId="21" xfId="0" applyNumberFormat="1" applyFont="1" applyFill="1" applyBorder="1" applyAlignment="1">
      <alignment horizontal="left" vertical="center"/>
    </xf>
    <xf numFmtId="0" fontId="10" fillId="0" borderId="6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46" fillId="0" borderId="54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167" fontId="10" fillId="0" borderId="4" xfId="0" applyNumberFormat="1" applyFont="1" applyBorder="1" applyAlignment="1">
      <alignment horizontal="right"/>
    </xf>
    <xf numFmtId="167" fontId="10" fillId="0" borderId="5" xfId="0" applyNumberFormat="1" applyFont="1" applyBorder="1" applyAlignment="1">
      <alignment horizontal="right"/>
    </xf>
    <xf numFmtId="14" fontId="3" fillId="0" borderId="21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0" fillId="0" borderId="9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/>
    </xf>
    <xf numFmtId="0" fontId="7" fillId="4" borderId="19" xfId="0" applyFont="1" applyFill="1" applyBorder="1" applyAlignment="1">
      <alignment horizontal="center" vertical="top" wrapText="1"/>
    </xf>
    <xf numFmtId="0" fontId="7" fillId="4" borderId="34" xfId="0" applyFont="1" applyFill="1" applyBorder="1" applyAlignment="1">
      <alignment horizontal="center" vertical="top" wrapText="1"/>
    </xf>
    <xf numFmtId="0" fontId="3" fillId="4" borderId="34" xfId="0" applyFont="1" applyFill="1" applyBorder="1" applyAlignment="1">
      <alignment horizontal="center" vertical="top" wrapText="1"/>
    </xf>
    <xf numFmtId="0" fontId="3" fillId="4" borderId="20" xfId="0" applyFont="1" applyFill="1" applyBorder="1" applyAlignment="1">
      <alignment horizontal="center" vertical="top"/>
    </xf>
    <xf numFmtId="0" fontId="3" fillId="0" borderId="2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99"/>
      <color rgb="FFFF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9"/>
  <sheetViews>
    <sheetView zoomScaleNormal="100" workbookViewId="0">
      <pane ySplit="4" topLeftCell="A20" activePane="bottomLeft" state="frozen"/>
      <selection pane="bottomLeft" activeCell="Z7" sqref="Z7"/>
    </sheetView>
  </sheetViews>
  <sheetFormatPr defaultColWidth="9.109375" defaultRowHeight="14.4" outlineLevelRow="1" outlineLevelCol="1" x14ac:dyDescent="0.3"/>
  <cols>
    <col min="1" max="1" width="8.44140625" style="2" customWidth="1"/>
    <col min="2" max="2" width="6.33203125" style="2" customWidth="1"/>
    <col min="3" max="3" width="5.6640625" style="2" customWidth="1"/>
    <col min="4" max="4" width="6.6640625" style="2" customWidth="1"/>
    <col min="5" max="5" width="6.6640625" style="35" customWidth="1"/>
    <col min="6" max="6" width="6.6640625" style="2" customWidth="1"/>
    <col min="7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8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2" width="12.6640625" style="20" customWidth="1"/>
    <col min="23" max="23" width="11.6640625" style="20" hidden="1" customWidth="1"/>
    <col min="24" max="24" width="10.6640625" style="20" hidden="1" customWidth="1"/>
    <col min="25" max="26" width="12.6640625" style="20" customWidth="1"/>
    <col min="27" max="29" width="9.6640625" style="2" hidden="1" customWidth="1"/>
    <col min="30" max="31" width="10.6640625" style="2" hidden="1" customWidth="1"/>
    <col min="32" max="32" width="0.109375" style="2" hidden="1" customWidth="1"/>
    <col min="33" max="33" width="11.33203125" style="2" hidden="1" customWidth="1"/>
    <col min="34" max="34" width="6" style="77" customWidth="1" outlineLevel="1"/>
    <col min="35" max="35" width="6.66406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72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41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106</v>
      </c>
      <c r="V3" s="608" t="s">
        <v>107</v>
      </c>
      <c r="W3" s="606" t="s">
        <v>62</v>
      </c>
      <c r="X3" s="599" t="s">
        <v>45</v>
      </c>
      <c r="Y3" s="567" t="s">
        <v>106</v>
      </c>
      <c r="Z3" s="577" t="s">
        <v>107</v>
      </c>
      <c r="AA3" s="599" t="s">
        <v>30</v>
      </c>
      <c r="AB3" s="599" t="s">
        <v>37</v>
      </c>
      <c r="AC3" s="567"/>
      <c r="AD3" s="601" t="s">
        <v>14</v>
      </c>
      <c r="AE3" s="597" t="s">
        <v>63</v>
      </c>
      <c r="AF3" s="604" t="s">
        <v>16</v>
      </c>
      <c r="AG3" s="597" t="s">
        <v>19</v>
      </c>
    </row>
    <row r="4" spans="1:40" ht="35.25" customHeight="1" thickBot="1" x14ac:dyDescent="0.35">
      <c r="A4" s="558"/>
      <c r="B4" s="15" t="s">
        <v>6</v>
      </c>
      <c r="C4" s="20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05" t="s">
        <v>9</v>
      </c>
      <c r="J4" s="200" t="s">
        <v>10</v>
      </c>
      <c r="K4" s="201" t="s">
        <v>2</v>
      </c>
      <c r="L4" s="202" t="s">
        <v>9</v>
      </c>
      <c r="M4" s="200" t="s">
        <v>10</v>
      </c>
      <c r="N4" s="201" t="s">
        <v>2</v>
      </c>
      <c r="O4" s="202" t="s">
        <v>9</v>
      </c>
      <c r="P4" s="607"/>
      <c r="Q4" s="579"/>
      <c r="R4" s="576"/>
      <c r="S4" s="203" t="s">
        <v>4</v>
      </c>
      <c r="T4" s="607"/>
      <c r="U4" s="576"/>
      <c r="V4" s="609"/>
      <c r="W4" s="610"/>
      <c r="X4" s="600"/>
      <c r="Y4" s="576"/>
      <c r="Z4" s="578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44896</v>
      </c>
      <c r="B5" s="28">
        <v>15</v>
      </c>
      <c r="C5" s="30">
        <v>3.57</v>
      </c>
      <c r="D5" s="22"/>
      <c r="E5" s="42">
        <f>424-B5-C5+D5</f>
        <v>405.43</v>
      </c>
      <c r="F5" s="51">
        <f>C5</f>
        <v>3.57</v>
      </c>
      <c r="G5" s="9">
        <f>2.47-H5</f>
        <v>2.4700000000000002</v>
      </c>
      <c r="H5" s="10"/>
      <c r="I5" s="161">
        <f>8.4+F5-G5-H5</f>
        <v>9.5</v>
      </c>
      <c r="J5" s="8"/>
      <c r="K5" s="11"/>
      <c r="L5" s="25"/>
      <c r="M5" s="51">
        <f t="shared" ref="M5:M35" si="0">H5</f>
        <v>0</v>
      </c>
      <c r="N5" s="24">
        <v>0.36399999999999999</v>
      </c>
      <c r="O5" s="47">
        <f>1.374+M5-N5</f>
        <v>1.0100000000000002</v>
      </c>
      <c r="P5" s="46">
        <v>0</v>
      </c>
      <c r="Q5" s="45">
        <f t="shared" ref="Q5:Q35" si="1">E5+I5+L5+O5</f>
        <v>415.94</v>
      </c>
      <c r="R5" s="165">
        <f>B5+G5+H5+J5</f>
        <v>17.47</v>
      </c>
      <c r="S5" s="160">
        <v>168.33500000000001</v>
      </c>
      <c r="T5" s="58">
        <v>1080355.5</v>
      </c>
      <c r="U5" s="58"/>
      <c r="V5" s="58">
        <v>1433759.59</v>
      </c>
      <c r="W5" s="58" t="e">
        <f>#REF!</f>
        <v>#REF!</v>
      </c>
      <c r="X5" s="58" t="e">
        <f>#REF!</f>
        <v>#REF!</v>
      </c>
      <c r="Y5" s="58"/>
      <c r="Z5" s="58">
        <v>735034.96</v>
      </c>
      <c r="AA5" s="58" t="e">
        <f>#REF!</f>
        <v>#REF!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>
        <v>183734.39999999999</v>
      </c>
      <c r="AH5" s="127"/>
      <c r="AI5" s="126"/>
      <c r="AJ5" s="99"/>
      <c r="AK5" s="91"/>
    </row>
    <row r="6" spans="1:40" ht="13.2" customHeight="1" thickBot="1" x14ac:dyDescent="0.35">
      <c r="A6" s="7">
        <v>44897</v>
      </c>
      <c r="B6" s="28">
        <v>35.68</v>
      </c>
      <c r="C6" s="30">
        <v>2.464</v>
      </c>
      <c r="D6" s="22"/>
      <c r="E6" s="43">
        <f t="shared" ref="E6:E35" si="2">E5+D6-B6-C6</f>
        <v>367.286</v>
      </c>
      <c r="F6" s="51">
        <f t="shared" ref="F6:F35" si="3">C6</f>
        <v>2.464</v>
      </c>
      <c r="G6" s="9">
        <f>3.814-H6</f>
        <v>3.1240000000000001</v>
      </c>
      <c r="H6" s="10">
        <v>0.69</v>
      </c>
      <c r="I6" s="161">
        <f t="shared" ref="I6:I35" si="4">I5+F6-G6-H6</f>
        <v>8.15</v>
      </c>
      <c r="J6" s="8"/>
      <c r="K6" s="11"/>
      <c r="L6" s="12"/>
      <c r="M6" s="51">
        <f t="shared" si="0"/>
        <v>0.69</v>
      </c>
      <c r="N6" s="24">
        <v>0.44500000000000001</v>
      </c>
      <c r="O6" s="47">
        <f t="shared" ref="O6:O34" si="5">O5+M6-N6</f>
        <v>1.2550000000000001</v>
      </c>
      <c r="P6" s="48"/>
      <c r="Q6" s="47">
        <f t="shared" si="1"/>
        <v>376.69099999999997</v>
      </c>
      <c r="R6" s="165">
        <f t="shared" ref="R6:R35" si="6">B6+G6+H6+J6</f>
        <v>39.494</v>
      </c>
      <c r="S6" s="160">
        <v>168.33500000000001</v>
      </c>
      <c r="T6" s="58">
        <v>1080355.5</v>
      </c>
      <c r="U6" s="58"/>
      <c r="V6" s="58"/>
      <c r="W6" s="58">
        <v>0</v>
      </c>
      <c r="X6" s="58">
        <v>0</v>
      </c>
      <c r="Y6" s="58"/>
      <c r="Z6" s="58"/>
      <c r="AA6" s="58">
        <v>0</v>
      </c>
      <c r="AB6" s="58">
        <v>0</v>
      </c>
      <c r="AC6" s="58">
        <v>0</v>
      </c>
      <c r="AD6" s="58">
        <v>76674</v>
      </c>
      <c r="AE6" s="58">
        <v>0</v>
      </c>
      <c r="AF6" s="58">
        <v>0</v>
      </c>
      <c r="AG6" s="58">
        <v>183734.39999999999</v>
      </c>
      <c r="AH6" s="123" t="s">
        <v>49</v>
      </c>
      <c r="AI6" s="122">
        <v>33.271999999999998</v>
      </c>
      <c r="AJ6" s="99" t="s">
        <v>73</v>
      </c>
      <c r="AK6" s="23">
        <v>50826650</v>
      </c>
      <c r="AL6" s="21"/>
    </row>
    <row r="7" spans="1:40" ht="13.2" customHeight="1" thickBot="1" x14ac:dyDescent="0.35">
      <c r="A7" s="3">
        <v>44898</v>
      </c>
      <c r="B7" s="28"/>
      <c r="C7" s="30"/>
      <c r="D7" s="186">
        <v>102.593</v>
      </c>
      <c r="E7" s="43">
        <f t="shared" si="2"/>
        <v>469.87900000000002</v>
      </c>
      <c r="F7" s="51">
        <f t="shared" si="3"/>
        <v>0</v>
      </c>
      <c r="G7" s="9"/>
      <c r="H7" s="10"/>
      <c r="I7" s="161">
        <f t="shared" si="4"/>
        <v>8.15</v>
      </c>
      <c r="J7" s="8"/>
      <c r="K7" s="11"/>
      <c r="L7" s="12"/>
      <c r="M7" s="51">
        <f t="shared" si="0"/>
        <v>0</v>
      </c>
      <c r="N7" s="24"/>
      <c r="O7" s="47">
        <f t="shared" si="5"/>
        <v>1.2550000000000001</v>
      </c>
      <c r="P7" s="48"/>
      <c r="Q7" s="47">
        <f t="shared" si="1"/>
        <v>479.28399999999999</v>
      </c>
      <c r="R7" s="165">
        <f t="shared" si="6"/>
        <v>0</v>
      </c>
      <c r="S7" s="160">
        <v>201.39400000000001</v>
      </c>
      <c r="T7" s="59">
        <f>T6-AI7*M43</f>
        <v>570840</v>
      </c>
      <c r="U7" s="227"/>
      <c r="V7" s="157">
        <f>V5-AI8*M50</f>
        <v>453597.62</v>
      </c>
      <c r="W7" s="58">
        <v>0</v>
      </c>
      <c r="X7" s="58">
        <v>0</v>
      </c>
      <c r="Y7" s="58"/>
      <c r="Z7" s="107">
        <f>Z5-AI6*M47</f>
        <v>254953.272</v>
      </c>
      <c r="AA7" s="58">
        <v>0</v>
      </c>
      <c r="AB7" s="58">
        <v>0</v>
      </c>
      <c r="AC7" s="58">
        <v>0</v>
      </c>
      <c r="AD7" s="58">
        <v>76674</v>
      </c>
      <c r="AE7" s="58">
        <v>0</v>
      </c>
      <c r="AF7" s="58">
        <v>0</v>
      </c>
      <c r="AG7" s="58">
        <v>183734.39999999999</v>
      </c>
      <c r="AH7" s="127" t="s">
        <v>43</v>
      </c>
      <c r="AI7" s="126">
        <v>34.450000000000003</v>
      </c>
      <c r="AJ7" s="99" t="s">
        <v>74</v>
      </c>
      <c r="AK7" s="91">
        <v>58178112</v>
      </c>
      <c r="AL7" s="21"/>
    </row>
    <row r="8" spans="1:40" ht="12.75" customHeight="1" thickBot="1" x14ac:dyDescent="0.35">
      <c r="A8" s="3">
        <v>44899</v>
      </c>
      <c r="B8" s="28"/>
      <c r="C8" s="30"/>
      <c r="D8" s="186"/>
      <c r="E8" s="43">
        <f t="shared" si="2"/>
        <v>469.87900000000002</v>
      </c>
      <c r="F8" s="51">
        <f t="shared" si="3"/>
        <v>0</v>
      </c>
      <c r="G8" s="9"/>
      <c r="H8" s="10"/>
      <c r="I8" s="161">
        <f t="shared" si="4"/>
        <v>8.15</v>
      </c>
      <c r="J8" s="8"/>
      <c r="K8" s="11"/>
      <c r="L8" s="12"/>
      <c r="M8" s="51">
        <f t="shared" si="0"/>
        <v>0</v>
      </c>
      <c r="N8" s="24"/>
      <c r="O8" s="47">
        <f t="shared" si="5"/>
        <v>1.2550000000000001</v>
      </c>
      <c r="P8" s="48"/>
      <c r="Q8" s="47">
        <f t="shared" si="1"/>
        <v>479.28399999999999</v>
      </c>
      <c r="R8" s="165">
        <f t="shared" si="6"/>
        <v>0</v>
      </c>
      <c r="S8" s="160">
        <v>201.39400000000001</v>
      </c>
      <c r="T8" s="58">
        <v>570840</v>
      </c>
      <c r="U8" s="82"/>
      <c r="V8" s="212"/>
      <c r="W8" s="58">
        <v>0</v>
      </c>
      <c r="X8" s="58">
        <v>0</v>
      </c>
      <c r="Y8" s="58"/>
      <c r="Z8" s="58"/>
      <c r="AA8" s="58">
        <v>0</v>
      </c>
      <c r="AB8" s="58">
        <v>0</v>
      </c>
      <c r="AC8" s="58">
        <v>0</v>
      </c>
      <c r="AD8" s="58">
        <v>76674</v>
      </c>
      <c r="AE8" s="58">
        <v>0</v>
      </c>
      <c r="AF8" s="58">
        <v>0</v>
      </c>
      <c r="AG8" s="58">
        <v>183734.39999999999</v>
      </c>
      <c r="AH8" s="128" t="s">
        <v>48</v>
      </c>
      <c r="AI8" s="120">
        <v>67.930000000000007</v>
      </c>
      <c r="AJ8" s="99" t="s">
        <v>75</v>
      </c>
      <c r="AK8" s="91">
        <v>76635721</v>
      </c>
      <c r="AL8" s="97"/>
    </row>
    <row r="9" spans="1:40" ht="13.2" customHeight="1" thickBot="1" x14ac:dyDescent="0.35">
      <c r="A9" s="7">
        <v>44900</v>
      </c>
      <c r="B9" s="28">
        <v>16.46</v>
      </c>
      <c r="C9" s="30">
        <v>4.3040000000000003</v>
      </c>
      <c r="D9" s="186"/>
      <c r="E9" s="43">
        <f t="shared" si="2"/>
        <v>449.11500000000007</v>
      </c>
      <c r="F9" s="51">
        <f t="shared" si="3"/>
        <v>4.3040000000000003</v>
      </c>
      <c r="G9" s="9">
        <f>3.654-H9</f>
        <v>2.9219999999999997</v>
      </c>
      <c r="H9" s="10">
        <v>0.73199999999999998</v>
      </c>
      <c r="I9" s="161">
        <f t="shared" si="4"/>
        <v>8.8000000000000007</v>
      </c>
      <c r="J9" s="8"/>
      <c r="K9" s="11"/>
      <c r="L9" s="12"/>
      <c r="M9" s="51">
        <f t="shared" si="0"/>
        <v>0.73199999999999998</v>
      </c>
      <c r="N9" s="24">
        <v>0.377</v>
      </c>
      <c r="O9" s="47">
        <f t="shared" si="5"/>
        <v>1.61</v>
      </c>
      <c r="P9" s="48"/>
      <c r="Q9" s="47">
        <f t="shared" si="1"/>
        <v>459.52500000000009</v>
      </c>
      <c r="R9" s="165">
        <f t="shared" si="6"/>
        <v>20.114000000000001</v>
      </c>
      <c r="S9" s="160">
        <v>201.39400000000001</v>
      </c>
      <c r="T9" s="86">
        <v>570840</v>
      </c>
      <c r="U9" s="86"/>
      <c r="V9" s="212"/>
      <c r="W9" s="80">
        <v>0</v>
      </c>
      <c r="X9" s="184">
        <v>0</v>
      </c>
      <c r="Y9" s="58"/>
      <c r="Z9" s="86"/>
      <c r="AA9" s="87">
        <v>0</v>
      </c>
      <c r="AB9" s="80">
        <v>0</v>
      </c>
      <c r="AC9" s="204">
        <v>0</v>
      </c>
      <c r="AD9" s="87">
        <v>76674</v>
      </c>
      <c r="AE9" s="55">
        <v>0</v>
      </c>
      <c r="AF9" s="14">
        <v>0</v>
      </c>
      <c r="AG9" s="58">
        <v>183734.39999999999</v>
      </c>
      <c r="AH9" s="127" t="s">
        <v>43</v>
      </c>
      <c r="AI9" s="126">
        <v>38.5</v>
      </c>
      <c r="AJ9" s="99" t="s">
        <v>77</v>
      </c>
      <c r="AK9" s="91">
        <v>55767636</v>
      </c>
      <c r="AL9" s="99"/>
      <c r="AM9" s="21"/>
      <c r="AN9" s="21"/>
    </row>
    <row r="10" spans="1:40" s="1" customFormat="1" ht="13.2" customHeight="1" thickBot="1" x14ac:dyDescent="0.35">
      <c r="A10" s="7">
        <v>44901</v>
      </c>
      <c r="B10" s="28">
        <v>11.83</v>
      </c>
      <c r="C10" s="30">
        <v>6.3620000000000001</v>
      </c>
      <c r="D10" s="186"/>
      <c r="E10" s="43">
        <f t="shared" si="2"/>
        <v>430.92300000000006</v>
      </c>
      <c r="F10" s="51">
        <f t="shared" si="3"/>
        <v>6.3620000000000001</v>
      </c>
      <c r="G10" s="30">
        <f>7.802-H10</f>
        <v>7.8019999999999996</v>
      </c>
      <c r="H10" s="10">
        <v>0</v>
      </c>
      <c r="I10" s="161">
        <f t="shared" si="4"/>
        <v>7.3600000000000012</v>
      </c>
      <c r="J10" s="8"/>
      <c r="K10" s="11"/>
      <c r="L10" s="12"/>
      <c r="M10" s="51">
        <f t="shared" si="0"/>
        <v>0</v>
      </c>
      <c r="N10" s="24">
        <v>0.35599999999999998</v>
      </c>
      <c r="O10" s="47">
        <f t="shared" si="5"/>
        <v>1.254</v>
      </c>
      <c r="P10" s="48"/>
      <c r="Q10" s="47">
        <f t="shared" si="1"/>
        <v>439.53700000000009</v>
      </c>
      <c r="R10" s="165">
        <f t="shared" si="6"/>
        <v>19.631999999999998</v>
      </c>
      <c r="S10" s="160">
        <v>201.39400000000001</v>
      </c>
      <c r="T10" s="86">
        <v>570840</v>
      </c>
      <c r="U10" s="86"/>
      <c r="V10" s="212">
        <v>453597.62</v>
      </c>
      <c r="W10" s="80"/>
      <c r="X10" s="184"/>
      <c r="Y10" s="58"/>
      <c r="Z10" s="86">
        <v>254953.14</v>
      </c>
      <c r="AA10" s="87"/>
      <c r="AB10" s="80"/>
      <c r="AC10" s="187"/>
      <c r="AD10" s="87">
        <v>0</v>
      </c>
      <c r="AE10" s="55"/>
      <c r="AF10" s="136"/>
      <c r="AG10" s="58">
        <v>0</v>
      </c>
      <c r="AH10" s="128" t="s">
        <v>48</v>
      </c>
      <c r="AI10" s="120">
        <v>32.280999999999999</v>
      </c>
      <c r="AJ10" s="99" t="s">
        <v>78</v>
      </c>
      <c r="AK10" s="91">
        <v>50838275</v>
      </c>
      <c r="AL10" s="97"/>
      <c r="AM10" s="27"/>
      <c r="AN10" s="27"/>
    </row>
    <row r="11" spans="1:40" ht="13.2" customHeight="1" thickBot="1" x14ac:dyDescent="0.35">
      <c r="A11" s="7">
        <v>44902</v>
      </c>
      <c r="B11" s="28">
        <v>4.83</v>
      </c>
      <c r="C11" s="30">
        <v>2.5680000000000001</v>
      </c>
      <c r="D11" s="186">
        <v>33.271999999999998</v>
      </c>
      <c r="E11" s="43">
        <f t="shared" si="2"/>
        <v>456.79700000000008</v>
      </c>
      <c r="F11" s="51">
        <f t="shared" si="3"/>
        <v>2.5680000000000001</v>
      </c>
      <c r="G11" s="9">
        <f>1.078-H11</f>
        <v>0.4</v>
      </c>
      <c r="H11" s="10">
        <v>0.67800000000000005</v>
      </c>
      <c r="I11" s="161">
        <f t="shared" si="4"/>
        <v>8.85</v>
      </c>
      <c r="J11" s="8"/>
      <c r="K11" s="11"/>
      <c r="L11" s="12"/>
      <c r="M11" s="51">
        <f t="shared" si="0"/>
        <v>0.67800000000000005</v>
      </c>
      <c r="N11" s="24">
        <v>0.34</v>
      </c>
      <c r="O11" s="47">
        <f t="shared" si="5"/>
        <v>1.5919999999999999</v>
      </c>
      <c r="P11" s="48"/>
      <c r="Q11" s="47">
        <f t="shared" si="1"/>
        <v>467.23900000000009</v>
      </c>
      <c r="R11" s="165">
        <f t="shared" si="6"/>
        <v>5.9080000000000004</v>
      </c>
      <c r="S11" s="160">
        <f>S9-D11</f>
        <v>168.12200000000001</v>
      </c>
      <c r="T11" s="86">
        <v>570840</v>
      </c>
      <c r="U11" s="86"/>
      <c r="V11" s="86">
        <f>V10+980000</f>
        <v>1433597.62</v>
      </c>
      <c r="W11" s="80"/>
      <c r="X11" s="85"/>
      <c r="Y11" s="58"/>
      <c r="Z11" s="86">
        <f>Z10+784000</f>
        <v>1038953.14</v>
      </c>
      <c r="AA11" s="87"/>
      <c r="AB11" s="80"/>
      <c r="AC11" s="204"/>
      <c r="AD11" s="87">
        <v>0</v>
      </c>
      <c r="AE11" s="55"/>
      <c r="AF11" s="14"/>
      <c r="AG11" s="86">
        <v>0</v>
      </c>
      <c r="AH11" s="123" t="s">
        <v>49</v>
      </c>
      <c r="AI11" s="122">
        <v>34.802999999999997</v>
      </c>
      <c r="AJ11" s="103" t="s">
        <v>79</v>
      </c>
      <c r="AK11" s="91">
        <v>50839562</v>
      </c>
      <c r="AL11" s="21"/>
      <c r="AM11" s="21"/>
      <c r="AN11" s="21"/>
    </row>
    <row r="12" spans="1:40" ht="13.2" customHeight="1" thickBot="1" x14ac:dyDescent="0.35">
      <c r="A12" s="7">
        <v>44903</v>
      </c>
      <c r="B12" s="28">
        <v>13.94</v>
      </c>
      <c r="C12" s="30">
        <v>1.228</v>
      </c>
      <c r="D12" s="186">
        <v>34.450000000000003</v>
      </c>
      <c r="E12" s="43">
        <f t="shared" si="2"/>
        <v>476.07900000000006</v>
      </c>
      <c r="F12" s="51">
        <f t="shared" si="3"/>
        <v>1.228</v>
      </c>
      <c r="G12" s="30">
        <f>2.168-H12</f>
        <v>1.9400000000000002</v>
      </c>
      <c r="H12" s="24">
        <v>0.22800000000000001</v>
      </c>
      <c r="I12" s="161">
        <f t="shared" si="4"/>
        <v>7.91</v>
      </c>
      <c r="J12" s="8"/>
      <c r="K12" s="11"/>
      <c r="L12" s="12"/>
      <c r="M12" s="51">
        <f t="shared" si="0"/>
        <v>0.22800000000000001</v>
      </c>
      <c r="N12" s="24">
        <v>0.309</v>
      </c>
      <c r="O12" s="47">
        <f t="shared" si="5"/>
        <v>1.5109999999999999</v>
      </c>
      <c r="P12" s="48"/>
      <c r="Q12" s="47">
        <f t="shared" si="1"/>
        <v>485.50000000000011</v>
      </c>
      <c r="R12" s="165">
        <f t="shared" si="6"/>
        <v>16.108000000000001</v>
      </c>
      <c r="S12" s="160">
        <f>168.122-D12+AI9</f>
        <v>172.17200000000003</v>
      </c>
      <c r="T12" s="88">
        <f>570840-AI9*M43</f>
        <v>1425</v>
      </c>
      <c r="U12" s="88"/>
      <c r="V12" s="86"/>
      <c r="W12" s="80"/>
      <c r="X12" s="85"/>
      <c r="Y12" s="58"/>
      <c r="Z12" s="86"/>
      <c r="AA12" s="86"/>
      <c r="AB12" s="80"/>
      <c r="AC12" s="187"/>
      <c r="AD12" s="87">
        <v>0</v>
      </c>
      <c r="AE12" s="55"/>
      <c r="AF12" s="14"/>
      <c r="AG12" s="86">
        <v>0</v>
      </c>
      <c r="AH12" s="123" t="s">
        <v>49</v>
      </c>
      <c r="AI12" s="122">
        <v>34.695999999999998</v>
      </c>
      <c r="AJ12" s="103" t="s">
        <v>89</v>
      </c>
      <c r="AK12" s="91">
        <v>50837319</v>
      </c>
      <c r="AL12" s="21"/>
      <c r="AM12" s="21"/>
      <c r="AN12" s="21"/>
    </row>
    <row r="13" spans="1:40" ht="13.2" customHeight="1" thickBot="1" x14ac:dyDescent="0.35">
      <c r="A13" s="7">
        <v>44904</v>
      </c>
      <c r="B13" s="28">
        <v>37.840000000000003</v>
      </c>
      <c r="C13" s="30">
        <v>3.4020000000000001</v>
      </c>
      <c r="D13" s="186"/>
      <c r="E13" s="43">
        <f t="shared" si="2"/>
        <v>434.83700000000005</v>
      </c>
      <c r="F13" s="51">
        <f t="shared" si="3"/>
        <v>3.4020000000000001</v>
      </c>
      <c r="G13" s="9">
        <f>2.712-H13</f>
        <v>2.1900000000000004</v>
      </c>
      <c r="H13" s="10">
        <v>0.52200000000000002</v>
      </c>
      <c r="I13" s="161">
        <f t="shared" si="4"/>
        <v>8.6</v>
      </c>
      <c r="J13" s="8"/>
      <c r="K13" s="26"/>
      <c r="L13" s="12"/>
      <c r="M13" s="51">
        <f t="shared" si="0"/>
        <v>0.52200000000000002</v>
      </c>
      <c r="N13" s="24">
        <v>0.377</v>
      </c>
      <c r="O13" s="47">
        <f t="shared" si="5"/>
        <v>1.6559999999999999</v>
      </c>
      <c r="P13" s="48"/>
      <c r="Q13" s="47">
        <f t="shared" si="1"/>
        <v>445.09300000000007</v>
      </c>
      <c r="R13" s="165">
        <f t="shared" si="6"/>
        <v>40.552</v>
      </c>
      <c r="S13" s="160">
        <f t="shared" ref="S13:S14" si="7">168.122-D13+AI10</f>
        <v>200.40300000000002</v>
      </c>
      <c r="T13" s="86">
        <v>1425</v>
      </c>
      <c r="U13" s="86"/>
      <c r="V13" s="86"/>
      <c r="W13" s="80"/>
      <c r="X13" s="85"/>
      <c r="Y13" s="58"/>
      <c r="Z13" s="86"/>
      <c r="AA13" s="86"/>
      <c r="AB13" s="80"/>
      <c r="AC13" s="187"/>
      <c r="AD13" s="87">
        <v>0</v>
      </c>
      <c r="AE13" s="55"/>
      <c r="AF13" s="14"/>
      <c r="AG13" s="86">
        <v>0</v>
      </c>
      <c r="AH13" s="127" t="s">
        <v>43</v>
      </c>
      <c r="AI13" s="126">
        <v>38.15</v>
      </c>
      <c r="AJ13" s="208" t="s">
        <v>90</v>
      </c>
      <c r="AK13" s="228">
        <v>76601863</v>
      </c>
      <c r="AL13" s="135"/>
      <c r="AM13" s="21"/>
      <c r="AN13" s="21"/>
    </row>
    <row r="14" spans="1:40" ht="13.2" customHeight="1" thickBot="1" x14ac:dyDescent="0.35">
      <c r="A14" s="3">
        <v>44905</v>
      </c>
      <c r="B14" s="28"/>
      <c r="C14" s="30"/>
      <c r="D14" s="186"/>
      <c r="E14" s="43">
        <f t="shared" si="2"/>
        <v>434.83700000000005</v>
      </c>
      <c r="F14" s="51">
        <f t="shared" si="3"/>
        <v>0</v>
      </c>
      <c r="G14" s="30"/>
      <c r="H14" s="24"/>
      <c r="I14" s="161">
        <f t="shared" si="4"/>
        <v>8.6</v>
      </c>
      <c r="J14" s="8"/>
      <c r="K14" s="11"/>
      <c r="L14" s="12"/>
      <c r="M14" s="51">
        <f t="shared" si="0"/>
        <v>0</v>
      </c>
      <c r="N14" s="24"/>
      <c r="O14" s="47">
        <f t="shared" si="5"/>
        <v>1.6559999999999999</v>
      </c>
      <c r="P14" s="48"/>
      <c r="Q14" s="47">
        <f t="shared" si="1"/>
        <v>445.09300000000007</v>
      </c>
      <c r="R14" s="165">
        <f t="shared" si="6"/>
        <v>0</v>
      </c>
      <c r="S14" s="160">
        <f t="shared" si="7"/>
        <v>202.92500000000001</v>
      </c>
      <c r="T14" s="86">
        <v>1425</v>
      </c>
      <c r="U14" s="86"/>
      <c r="V14" s="86"/>
      <c r="W14" s="80"/>
      <c r="X14" s="85"/>
      <c r="Y14" s="58"/>
      <c r="Z14" s="86"/>
      <c r="AA14" s="86"/>
      <c r="AB14" s="80"/>
      <c r="AC14" s="190"/>
      <c r="AD14" s="87">
        <v>0</v>
      </c>
      <c r="AE14" s="55"/>
      <c r="AF14" s="14"/>
      <c r="AG14" s="86">
        <v>0</v>
      </c>
      <c r="AH14" s="128" t="s">
        <v>48</v>
      </c>
      <c r="AI14" s="120">
        <v>65.343999999999994</v>
      </c>
      <c r="AJ14" s="208" t="s">
        <v>92</v>
      </c>
      <c r="AK14" s="117">
        <v>50885615</v>
      </c>
      <c r="AL14" s="97">
        <v>50885573</v>
      </c>
      <c r="AM14" s="21"/>
      <c r="AN14" s="21"/>
    </row>
    <row r="15" spans="1:40" ht="13.2" customHeight="1" thickBot="1" x14ac:dyDescent="0.35">
      <c r="A15" s="3">
        <v>44906</v>
      </c>
      <c r="B15" s="28"/>
      <c r="C15" s="30"/>
      <c r="D15" s="186">
        <v>67.930000000000007</v>
      </c>
      <c r="E15" s="43">
        <f t="shared" si="2"/>
        <v>502.76700000000005</v>
      </c>
      <c r="F15" s="51">
        <f t="shared" si="3"/>
        <v>0</v>
      </c>
      <c r="G15" s="9"/>
      <c r="H15" s="10"/>
      <c r="I15" s="161">
        <f t="shared" si="4"/>
        <v>8.6</v>
      </c>
      <c r="J15" s="8"/>
      <c r="K15" s="11"/>
      <c r="L15" s="12"/>
      <c r="M15" s="51">
        <f>H15</f>
        <v>0</v>
      </c>
      <c r="N15" s="24"/>
      <c r="O15" s="47">
        <f t="shared" si="5"/>
        <v>1.6559999999999999</v>
      </c>
      <c r="P15" s="48"/>
      <c r="Q15" s="47">
        <f t="shared" si="1"/>
        <v>513.02300000000002</v>
      </c>
      <c r="R15" s="165">
        <f t="shared" si="6"/>
        <v>0</v>
      </c>
      <c r="S15" s="160">
        <v>104.242</v>
      </c>
      <c r="T15" s="86">
        <v>1425</v>
      </c>
      <c r="U15" s="86"/>
      <c r="V15" s="86">
        <v>1433597.35</v>
      </c>
      <c r="W15" s="80"/>
      <c r="X15" s="85"/>
      <c r="Y15" s="58"/>
      <c r="Z15" s="86"/>
      <c r="AA15" s="86"/>
      <c r="AB15" s="80"/>
      <c r="AC15" s="79"/>
      <c r="AD15" s="87">
        <v>0</v>
      </c>
      <c r="AE15" s="55"/>
      <c r="AF15" s="14"/>
      <c r="AG15" s="86">
        <v>0</v>
      </c>
      <c r="AH15" s="127" t="s">
        <v>43</v>
      </c>
      <c r="AI15" s="126">
        <v>72.55</v>
      </c>
      <c r="AJ15" s="208" t="s">
        <v>95</v>
      </c>
      <c r="AK15" s="91">
        <v>77490795</v>
      </c>
      <c r="AL15" s="97">
        <v>57864787</v>
      </c>
      <c r="AM15" s="21"/>
      <c r="AN15" s="21"/>
    </row>
    <row r="16" spans="1:40" ht="13.2" customHeight="1" thickBot="1" x14ac:dyDescent="0.35">
      <c r="A16" s="7">
        <v>44907</v>
      </c>
      <c r="B16" s="28">
        <v>21.93</v>
      </c>
      <c r="C16" s="30">
        <v>2.4369999999999998</v>
      </c>
      <c r="D16" s="186">
        <f>31.66+34.082</f>
        <v>65.742000000000004</v>
      </c>
      <c r="E16" s="43">
        <f t="shared" si="2"/>
        <v>544.14200000000005</v>
      </c>
      <c r="F16" s="51">
        <f t="shared" si="3"/>
        <v>2.4369999999999998</v>
      </c>
      <c r="G16" s="9">
        <f>2.277-H16</f>
        <v>1.87</v>
      </c>
      <c r="H16" s="10">
        <v>0.40699999999999997</v>
      </c>
      <c r="I16" s="161">
        <f t="shared" si="4"/>
        <v>8.759999999999998</v>
      </c>
      <c r="J16" s="8"/>
      <c r="K16" s="11"/>
      <c r="L16" s="12"/>
      <c r="M16" s="51">
        <f t="shared" si="0"/>
        <v>0.40699999999999997</v>
      </c>
      <c r="N16" s="24">
        <v>0.35299999999999998</v>
      </c>
      <c r="O16" s="47">
        <f t="shared" si="5"/>
        <v>1.7099999999999997</v>
      </c>
      <c r="P16" s="48"/>
      <c r="Q16" s="47">
        <f t="shared" si="1"/>
        <v>554.61200000000008</v>
      </c>
      <c r="R16" s="165">
        <f t="shared" si="6"/>
        <v>24.207000000000001</v>
      </c>
      <c r="S16" s="160">
        <f>AI9+AI10+AI11</f>
        <v>105.584</v>
      </c>
      <c r="T16" s="86">
        <v>1425</v>
      </c>
      <c r="U16" s="86"/>
      <c r="V16" s="157">
        <f>V15-AI10*M47</f>
        <v>967814.80100000009</v>
      </c>
      <c r="W16" s="80"/>
      <c r="X16" s="85"/>
      <c r="Y16" s="58"/>
      <c r="Z16" s="107">
        <f>Z11-AI11*M47</f>
        <v>536780.65300000005</v>
      </c>
      <c r="AA16" s="86"/>
      <c r="AB16" s="80"/>
      <c r="AC16" s="204"/>
      <c r="AD16" s="87">
        <v>0</v>
      </c>
      <c r="AE16" s="55"/>
      <c r="AF16" s="14"/>
      <c r="AG16" s="86">
        <v>0</v>
      </c>
      <c r="AH16" s="123" t="s">
        <v>49</v>
      </c>
      <c r="AI16" s="122">
        <v>34.423999999999999</v>
      </c>
      <c r="AJ16" s="208" t="s">
        <v>102</v>
      </c>
      <c r="AK16" s="228">
        <v>58263427</v>
      </c>
      <c r="AL16" s="97"/>
      <c r="AM16" s="21"/>
      <c r="AN16" s="21"/>
    </row>
    <row r="17" spans="1:40" s="1" customFormat="1" ht="13.2" customHeight="1" thickBot="1" x14ac:dyDescent="0.35">
      <c r="A17" s="7">
        <v>44908</v>
      </c>
      <c r="B17" s="28">
        <v>7.12</v>
      </c>
      <c r="C17" s="30">
        <v>3.14</v>
      </c>
      <c r="D17" s="186"/>
      <c r="E17" s="43">
        <f t="shared" si="2"/>
        <v>533.88200000000006</v>
      </c>
      <c r="F17" s="51">
        <f t="shared" si="3"/>
        <v>3.14</v>
      </c>
      <c r="G17" s="9">
        <f>5-H17</f>
        <v>5</v>
      </c>
      <c r="H17" s="10">
        <v>0</v>
      </c>
      <c r="I17" s="161">
        <f t="shared" si="4"/>
        <v>6.8999999999999986</v>
      </c>
      <c r="J17" s="4"/>
      <c r="K17" s="5"/>
      <c r="L17" s="6"/>
      <c r="M17" s="51">
        <f t="shared" si="0"/>
        <v>0</v>
      </c>
      <c r="N17" s="24">
        <v>0.38400000000000001</v>
      </c>
      <c r="O17" s="47">
        <f t="shared" si="5"/>
        <v>1.3259999999999996</v>
      </c>
      <c r="P17" s="49"/>
      <c r="Q17" s="47">
        <f t="shared" si="1"/>
        <v>542.10800000000006</v>
      </c>
      <c r="R17" s="165">
        <f t="shared" si="6"/>
        <v>12.120000000000001</v>
      </c>
      <c r="S17" s="160">
        <v>105.584</v>
      </c>
      <c r="T17" s="86">
        <f>1425+517000</f>
        <v>518425</v>
      </c>
      <c r="U17" s="86"/>
      <c r="V17" s="86"/>
      <c r="W17" s="80"/>
      <c r="X17" s="85"/>
      <c r="Y17" s="58"/>
      <c r="Z17" s="86"/>
      <c r="AA17" s="86"/>
      <c r="AB17" s="80"/>
      <c r="AC17" s="187"/>
      <c r="AD17" s="87">
        <v>0</v>
      </c>
      <c r="AE17" s="55"/>
      <c r="AF17" s="14"/>
      <c r="AG17" s="86">
        <v>0</v>
      </c>
      <c r="AH17" s="123"/>
      <c r="AI17" s="122"/>
      <c r="AJ17" s="21"/>
      <c r="AK17" s="91"/>
      <c r="AL17" s="130"/>
      <c r="AM17" s="99"/>
      <c r="AN17" s="27"/>
    </row>
    <row r="18" spans="1:40" ht="13.2" customHeight="1" thickBot="1" x14ac:dyDescent="0.35">
      <c r="A18" s="7">
        <v>44909</v>
      </c>
      <c r="B18" s="28">
        <v>15.5</v>
      </c>
      <c r="C18" s="30">
        <v>4.569</v>
      </c>
      <c r="D18" s="186"/>
      <c r="E18" s="43">
        <f t="shared" si="2"/>
        <v>513.8130000000001</v>
      </c>
      <c r="F18" s="51">
        <f t="shared" si="3"/>
        <v>4.569</v>
      </c>
      <c r="G18" s="9">
        <f>2.019-H18</f>
        <v>1.3640000000000001</v>
      </c>
      <c r="H18" s="10">
        <v>0.65500000000000003</v>
      </c>
      <c r="I18" s="161">
        <f t="shared" si="4"/>
        <v>9.4499999999999975</v>
      </c>
      <c r="J18" s="8"/>
      <c r="K18" s="11"/>
      <c r="L18" s="12"/>
      <c r="M18" s="51">
        <f t="shared" si="0"/>
        <v>0.65500000000000003</v>
      </c>
      <c r="N18" s="24">
        <v>0.46899999999999997</v>
      </c>
      <c r="O18" s="47">
        <f t="shared" si="5"/>
        <v>1.5119999999999996</v>
      </c>
      <c r="P18" s="48"/>
      <c r="Q18" s="47">
        <f t="shared" si="1"/>
        <v>524.77500000000009</v>
      </c>
      <c r="R18" s="165">
        <f t="shared" si="6"/>
        <v>17.519000000000002</v>
      </c>
      <c r="S18" s="160">
        <v>105.584</v>
      </c>
      <c r="T18" s="86">
        <v>518425</v>
      </c>
      <c r="U18" s="86"/>
      <c r="V18" s="86">
        <v>967814.67</v>
      </c>
      <c r="W18" s="80"/>
      <c r="X18" s="85"/>
      <c r="Y18" s="58"/>
      <c r="Z18" s="86"/>
      <c r="AA18" s="86"/>
      <c r="AB18" s="80"/>
      <c r="AC18" s="187"/>
      <c r="AD18" s="87">
        <v>0</v>
      </c>
      <c r="AE18" s="55"/>
      <c r="AF18" s="14"/>
      <c r="AG18" s="86">
        <v>0</v>
      </c>
      <c r="AH18" s="128"/>
      <c r="AI18" s="120"/>
      <c r="AJ18" s="103"/>
      <c r="AK18" s="91"/>
      <c r="AL18" s="97"/>
      <c r="AM18" s="21"/>
      <c r="AN18" s="21"/>
    </row>
    <row r="19" spans="1:40" ht="13.2" customHeight="1" thickBot="1" x14ac:dyDescent="0.35">
      <c r="A19" s="7">
        <v>44910</v>
      </c>
      <c r="B19" s="28">
        <v>25.64</v>
      </c>
      <c r="C19" s="30">
        <v>2.202</v>
      </c>
      <c r="D19" s="186">
        <v>38.5</v>
      </c>
      <c r="E19" s="43">
        <f t="shared" si="2"/>
        <v>524.47100000000012</v>
      </c>
      <c r="F19" s="51">
        <f t="shared" si="3"/>
        <v>2.202</v>
      </c>
      <c r="G19" s="9">
        <f>3.442-H19</f>
        <v>3.4420000000000002</v>
      </c>
      <c r="H19" s="10">
        <v>0</v>
      </c>
      <c r="I19" s="161">
        <f t="shared" si="4"/>
        <v>8.2099999999999973</v>
      </c>
      <c r="J19" s="8"/>
      <c r="K19" s="11"/>
      <c r="L19" s="12"/>
      <c r="M19" s="51">
        <f t="shared" si="0"/>
        <v>0</v>
      </c>
      <c r="N19" s="24">
        <v>0.36699999999999999</v>
      </c>
      <c r="O19" s="47">
        <f t="shared" si="5"/>
        <v>1.1449999999999996</v>
      </c>
      <c r="P19" s="48"/>
      <c r="Q19" s="47">
        <f t="shared" si="1"/>
        <v>533.82600000000014</v>
      </c>
      <c r="R19" s="165">
        <f t="shared" si="6"/>
        <v>29.082000000000001</v>
      </c>
      <c r="S19" s="160">
        <v>67.084000000000003</v>
      </c>
      <c r="T19" s="86">
        <v>518425</v>
      </c>
      <c r="U19" s="86"/>
      <c r="V19" s="86">
        <f>V18+465000</f>
        <v>1432814.67</v>
      </c>
      <c r="W19" s="80"/>
      <c r="X19" s="94"/>
      <c r="Y19" s="58"/>
      <c r="Z19" s="86"/>
      <c r="AA19" s="86"/>
      <c r="AB19" s="80"/>
      <c r="AC19" s="79"/>
      <c r="AD19" s="87">
        <v>0</v>
      </c>
      <c r="AE19" s="55"/>
      <c r="AF19" s="14"/>
      <c r="AG19" s="86">
        <v>0</v>
      </c>
      <c r="AH19" s="137"/>
      <c r="AI19" s="126"/>
      <c r="AJ19" s="103"/>
      <c r="AK19" s="91"/>
      <c r="AL19" s="97"/>
      <c r="AM19" s="21"/>
      <c r="AN19" s="21"/>
    </row>
    <row r="20" spans="1:40" ht="13.2" customHeight="1" thickBot="1" x14ac:dyDescent="0.35">
      <c r="A20" s="7">
        <v>44911</v>
      </c>
      <c r="B20" s="28">
        <v>16.89</v>
      </c>
      <c r="C20" s="30">
        <v>3.056</v>
      </c>
      <c r="D20" s="196"/>
      <c r="E20" s="43">
        <f t="shared" si="2"/>
        <v>504.52500000000015</v>
      </c>
      <c r="F20" s="51">
        <f t="shared" si="3"/>
        <v>3.056</v>
      </c>
      <c r="G20" s="9">
        <f>3.386-H20</f>
        <v>2.66</v>
      </c>
      <c r="H20" s="10">
        <v>0.72599999999999998</v>
      </c>
      <c r="I20" s="161">
        <f t="shared" si="4"/>
        <v>7.8799999999999981</v>
      </c>
      <c r="J20" s="8"/>
      <c r="K20" s="11"/>
      <c r="L20" s="12"/>
      <c r="M20" s="51">
        <f t="shared" si="0"/>
        <v>0.72599999999999998</v>
      </c>
      <c r="N20" s="24">
        <v>0.40500000000000003</v>
      </c>
      <c r="O20" s="47">
        <f t="shared" si="5"/>
        <v>1.4659999999999995</v>
      </c>
      <c r="P20" s="48"/>
      <c r="Q20" s="47">
        <f t="shared" si="1"/>
        <v>513.87100000000021</v>
      </c>
      <c r="R20" s="165">
        <f t="shared" si="6"/>
        <v>20.276</v>
      </c>
      <c r="S20" s="160">
        <f>67.084+AI12</f>
        <v>101.78</v>
      </c>
      <c r="T20" s="86">
        <v>518425</v>
      </c>
      <c r="U20" s="86"/>
      <c r="V20" s="86"/>
      <c r="W20" s="80"/>
      <c r="X20" s="94"/>
      <c r="Y20" s="58"/>
      <c r="Z20" s="107">
        <f>Z16-AI12*M48</f>
        <v>78724.061000000103</v>
      </c>
      <c r="AA20" s="86"/>
      <c r="AB20" s="80"/>
      <c r="AC20" s="79"/>
      <c r="AD20" s="87">
        <v>0</v>
      </c>
      <c r="AE20" s="55"/>
      <c r="AF20" s="14"/>
      <c r="AG20" s="86">
        <v>0</v>
      </c>
      <c r="AH20" s="137"/>
      <c r="AI20" s="126"/>
      <c r="AJ20" s="103"/>
      <c r="AK20" s="91"/>
      <c r="AL20" s="21"/>
      <c r="AM20" s="21"/>
      <c r="AN20" s="21"/>
    </row>
    <row r="21" spans="1:40" ht="13.2" customHeight="1" thickBot="1" x14ac:dyDescent="0.35">
      <c r="A21" s="3">
        <v>44912</v>
      </c>
      <c r="B21" s="28">
        <v>16.54</v>
      </c>
      <c r="C21" s="28"/>
      <c r="D21" s="186"/>
      <c r="E21" s="43">
        <f t="shared" si="2"/>
        <v>487.98500000000013</v>
      </c>
      <c r="F21" s="51">
        <f t="shared" si="3"/>
        <v>0</v>
      </c>
      <c r="G21" s="9"/>
      <c r="H21" s="10"/>
      <c r="I21" s="161">
        <f t="shared" si="4"/>
        <v>7.8799999999999981</v>
      </c>
      <c r="J21" s="8"/>
      <c r="K21" s="11"/>
      <c r="L21" s="12"/>
      <c r="M21" s="51">
        <f t="shared" si="0"/>
        <v>0</v>
      </c>
      <c r="N21" s="24"/>
      <c r="O21" s="47">
        <f t="shared" si="5"/>
        <v>1.4659999999999995</v>
      </c>
      <c r="P21" s="48"/>
      <c r="Q21" s="47">
        <f t="shared" si="1"/>
        <v>497.33100000000013</v>
      </c>
      <c r="R21" s="165">
        <f t="shared" si="6"/>
        <v>16.54</v>
      </c>
      <c r="S21" s="160">
        <v>101.78</v>
      </c>
      <c r="T21" s="86">
        <v>518425</v>
      </c>
      <c r="U21" s="86"/>
      <c r="V21" s="86"/>
      <c r="W21" s="80"/>
      <c r="X21" s="94"/>
      <c r="Y21" s="58"/>
      <c r="Z21" s="86"/>
      <c r="AA21" s="86"/>
      <c r="AB21" s="80"/>
      <c r="AC21" s="79"/>
      <c r="AD21" s="87">
        <v>0</v>
      </c>
      <c r="AE21" s="55"/>
      <c r="AF21" s="14"/>
      <c r="AG21" s="86">
        <v>0</v>
      </c>
      <c r="AH21" s="137"/>
      <c r="AI21" s="155"/>
      <c r="AJ21" s="103"/>
      <c r="AK21" s="91"/>
      <c r="AL21" s="21"/>
      <c r="AM21" s="21"/>
      <c r="AN21" s="21"/>
    </row>
    <row r="22" spans="1:40" ht="13.2" customHeight="1" thickBot="1" x14ac:dyDescent="0.35">
      <c r="A22" s="3">
        <v>44913</v>
      </c>
      <c r="B22" s="156"/>
      <c r="C22" s="146"/>
      <c r="D22" s="186"/>
      <c r="E22" s="43">
        <f t="shared" si="2"/>
        <v>487.98500000000013</v>
      </c>
      <c r="F22" s="51">
        <f t="shared" si="3"/>
        <v>0</v>
      </c>
      <c r="G22" s="9"/>
      <c r="H22" s="10"/>
      <c r="I22" s="161">
        <f t="shared" si="4"/>
        <v>7.8799999999999981</v>
      </c>
      <c r="J22" s="8"/>
      <c r="K22" s="11"/>
      <c r="L22" s="12"/>
      <c r="M22" s="51">
        <f t="shared" si="0"/>
        <v>0</v>
      </c>
      <c r="N22" s="24"/>
      <c r="O22" s="47">
        <f t="shared" si="5"/>
        <v>1.4659999999999995</v>
      </c>
      <c r="P22" s="48"/>
      <c r="Q22" s="47">
        <f t="shared" si="1"/>
        <v>497.33100000000013</v>
      </c>
      <c r="R22" s="165">
        <f t="shared" si="6"/>
        <v>0</v>
      </c>
      <c r="S22" s="160">
        <f>101.78+38.15</f>
        <v>139.93</v>
      </c>
      <c r="T22" s="88">
        <f>518425-M44*AI13</f>
        <v>4544.5</v>
      </c>
      <c r="U22" s="88"/>
      <c r="V22" s="86"/>
      <c r="W22" s="66"/>
      <c r="X22" s="94"/>
      <c r="Y22" s="58"/>
      <c r="Z22" s="86">
        <v>78723.78</v>
      </c>
      <c r="AA22" s="86"/>
      <c r="AB22" s="80"/>
      <c r="AC22" s="79"/>
      <c r="AD22" s="87">
        <v>0</v>
      </c>
      <c r="AE22" s="55"/>
      <c r="AF22" s="14"/>
      <c r="AG22" s="86">
        <v>0</v>
      </c>
      <c r="AH22" s="127"/>
      <c r="AI22" s="126"/>
      <c r="AJ22" s="103"/>
      <c r="AK22" s="91"/>
      <c r="AL22" s="21"/>
      <c r="AM22" s="21"/>
      <c r="AN22" s="21"/>
    </row>
    <row r="23" spans="1:40" ht="13.2" customHeight="1" thickBot="1" x14ac:dyDescent="0.35">
      <c r="A23" s="7">
        <v>44914</v>
      </c>
      <c r="B23" s="28">
        <v>26.36</v>
      </c>
      <c r="C23" s="30">
        <v>4.548</v>
      </c>
      <c r="D23" s="186">
        <v>67.084000000000003</v>
      </c>
      <c r="E23" s="43">
        <f t="shared" si="2"/>
        <v>524.16100000000017</v>
      </c>
      <c r="F23" s="51">
        <f t="shared" si="3"/>
        <v>4.548</v>
      </c>
      <c r="G23" s="9">
        <f>2.898-H23</f>
        <v>1.9660000000000002</v>
      </c>
      <c r="H23" s="10">
        <v>0.93200000000000005</v>
      </c>
      <c r="I23" s="161">
        <f t="shared" si="4"/>
        <v>9.5299999999999958</v>
      </c>
      <c r="J23" s="8"/>
      <c r="K23" s="11"/>
      <c r="L23" s="12"/>
      <c r="M23" s="51">
        <f t="shared" si="0"/>
        <v>0.93200000000000005</v>
      </c>
      <c r="N23" s="24">
        <v>0.81</v>
      </c>
      <c r="O23" s="47">
        <f t="shared" si="5"/>
        <v>1.5879999999999996</v>
      </c>
      <c r="P23" s="48"/>
      <c r="Q23" s="47">
        <f t="shared" si="1"/>
        <v>535.27900000000011</v>
      </c>
      <c r="R23" s="165">
        <f t="shared" si="6"/>
        <v>29.257999999999999</v>
      </c>
      <c r="S23" s="160">
        <f>139.93-D23</f>
        <v>72.846000000000004</v>
      </c>
      <c r="T23" s="86">
        <f>4544.5+1036000</f>
        <v>1040544.5</v>
      </c>
      <c r="U23" s="86"/>
      <c r="V23" s="86"/>
      <c r="W23" s="66"/>
      <c r="X23" s="94"/>
      <c r="Y23" s="58"/>
      <c r="Z23" s="86">
        <f>Z22+503000</f>
        <v>581723.78</v>
      </c>
      <c r="AA23" s="86"/>
      <c r="AB23" s="80"/>
      <c r="AC23" s="79"/>
      <c r="AD23" s="87">
        <v>0</v>
      </c>
      <c r="AE23" s="55"/>
      <c r="AF23" s="14"/>
      <c r="AG23" s="86">
        <v>0</v>
      </c>
      <c r="AH23" s="128"/>
      <c r="AI23" s="121"/>
      <c r="AJ23" s="21"/>
      <c r="AK23" s="21"/>
      <c r="AL23" s="91"/>
      <c r="AM23" s="21"/>
      <c r="AN23" s="21"/>
    </row>
    <row r="24" spans="1:40" ht="13.2" customHeight="1" thickBot="1" x14ac:dyDescent="0.35">
      <c r="A24" s="7">
        <v>44915</v>
      </c>
      <c r="B24" s="28">
        <v>10.14</v>
      </c>
      <c r="C24" s="30">
        <v>3.0910000000000002</v>
      </c>
      <c r="D24" s="186"/>
      <c r="E24" s="43">
        <f t="shared" si="2"/>
        <v>510.93000000000018</v>
      </c>
      <c r="F24" s="51">
        <f t="shared" si="3"/>
        <v>3.0910000000000002</v>
      </c>
      <c r="G24" s="9">
        <f>4.531-H24</f>
        <v>3.9799999999999995</v>
      </c>
      <c r="H24" s="10">
        <v>0.55100000000000005</v>
      </c>
      <c r="I24" s="161">
        <f t="shared" si="4"/>
        <v>8.0899999999999945</v>
      </c>
      <c r="J24" s="8"/>
      <c r="K24" s="11"/>
      <c r="L24" s="12"/>
      <c r="M24" s="51">
        <f t="shared" si="0"/>
        <v>0.55100000000000005</v>
      </c>
      <c r="N24" s="24">
        <v>0.25</v>
      </c>
      <c r="O24" s="47">
        <f t="shared" si="5"/>
        <v>1.8889999999999998</v>
      </c>
      <c r="P24" s="48"/>
      <c r="Q24" s="47">
        <f t="shared" si="1"/>
        <v>520.90900000000022</v>
      </c>
      <c r="R24" s="165">
        <f t="shared" si="6"/>
        <v>14.671000000000001</v>
      </c>
      <c r="S24" s="160">
        <v>72.846000000000004</v>
      </c>
      <c r="T24" s="86">
        <v>1040544.5</v>
      </c>
      <c r="U24" s="86"/>
      <c r="V24" s="86"/>
      <c r="W24" s="66"/>
      <c r="X24" s="94"/>
      <c r="Y24" s="58"/>
      <c r="Z24" s="86"/>
      <c r="AA24" s="86"/>
      <c r="AB24" s="80"/>
      <c r="AC24" s="79"/>
      <c r="AD24" s="87">
        <v>0</v>
      </c>
      <c r="AE24" s="55"/>
      <c r="AF24" s="14"/>
      <c r="AG24" s="86">
        <v>0</v>
      </c>
      <c r="AH24" s="218"/>
      <c r="AI24" s="155"/>
      <c r="AJ24" s="103"/>
      <c r="AK24" s="91"/>
      <c r="AL24" s="21"/>
      <c r="AM24" s="21"/>
      <c r="AN24" s="21"/>
    </row>
    <row r="25" spans="1:40" ht="13.2" customHeight="1" thickBot="1" x14ac:dyDescent="0.35">
      <c r="A25" s="7">
        <v>44916</v>
      </c>
      <c r="B25" s="28">
        <v>23.56</v>
      </c>
      <c r="C25" s="30">
        <v>3.2</v>
      </c>
      <c r="D25" s="186"/>
      <c r="E25" s="43">
        <f t="shared" si="2"/>
        <v>484.17000000000019</v>
      </c>
      <c r="F25" s="51">
        <f t="shared" si="3"/>
        <v>3.2</v>
      </c>
      <c r="G25" s="219">
        <f>1.03-H25</f>
        <v>1.03</v>
      </c>
      <c r="H25" s="10">
        <v>0</v>
      </c>
      <c r="I25" s="161">
        <f t="shared" si="4"/>
        <v>10.259999999999996</v>
      </c>
      <c r="J25" s="8"/>
      <c r="K25" s="11"/>
      <c r="L25" s="12"/>
      <c r="M25" s="51">
        <f t="shared" si="0"/>
        <v>0</v>
      </c>
      <c r="N25" s="24">
        <v>0.48399999999999999</v>
      </c>
      <c r="O25" s="47">
        <f t="shared" si="5"/>
        <v>1.4049999999999998</v>
      </c>
      <c r="P25" s="48"/>
      <c r="Q25" s="47">
        <f t="shared" si="1"/>
        <v>495.83500000000015</v>
      </c>
      <c r="R25" s="165">
        <f t="shared" si="6"/>
        <v>24.59</v>
      </c>
      <c r="S25" s="160">
        <f>72.846+AI14</f>
        <v>138.19</v>
      </c>
      <c r="T25" s="86">
        <v>1040544.5</v>
      </c>
      <c r="U25" s="86"/>
      <c r="V25" s="157">
        <f>V19-AI14*M51</f>
        <v>570143.18200000003</v>
      </c>
      <c r="W25" s="66"/>
      <c r="X25" s="94"/>
      <c r="Y25" s="58"/>
      <c r="Z25" s="86"/>
      <c r="AA25" s="86"/>
      <c r="AB25" s="80"/>
      <c r="AC25" s="79"/>
      <c r="AD25" s="87">
        <v>0</v>
      </c>
      <c r="AE25" s="55"/>
      <c r="AF25" s="14"/>
      <c r="AG25" s="86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7">
        <v>44917</v>
      </c>
      <c r="B26" s="28">
        <v>18.77</v>
      </c>
      <c r="C26" s="30">
        <v>1.9239999999999999</v>
      </c>
      <c r="D26" s="186"/>
      <c r="E26" s="43">
        <f>E25+D26-B26-C26</f>
        <v>463.47600000000023</v>
      </c>
      <c r="F26" s="51">
        <f t="shared" si="3"/>
        <v>1.9239999999999999</v>
      </c>
      <c r="G26" s="9">
        <f>1.564-H26</f>
        <v>1.1300000000000001</v>
      </c>
      <c r="H26" s="10">
        <v>0.434</v>
      </c>
      <c r="I26" s="161">
        <f t="shared" si="4"/>
        <v>10.619999999999996</v>
      </c>
      <c r="J26" s="8"/>
      <c r="K26" s="11"/>
      <c r="L26" s="12"/>
      <c r="M26" s="51">
        <f t="shared" si="0"/>
        <v>0.434</v>
      </c>
      <c r="N26" s="24">
        <v>0.12</v>
      </c>
      <c r="O26" s="47">
        <f t="shared" si="5"/>
        <v>1.7189999999999999</v>
      </c>
      <c r="P26" s="48"/>
      <c r="Q26" s="47">
        <f t="shared" si="1"/>
        <v>475.81500000000023</v>
      </c>
      <c r="R26" s="165">
        <f t="shared" si="6"/>
        <v>20.334</v>
      </c>
      <c r="S26" s="160">
        <f>138.9+AI15</f>
        <v>211.45</v>
      </c>
      <c r="T26" s="88">
        <f>1040544.5-AI15*M45</f>
        <v>163415</v>
      </c>
      <c r="U26" s="88"/>
      <c r="V26" s="87"/>
      <c r="W26" s="66"/>
      <c r="X26" s="94"/>
      <c r="Y26" s="58"/>
      <c r="Z26" s="86"/>
      <c r="AA26" s="86"/>
      <c r="AB26" s="80"/>
      <c r="AC26" s="79"/>
      <c r="AD26" s="87">
        <v>0</v>
      </c>
      <c r="AE26" s="55"/>
      <c r="AF26" s="14"/>
      <c r="AG26" s="86">
        <v>0</v>
      </c>
      <c r="AH26" s="127"/>
      <c r="AI26" s="126"/>
      <c r="AJ26" s="21"/>
      <c r="AK26" s="91"/>
      <c r="AL26" s="21"/>
      <c r="AM26" s="21"/>
      <c r="AN26" s="21"/>
    </row>
    <row r="27" spans="1:40" ht="13.2" customHeight="1" thickBot="1" x14ac:dyDescent="0.35">
      <c r="A27" s="7">
        <v>44918</v>
      </c>
      <c r="B27" s="28">
        <v>40.08</v>
      </c>
      <c r="C27" s="28">
        <v>1.585</v>
      </c>
      <c r="D27" s="186">
        <v>34.695999999999998</v>
      </c>
      <c r="E27" s="43">
        <f>E26+D27-B27-C27</f>
        <v>456.50700000000029</v>
      </c>
      <c r="F27" s="51">
        <f t="shared" si="3"/>
        <v>1.585</v>
      </c>
      <c r="G27" s="9">
        <f>1.405-H27</f>
        <v>1.014</v>
      </c>
      <c r="H27" s="10">
        <v>0.39100000000000001</v>
      </c>
      <c r="I27" s="161">
        <f t="shared" si="4"/>
        <v>10.799999999999995</v>
      </c>
      <c r="J27" s="8"/>
      <c r="K27" s="11"/>
      <c r="L27" s="12"/>
      <c r="M27" s="51">
        <f t="shared" si="0"/>
        <v>0.39100000000000001</v>
      </c>
      <c r="N27" s="24">
        <v>0.38600000000000001</v>
      </c>
      <c r="O27" s="47">
        <f t="shared" si="5"/>
        <v>1.7239999999999998</v>
      </c>
      <c r="P27" s="48"/>
      <c r="Q27" s="47">
        <f t="shared" si="1"/>
        <v>469.03100000000029</v>
      </c>
      <c r="R27" s="165">
        <f t="shared" si="6"/>
        <v>41.484999999999999</v>
      </c>
      <c r="S27" s="160">
        <f>AI13+AI15+AI14</f>
        <v>176.04399999999998</v>
      </c>
      <c r="T27" s="86"/>
      <c r="U27" s="86"/>
      <c r="V27" s="87"/>
      <c r="W27" s="153"/>
      <c r="X27" s="94"/>
      <c r="Y27" s="58"/>
      <c r="Z27" s="86"/>
      <c r="AA27" s="86"/>
      <c r="AB27" s="129"/>
      <c r="AC27" s="79"/>
      <c r="AD27" s="87">
        <v>0</v>
      </c>
      <c r="AE27" s="55"/>
      <c r="AF27" s="14"/>
      <c r="AG27" s="86">
        <v>0</v>
      </c>
      <c r="AH27" s="128"/>
      <c r="AI27" s="120"/>
      <c r="AJ27" s="103"/>
      <c r="AK27" s="91"/>
      <c r="AL27" s="21"/>
      <c r="AM27" s="21"/>
      <c r="AN27" s="21"/>
    </row>
    <row r="28" spans="1:40" ht="13.2" customHeight="1" outlineLevel="1" thickBot="1" x14ac:dyDescent="0.35">
      <c r="A28" s="3">
        <v>44919</v>
      </c>
      <c r="B28" s="28"/>
      <c r="C28" s="30"/>
      <c r="D28" s="186"/>
      <c r="E28" s="43">
        <f t="shared" si="2"/>
        <v>456.50700000000029</v>
      </c>
      <c r="F28" s="51">
        <f t="shared" si="3"/>
        <v>0</v>
      </c>
      <c r="G28" s="9"/>
      <c r="H28" s="10"/>
      <c r="I28" s="44">
        <f t="shared" si="4"/>
        <v>10.799999999999995</v>
      </c>
      <c r="J28" s="8"/>
      <c r="K28" s="11"/>
      <c r="L28" s="12"/>
      <c r="M28" s="51">
        <f t="shared" si="0"/>
        <v>0</v>
      </c>
      <c r="N28" s="24"/>
      <c r="O28" s="47">
        <f t="shared" si="5"/>
        <v>1.7239999999999998</v>
      </c>
      <c r="P28" s="48"/>
      <c r="Q28" s="47">
        <f t="shared" si="1"/>
        <v>469.03100000000029</v>
      </c>
      <c r="R28" s="165">
        <f t="shared" si="6"/>
        <v>0</v>
      </c>
      <c r="S28" s="160">
        <f>176.044+34.424</f>
        <v>210.46800000000002</v>
      </c>
      <c r="T28" s="86"/>
      <c r="U28" s="86"/>
      <c r="V28" s="87"/>
      <c r="W28" s="188"/>
      <c r="X28" s="189"/>
      <c r="Y28" s="58">
        <v>467000</v>
      </c>
      <c r="Z28" s="107">
        <f>Z23-AI16*M48</f>
        <v>127258.13200000004</v>
      </c>
      <c r="AA28" s="93"/>
      <c r="AB28" s="93"/>
      <c r="AC28" s="93"/>
      <c r="AD28" s="87">
        <v>0</v>
      </c>
      <c r="AE28" s="55"/>
      <c r="AF28" s="93"/>
      <c r="AG28" s="86">
        <v>0</v>
      </c>
      <c r="AH28" s="127"/>
      <c r="AI28" s="126"/>
      <c r="AJ28" s="103"/>
      <c r="AK28" s="91"/>
      <c r="AL28" s="21"/>
      <c r="AM28" s="21"/>
      <c r="AN28" s="21"/>
    </row>
    <row r="29" spans="1:40" ht="13.2" customHeight="1" outlineLevel="1" thickBot="1" x14ac:dyDescent="0.35">
      <c r="A29" s="3">
        <v>44920</v>
      </c>
      <c r="B29" s="28">
        <v>2.76</v>
      </c>
      <c r="C29" s="30"/>
      <c r="D29" s="186"/>
      <c r="E29" s="43">
        <f t="shared" si="2"/>
        <v>453.7470000000003</v>
      </c>
      <c r="F29" s="51">
        <f t="shared" si="3"/>
        <v>0</v>
      </c>
      <c r="G29" s="9"/>
      <c r="H29" s="10"/>
      <c r="I29" s="44">
        <f t="shared" si="4"/>
        <v>10.799999999999995</v>
      </c>
      <c r="J29" s="8"/>
      <c r="K29" s="11"/>
      <c r="L29" s="12"/>
      <c r="M29" s="51">
        <f t="shared" si="0"/>
        <v>0</v>
      </c>
      <c r="N29" s="24"/>
      <c r="O29" s="47">
        <f t="shared" si="5"/>
        <v>1.7239999999999998</v>
      </c>
      <c r="P29" s="48"/>
      <c r="Q29" s="47">
        <f t="shared" si="1"/>
        <v>466.2710000000003</v>
      </c>
      <c r="R29" s="165">
        <f t="shared" si="6"/>
        <v>2.76</v>
      </c>
      <c r="S29" s="160">
        <v>210.46799999999999</v>
      </c>
      <c r="T29" s="86"/>
      <c r="U29" s="86"/>
      <c r="V29" s="87"/>
      <c r="W29" s="153"/>
      <c r="X29" s="94"/>
      <c r="Y29" s="58">
        <f>Y28</f>
        <v>467000</v>
      </c>
      <c r="Z29" s="86">
        <f>Z28</f>
        <v>127258.13200000004</v>
      </c>
      <c r="AA29" s="86"/>
      <c r="AB29" s="129"/>
      <c r="AC29" s="79"/>
      <c r="AD29" s="87">
        <v>0</v>
      </c>
      <c r="AE29" s="56"/>
      <c r="AF29" s="14"/>
      <c r="AG29" s="86">
        <v>0</v>
      </c>
      <c r="AH29" s="123"/>
      <c r="AI29" s="126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44921</v>
      </c>
      <c r="B30" s="28">
        <v>13.8</v>
      </c>
      <c r="C30" s="146">
        <v>1.0920000000000001</v>
      </c>
      <c r="D30" s="186"/>
      <c r="E30" s="43">
        <f t="shared" si="2"/>
        <v>438.8550000000003</v>
      </c>
      <c r="F30" s="51">
        <f t="shared" si="3"/>
        <v>1.0920000000000001</v>
      </c>
      <c r="G30" s="30">
        <f>1.392-H30</f>
        <v>1.3919999999999999</v>
      </c>
      <c r="H30" s="24"/>
      <c r="I30" s="44">
        <f t="shared" si="4"/>
        <v>10.499999999999996</v>
      </c>
      <c r="J30" s="28"/>
      <c r="K30" s="26"/>
      <c r="L30" s="53"/>
      <c r="M30" s="51">
        <f t="shared" si="0"/>
        <v>0</v>
      </c>
      <c r="N30" s="24">
        <v>0.223</v>
      </c>
      <c r="O30" s="47">
        <f t="shared" si="5"/>
        <v>1.5009999999999997</v>
      </c>
      <c r="P30" s="54"/>
      <c r="Q30" s="47">
        <f t="shared" si="1"/>
        <v>450.85600000000028</v>
      </c>
      <c r="R30" s="165">
        <f t="shared" si="6"/>
        <v>15.192</v>
      </c>
      <c r="S30" s="160">
        <f>AI13+AI14+AI15+AI16</f>
        <v>210.46799999999999</v>
      </c>
      <c r="T30" s="86">
        <f>T26+784000</f>
        <v>947415</v>
      </c>
      <c r="U30" s="86">
        <v>1443000</v>
      </c>
      <c r="V30" s="87"/>
      <c r="W30" s="153"/>
      <c r="X30" s="94"/>
      <c r="Y30" s="58">
        <f>Y28</f>
        <v>467000</v>
      </c>
      <c r="Z30" s="86"/>
      <c r="AA30" s="86"/>
      <c r="AB30" s="129"/>
      <c r="AC30" s="79"/>
      <c r="AD30" s="87">
        <v>0</v>
      </c>
      <c r="AE30" s="191"/>
      <c r="AF30" s="14"/>
      <c r="AG30" s="86">
        <v>0</v>
      </c>
      <c r="AH30" s="123"/>
      <c r="AI30" s="122"/>
      <c r="AJ30" s="103"/>
      <c r="AK30" s="91"/>
    </row>
    <row r="31" spans="1:40" s="21" customFormat="1" ht="13.2" customHeight="1" outlineLevel="1" thickBot="1" x14ac:dyDescent="0.35">
      <c r="A31" s="7">
        <v>44922</v>
      </c>
      <c r="B31" s="28">
        <v>12.33</v>
      </c>
      <c r="C31" s="30">
        <v>5.492</v>
      </c>
      <c r="D31" s="186"/>
      <c r="E31" s="43">
        <f t="shared" si="2"/>
        <v>421.0330000000003</v>
      </c>
      <c r="F31" s="51">
        <f t="shared" si="3"/>
        <v>5.492</v>
      </c>
      <c r="G31" s="68">
        <f>9.652-H31</f>
        <v>9.2669999999999995</v>
      </c>
      <c r="H31" s="69">
        <v>0.38500000000000001</v>
      </c>
      <c r="I31" s="44">
        <f t="shared" si="4"/>
        <v>6.3399999999999981</v>
      </c>
      <c r="J31" s="67"/>
      <c r="K31" s="70"/>
      <c r="L31" s="71"/>
      <c r="M31" s="51">
        <f t="shared" si="0"/>
        <v>0.38500000000000001</v>
      </c>
      <c r="N31" s="24">
        <v>0.27600000000000002</v>
      </c>
      <c r="O31" s="47">
        <f t="shared" si="5"/>
        <v>1.6099999999999997</v>
      </c>
      <c r="P31" s="72"/>
      <c r="Q31" s="47">
        <f t="shared" si="1"/>
        <v>428.98300000000029</v>
      </c>
      <c r="R31" s="165">
        <f t="shared" si="6"/>
        <v>21.982000000000003</v>
      </c>
      <c r="S31" s="160">
        <v>210.46799999999999</v>
      </c>
      <c r="T31" s="86"/>
      <c r="U31" s="86">
        <v>1443000</v>
      </c>
      <c r="V31" s="87"/>
      <c r="W31" s="66"/>
      <c r="X31" s="94"/>
      <c r="Y31" s="93">
        <f>Y28+433000</f>
        <v>900000</v>
      </c>
      <c r="Z31" s="86"/>
      <c r="AA31" s="86"/>
      <c r="AB31" s="129"/>
      <c r="AC31" s="79"/>
      <c r="AD31" s="87"/>
      <c r="AE31" s="57"/>
      <c r="AF31" s="131"/>
      <c r="AG31" s="133"/>
      <c r="AH31" s="127"/>
      <c r="AI31" s="126"/>
      <c r="AK31" s="102"/>
    </row>
    <row r="32" spans="1:40" ht="13.2" customHeight="1" outlineLevel="1" thickBot="1" x14ac:dyDescent="0.35">
      <c r="A32" s="7">
        <v>44923</v>
      </c>
      <c r="B32" s="28">
        <v>36.079000000000001</v>
      </c>
      <c r="C32" s="30">
        <v>5.6020000000000003</v>
      </c>
      <c r="D32" s="186"/>
      <c r="E32" s="43">
        <f t="shared" si="2"/>
        <v>379.35200000000032</v>
      </c>
      <c r="F32" s="51">
        <f t="shared" si="3"/>
        <v>5.6020000000000003</v>
      </c>
      <c r="G32" s="62">
        <f>3.402-H32</f>
        <v>3.4020000000000001</v>
      </c>
      <c r="H32" s="62"/>
      <c r="I32" s="44">
        <f t="shared" si="4"/>
        <v>8.5399999999999991</v>
      </c>
      <c r="J32" s="62"/>
      <c r="K32" s="64"/>
      <c r="L32" s="13"/>
      <c r="M32" s="51">
        <f t="shared" si="0"/>
        <v>0</v>
      </c>
      <c r="N32" s="24">
        <v>0.29799999999999999</v>
      </c>
      <c r="O32" s="47">
        <f t="shared" si="5"/>
        <v>1.3119999999999996</v>
      </c>
      <c r="P32" s="65"/>
      <c r="Q32" s="47">
        <f t="shared" si="1"/>
        <v>389.20400000000035</v>
      </c>
      <c r="R32" s="165">
        <f t="shared" si="6"/>
        <v>39.481000000000002</v>
      </c>
      <c r="S32" s="160">
        <v>210.46799999999999</v>
      </c>
      <c r="T32" s="86"/>
      <c r="U32" s="86">
        <f>1443000+90000</f>
        <v>1533000</v>
      </c>
      <c r="V32" s="87"/>
      <c r="W32" s="66"/>
      <c r="X32" s="94"/>
      <c r="Y32" s="93">
        <f>900000+104000</f>
        <v>1004000</v>
      </c>
      <c r="Z32" s="86"/>
      <c r="AA32" s="86"/>
      <c r="AB32" s="129"/>
      <c r="AC32" s="79"/>
      <c r="AD32" s="87"/>
      <c r="AE32" s="57"/>
      <c r="AF32" s="131"/>
      <c r="AG32" s="133"/>
      <c r="AH32" s="192"/>
      <c r="AI32" s="155"/>
      <c r="AJ32" s="99"/>
      <c r="AK32" s="99"/>
      <c r="AL32" s="21"/>
    </row>
    <row r="33" spans="1:38" ht="13.2" customHeight="1" outlineLevel="1" thickBot="1" x14ac:dyDescent="0.35">
      <c r="A33" s="7">
        <v>44924</v>
      </c>
      <c r="B33" s="8">
        <v>29.7</v>
      </c>
      <c r="C33" s="9">
        <v>3.2549999999999999</v>
      </c>
      <c r="D33" s="78">
        <f>AI14</f>
        <v>65.343999999999994</v>
      </c>
      <c r="E33" s="43">
        <f t="shared" si="2"/>
        <v>411.74100000000033</v>
      </c>
      <c r="F33" s="51">
        <f t="shared" si="3"/>
        <v>3.2549999999999999</v>
      </c>
      <c r="G33" s="62">
        <f>4.235-H33</f>
        <v>3.9000000000000004</v>
      </c>
      <c r="H33" s="62">
        <v>0.33500000000000002</v>
      </c>
      <c r="I33" s="44">
        <f t="shared" si="4"/>
        <v>7.5599999999999978</v>
      </c>
      <c r="J33" s="62"/>
      <c r="K33" s="64"/>
      <c r="L33" s="13"/>
      <c r="M33" s="51">
        <f t="shared" si="0"/>
        <v>0.33500000000000002</v>
      </c>
      <c r="N33" s="24">
        <v>0.41099999999999998</v>
      </c>
      <c r="O33" s="47">
        <f t="shared" si="5"/>
        <v>1.2359999999999995</v>
      </c>
      <c r="P33" s="65"/>
      <c r="Q33" s="47">
        <f t="shared" si="1"/>
        <v>420.53700000000032</v>
      </c>
      <c r="R33" s="165">
        <f>B33+G33+H33+J33</f>
        <v>33.935000000000002</v>
      </c>
      <c r="S33" s="160">
        <f>AI13+AI15+AI16</f>
        <v>145.124</v>
      </c>
      <c r="T33" s="86"/>
      <c r="U33" s="86">
        <v>1533000</v>
      </c>
      <c r="V33" s="87"/>
      <c r="W33" s="66"/>
      <c r="X33" s="94"/>
      <c r="Y33" s="93">
        <v>1004000</v>
      </c>
      <c r="Z33" s="86"/>
      <c r="AA33" s="86"/>
      <c r="AB33" s="80"/>
      <c r="AC33" s="79"/>
      <c r="AD33" s="87"/>
      <c r="AE33" s="57"/>
      <c r="AF33" s="131"/>
      <c r="AG33" s="133"/>
      <c r="AH33" s="127"/>
      <c r="AI33" s="120"/>
      <c r="AJ33" s="199"/>
      <c r="AK33" s="199"/>
      <c r="AL33" s="21"/>
    </row>
    <row r="34" spans="1:38" ht="13.2" customHeight="1" outlineLevel="1" thickBot="1" x14ac:dyDescent="0.35">
      <c r="A34" s="7">
        <v>44925</v>
      </c>
      <c r="B34" s="62">
        <v>30.05</v>
      </c>
      <c r="C34" s="30">
        <v>2.7250000000000001</v>
      </c>
      <c r="D34" s="92"/>
      <c r="E34" s="43">
        <f t="shared" si="2"/>
        <v>378.96600000000029</v>
      </c>
      <c r="F34" s="51">
        <f t="shared" si="3"/>
        <v>2.7250000000000001</v>
      </c>
      <c r="G34" s="62">
        <f>3.245-H34</f>
        <v>2.734</v>
      </c>
      <c r="H34" s="62">
        <v>0.51100000000000001</v>
      </c>
      <c r="I34" s="44">
        <f t="shared" si="4"/>
        <v>7.0399999999999983</v>
      </c>
      <c r="J34" s="44"/>
      <c r="K34" s="44"/>
      <c r="L34" s="44"/>
      <c r="M34" s="63">
        <f t="shared" si="0"/>
        <v>0.51100000000000001</v>
      </c>
      <c r="N34" s="24">
        <v>0.27800000000000002</v>
      </c>
      <c r="O34" s="47">
        <f t="shared" si="5"/>
        <v>1.4689999999999994</v>
      </c>
      <c r="P34" s="65">
        <v>0</v>
      </c>
      <c r="Q34" s="47">
        <f t="shared" si="1"/>
        <v>387.47500000000031</v>
      </c>
      <c r="R34" s="165">
        <f t="shared" si="6"/>
        <v>33.295000000000002</v>
      </c>
      <c r="S34" s="160">
        <v>145.124</v>
      </c>
      <c r="T34" s="86"/>
      <c r="U34" s="86">
        <v>1533000</v>
      </c>
      <c r="V34" s="87"/>
      <c r="W34" s="66"/>
      <c r="X34" s="94"/>
      <c r="Y34" s="93">
        <v>1004000</v>
      </c>
      <c r="Z34" s="86"/>
      <c r="AA34" s="86"/>
      <c r="AB34" s="80"/>
      <c r="AC34" s="79"/>
      <c r="AD34" s="87"/>
      <c r="AE34" s="57"/>
      <c r="AF34" s="131"/>
      <c r="AG34" s="133"/>
      <c r="AH34" s="127"/>
      <c r="AI34" s="21"/>
      <c r="AJ34" s="103"/>
      <c r="AL34" s="21"/>
    </row>
    <row r="35" spans="1:38" ht="12" customHeight="1" outlineLevel="1" thickBot="1" x14ac:dyDescent="0.35">
      <c r="A35" s="3">
        <v>44926</v>
      </c>
      <c r="B35" s="108"/>
      <c r="C35" s="19"/>
      <c r="D35" s="92">
        <f>AI15</f>
        <v>72.55</v>
      </c>
      <c r="E35" s="73">
        <f t="shared" si="2"/>
        <v>451.5160000000003</v>
      </c>
      <c r="F35" s="100">
        <f t="shared" si="3"/>
        <v>0</v>
      </c>
      <c r="G35" s="108"/>
      <c r="H35" s="108"/>
      <c r="I35" s="101">
        <f t="shared" si="4"/>
        <v>7.0399999999999983</v>
      </c>
      <c r="J35" s="18"/>
      <c r="K35" s="74"/>
      <c r="L35" s="75"/>
      <c r="M35" s="109">
        <f t="shared" si="0"/>
        <v>0</v>
      </c>
      <c r="N35" s="24"/>
      <c r="O35" s="50">
        <f>O34+M35-N35</f>
        <v>1.4689999999999994</v>
      </c>
      <c r="P35" s="76"/>
      <c r="Q35" s="50">
        <f t="shared" si="1"/>
        <v>460.02500000000032</v>
      </c>
      <c r="R35" s="166">
        <f t="shared" si="6"/>
        <v>0</v>
      </c>
      <c r="S35" s="160">
        <f>AI13+AI16</f>
        <v>72.573999999999998</v>
      </c>
      <c r="T35" s="86">
        <f>T30</f>
        <v>947415</v>
      </c>
      <c r="U35" s="86">
        <v>1533000</v>
      </c>
      <c r="V35" s="87">
        <v>570142.93000000005</v>
      </c>
      <c r="W35" s="66"/>
      <c r="X35" s="94"/>
      <c r="Y35" s="93">
        <v>1004000</v>
      </c>
      <c r="Z35" s="86">
        <v>127257.99</v>
      </c>
      <c r="AA35" s="86"/>
      <c r="AB35" s="80"/>
      <c r="AC35" s="79"/>
      <c r="AD35" s="87"/>
      <c r="AE35" s="57"/>
      <c r="AF35" s="131"/>
      <c r="AG35" s="133"/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482.82899999999989</v>
      </c>
      <c r="C36" s="37">
        <f>SUM(C5:C35)</f>
        <v>71.816000000000003</v>
      </c>
      <c r="D36" s="37">
        <f>SUM(D5:D35)</f>
        <v>582.16100000000006</v>
      </c>
      <c r="E36" s="115">
        <f>INDEX(E5:E35,COUNTA(E5:E35))-15</f>
        <v>436.5160000000003</v>
      </c>
      <c r="F36" s="37">
        <f>SUM(F5:F35)</f>
        <v>71.816000000000003</v>
      </c>
      <c r="G36" s="37">
        <f>SUM(G5:G35)</f>
        <v>64.999000000000009</v>
      </c>
      <c r="H36" s="37">
        <f>SUM(H5:H35)</f>
        <v>8.1770000000000014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8.1770000000000014</v>
      </c>
      <c r="N36" s="37">
        <f>SUM(N5:N35)</f>
        <v>8.081999999999999</v>
      </c>
      <c r="O36" s="41"/>
      <c r="P36" s="40">
        <f>B36+G36+H36+J36</f>
        <v>556.00499999999988</v>
      </c>
      <c r="Q36" s="41"/>
      <c r="R36" s="167">
        <f>SUM(R5:R35)</f>
        <v>556.005</v>
      </c>
      <c r="S36" s="114">
        <f>INDEX(S5:S35,COUNTA(S5:S35))</f>
        <v>72.573999999999998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19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19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182"/>
      <c r="U38" s="182"/>
      <c r="V38" s="119" t="s">
        <v>51</v>
      </c>
      <c r="W38" s="171"/>
      <c r="X38" s="171"/>
      <c r="Y38" s="171"/>
      <c r="Z38" s="193">
        <f>E36</f>
        <v>436.5160000000003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170"/>
      <c r="U39" s="170"/>
      <c r="V39" s="183" t="s">
        <v>34</v>
      </c>
      <c r="W39" s="172"/>
      <c r="X39" s="172"/>
      <c r="Y39" s="172"/>
      <c r="Z39" s="194">
        <f>S36</f>
        <v>72.573999999999998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170"/>
      <c r="U40" s="170"/>
      <c r="V40" s="185" t="s">
        <v>36</v>
      </c>
      <c r="W40" s="173"/>
      <c r="X40" s="173"/>
      <c r="Y40" s="173"/>
      <c r="Z40" s="195">
        <f>N53</f>
        <v>75.653680958480905</v>
      </c>
      <c r="AA40" s="111"/>
      <c r="AB40" s="111"/>
      <c r="AC40" s="111"/>
      <c r="AD40" s="112"/>
      <c r="AH40" s="113"/>
      <c r="AI40" s="33">
        <f>AI12*M48</f>
        <v>458056.59199999995</v>
      </c>
      <c r="AJ40" s="33">
        <f>M48*AI12</f>
        <v>458056.59199999995</v>
      </c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170"/>
      <c r="V41" s="612" t="s">
        <v>35</v>
      </c>
      <c r="W41" s="613"/>
      <c r="X41" s="614"/>
      <c r="Y41" s="173"/>
      <c r="Z41" s="144">
        <f>Z38+Z39+Z40</f>
        <v>584.74368095848126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ht="16.2" customHeight="1" x14ac:dyDescent="0.3">
      <c r="D43" s="98"/>
      <c r="E43" s="564" t="s">
        <v>18</v>
      </c>
      <c r="F43" s="564"/>
      <c r="G43" s="564"/>
      <c r="H43" s="574" t="s">
        <v>103</v>
      </c>
      <c r="I43" s="575"/>
      <c r="J43" s="124"/>
      <c r="K43" s="209"/>
      <c r="L43" s="145"/>
      <c r="M43" s="168">
        <v>14790</v>
      </c>
      <c r="N43" s="147"/>
      <c r="O43" s="210" t="s">
        <v>56</v>
      </c>
      <c r="P43" s="138"/>
      <c r="Q43" s="164" t="s">
        <v>65</v>
      </c>
      <c r="R43" s="164" t="s">
        <v>66</v>
      </c>
      <c r="S43" s="163"/>
      <c r="T43" s="163"/>
      <c r="U43" s="163"/>
      <c r="V43" s="177"/>
      <c r="W43" s="178"/>
      <c r="X43" s="179"/>
      <c r="Y43" s="179"/>
      <c r="Z43" s="180"/>
      <c r="AA43" s="91"/>
      <c r="AB43" s="91"/>
      <c r="AC43" s="91"/>
      <c r="AD43" s="91"/>
      <c r="AG43" s="197"/>
      <c r="AI43" s="123"/>
      <c r="AJ43" s="123"/>
      <c r="AK43" s="123"/>
      <c r="AL43" s="91"/>
    </row>
    <row r="44" spans="1:38" ht="16.2" customHeight="1" x14ac:dyDescent="0.3">
      <c r="D44" s="98"/>
      <c r="E44" s="564" t="s">
        <v>18</v>
      </c>
      <c r="F44" s="564"/>
      <c r="G44" s="564"/>
      <c r="H44" s="574" t="s">
        <v>104</v>
      </c>
      <c r="I44" s="575"/>
      <c r="J44" s="124"/>
      <c r="K44" s="213"/>
      <c r="L44" s="145"/>
      <c r="M44" s="168">
        <v>13470</v>
      </c>
      <c r="N44" s="147"/>
      <c r="O44" s="217"/>
      <c r="P44" s="138"/>
      <c r="Q44" s="164"/>
      <c r="R44" s="164"/>
      <c r="S44" s="164" t="s">
        <v>67</v>
      </c>
      <c r="T44" s="2"/>
      <c r="U44" s="2"/>
      <c r="V44" s="177"/>
      <c r="W44" s="178"/>
      <c r="X44" s="179"/>
      <c r="Y44" s="179"/>
      <c r="Z44" s="180"/>
      <c r="AA44" s="91"/>
      <c r="AB44" s="91"/>
      <c r="AC44" s="91"/>
      <c r="AD44" s="91"/>
      <c r="AG44" s="197"/>
      <c r="AI44" s="123"/>
      <c r="AJ44" s="123"/>
      <c r="AK44" s="123"/>
      <c r="AL44" s="91"/>
    </row>
    <row r="45" spans="1:38" ht="16.2" customHeight="1" x14ac:dyDescent="0.3">
      <c r="D45" s="98"/>
      <c r="E45" s="564" t="s">
        <v>18</v>
      </c>
      <c r="F45" s="564"/>
      <c r="G45" s="564"/>
      <c r="H45" s="574" t="s">
        <v>105</v>
      </c>
      <c r="I45" s="575"/>
      <c r="J45" s="124"/>
      <c r="K45" s="225"/>
      <c r="L45" s="145"/>
      <c r="M45" s="168">
        <v>12090</v>
      </c>
      <c r="N45" s="147"/>
      <c r="O45" s="226"/>
      <c r="P45" s="138"/>
      <c r="Q45" s="164"/>
      <c r="R45" s="164"/>
      <c r="S45" s="164"/>
      <c r="T45" s="164" t="s">
        <v>68</v>
      </c>
      <c r="U45" s="164"/>
      <c r="V45" s="177"/>
      <c r="W45" s="178"/>
      <c r="X45" s="179"/>
      <c r="Y45" s="179"/>
      <c r="Z45" s="180"/>
      <c r="AA45" s="91"/>
      <c r="AB45" s="91"/>
      <c r="AC45" s="91"/>
      <c r="AD45" s="91"/>
      <c r="AG45" s="197"/>
      <c r="AI45" s="123"/>
      <c r="AJ45" s="123"/>
      <c r="AK45" s="123"/>
      <c r="AL45" s="91"/>
    </row>
    <row r="46" spans="1:38" ht="16.2" customHeight="1" x14ac:dyDescent="0.3">
      <c r="D46" s="98"/>
      <c r="E46" s="564" t="s">
        <v>18</v>
      </c>
      <c r="F46" s="564"/>
      <c r="G46" s="564"/>
      <c r="H46" s="552" t="s">
        <v>84</v>
      </c>
      <c r="I46" s="553"/>
      <c r="J46" s="124"/>
      <c r="K46" s="216"/>
      <c r="L46" s="145"/>
      <c r="M46" s="168">
        <v>12774</v>
      </c>
      <c r="N46" s="147">
        <f>T31/M46</f>
        <v>0</v>
      </c>
      <c r="O46" s="217" t="s">
        <v>56</v>
      </c>
      <c r="P46" s="138"/>
      <c r="Q46" s="163" t="s">
        <v>85</v>
      </c>
      <c r="R46" s="163" t="s">
        <v>86</v>
      </c>
      <c r="S46" s="163" t="s">
        <v>87</v>
      </c>
      <c r="T46" s="163" t="s">
        <v>88</v>
      </c>
      <c r="U46" s="163"/>
      <c r="V46" s="177"/>
      <c r="W46" s="178"/>
      <c r="X46" s="179"/>
      <c r="Y46" s="179"/>
      <c r="Z46" s="180"/>
      <c r="AA46" s="91"/>
      <c r="AB46" s="91"/>
      <c r="AC46" s="91"/>
      <c r="AD46" s="91"/>
      <c r="AG46" s="197"/>
      <c r="AI46" s="123"/>
      <c r="AJ46" s="123"/>
      <c r="AK46" s="123"/>
      <c r="AL46" s="91"/>
    </row>
    <row r="47" spans="1:38" ht="16.2" customHeight="1" x14ac:dyDescent="0.3">
      <c r="D47" s="211" t="s">
        <v>28</v>
      </c>
      <c r="E47" s="611" t="s">
        <v>60</v>
      </c>
      <c r="F47" s="611"/>
      <c r="G47" s="611"/>
      <c r="H47" s="574" t="s">
        <v>82</v>
      </c>
      <c r="I47" s="575"/>
      <c r="J47" s="124"/>
      <c r="K47" s="209"/>
      <c r="L47" s="145"/>
      <c r="M47" s="168">
        <f>6257+8172</f>
        <v>14429</v>
      </c>
      <c r="N47" s="147"/>
      <c r="O47" s="210" t="s">
        <v>54</v>
      </c>
      <c r="P47" s="89"/>
      <c r="Q47" s="164" t="s">
        <v>69</v>
      </c>
      <c r="R47" s="164" t="s">
        <v>81</v>
      </c>
      <c r="S47" s="163"/>
      <c r="T47" s="34"/>
      <c r="U47" s="34"/>
      <c r="V47" s="177"/>
      <c r="W47" s="178"/>
      <c r="X47" s="179"/>
      <c r="Y47" s="179"/>
      <c r="Z47" s="180"/>
      <c r="AA47" s="91"/>
      <c r="AB47" s="91"/>
      <c r="AC47" s="91"/>
      <c r="AD47" s="91"/>
      <c r="AI47" s="123"/>
      <c r="AJ47" s="123"/>
      <c r="AK47" s="123"/>
      <c r="AL47" s="91"/>
    </row>
    <row r="48" spans="1:38" ht="16.2" customHeight="1" x14ac:dyDescent="0.3">
      <c r="D48" s="211"/>
      <c r="E48" s="549"/>
      <c r="F48" s="554"/>
      <c r="G48" s="555"/>
      <c r="H48" s="552" t="s">
        <v>83</v>
      </c>
      <c r="I48" s="553"/>
      <c r="J48" s="124"/>
      <c r="K48" s="214"/>
      <c r="L48" s="145"/>
      <c r="M48" s="168">
        <v>13202</v>
      </c>
      <c r="N48" s="147"/>
      <c r="O48" s="215"/>
      <c r="P48" s="89"/>
      <c r="Q48" s="164"/>
      <c r="R48" s="164" t="s">
        <v>91</v>
      </c>
      <c r="S48" s="164" t="s">
        <v>71</v>
      </c>
      <c r="T48" s="34"/>
      <c r="U48" s="34"/>
      <c r="V48" s="177"/>
      <c r="W48" s="178"/>
      <c r="X48" s="179"/>
      <c r="Y48" s="179"/>
      <c r="Z48" s="180"/>
      <c r="AA48" s="91"/>
      <c r="AB48" s="91"/>
      <c r="AC48" s="91"/>
      <c r="AD48" s="91"/>
      <c r="AI48" s="123"/>
      <c r="AJ48" s="123"/>
      <c r="AK48" s="123"/>
      <c r="AL48" s="91"/>
    </row>
    <row r="49" spans="4:38" ht="16.2" customHeight="1" x14ac:dyDescent="0.3">
      <c r="D49" s="211"/>
      <c r="E49" s="549"/>
      <c r="F49" s="550"/>
      <c r="G49" s="551"/>
      <c r="H49" s="552" t="s">
        <v>93</v>
      </c>
      <c r="I49" s="553"/>
      <c r="J49" s="124"/>
      <c r="K49" s="220"/>
      <c r="L49" s="145"/>
      <c r="M49" s="168">
        <v>13271</v>
      </c>
      <c r="N49" s="147">
        <f>Y32/M49</f>
        <v>75.653680958480905</v>
      </c>
      <c r="O49" s="221" t="s">
        <v>29</v>
      </c>
      <c r="P49" s="89"/>
      <c r="Q49" s="163" t="s">
        <v>96</v>
      </c>
      <c r="R49" s="163" t="s">
        <v>97</v>
      </c>
      <c r="S49" s="163" t="s">
        <v>98</v>
      </c>
      <c r="T49" s="34"/>
      <c r="U49" s="34"/>
      <c r="V49" s="177"/>
      <c r="W49" s="178"/>
      <c r="X49" s="179"/>
      <c r="Y49" s="179"/>
      <c r="Z49" s="180"/>
      <c r="AA49" s="91"/>
      <c r="AB49" s="91"/>
      <c r="AC49" s="91"/>
      <c r="AD49" s="91"/>
      <c r="AI49" s="123"/>
      <c r="AJ49" s="123"/>
      <c r="AK49" s="123"/>
      <c r="AL49" s="91"/>
    </row>
    <row r="50" spans="4:38" ht="16.2" customHeight="1" x14ac:dyDescent="0.3">
      <c r="D50" s="211" t="s">
        <v>21</v>
      </c>
      <c r="E50" s="611" t="s">
        <v>60</v>
      </c>
      <c r="F50" s="611"/>
      <c r="G50" s="611"/>
      <c r="H50" s="574" t="s">
        <v>82</v>
      </c>
      <c r="I50" s="575"/>
      <c r="J50" s="124"/>
      <c r="K50" s="209"/>
      <c r="L50" s="145"/>
      <c r="M50" s="168">
        <f>15314-885</f>
        <v>14429</v>
      </c>
      <c r="N50" s="147"/>
      <c r="O50" s="210" t="s">
        <v>40</v>
      </c>
      <c r="P50" s="89"/>
      <c r="Q50" s="164" t="s">
        <v>76</v>
      </c>
      <c r="R50" s="164" t="s">
        <v>80</v>
      </c>
      <c r="S50" s="163"/>
      <c r="T50" s="164"/>
      <c r="U50" s="164"/>
      <c r="V50" s="177"/>
      <c r="W50" s="178"/>
      <c r="X50" s="179"/>
      <c r="Y50" s="179"/>
      <c r="Z50" s="180"/>
      <c r="AA50" s="91"/>
      <c r="AB50" s="91"/>
      <c r="AC50" s="91"/>
      <c r="AD50" s="91"/>
      <c r="AI50" s="127"/>
      <c r="AJ50" s="103"/>
      <c r="AK50" s="103"/>
      <c r="AL50" s="91"/>
    </row>
    <row r="51" spans="4:38" ht="16.2" customHeight="1" x14ac:dyDescent="0.3">
      <c r="D51" s="154"/>
      <c r="E51" s="633"/>
      <c r="F51" s="633"/>
      <c r="G51" s="633"/>
      <c r="H51" s="552" t="s">
        <v>83</v>
      </c>
      <c r="I51" s="553"/>
      <c r="J51" s="125"/>
      <c r="K51" s="207"/>
      <c r="L51" s="145"/>
      <c r="M51" s="143">
        <v>13202</v>
      </c>
      <c r="N51" s="147"/>
      <c r="O51" s="198"/>
      <c r="P51" s="89"/>
      <c r="Q51" s="163"/>
      <c r="R51" s="163"/>
      <c r="S51" s="164" t="s">
        <v>70</v>
      </c>
      <c r="T51" s="163"/>
      <c r="U51" s="163"/>
      <c r="V51" s="177"/>
      <c r="W51" s="178"/>
      <c r="X51" s="179"/>
      <c r="Y51" s="179"/>
      <c r="Z51" s="180"/>
      <c r="AA51" s="91"/>
      <c r="AB51" s="91"/>
      <c r="AC51" s="91"/>
      <c r="AD51" s="91"/>
      <c r="AI51" s="127"/>
      <c r="AJ51" s="103"/>
      <c r="AK51" s="103"/>
      <c r="AL51" s="91"/>
    </row>
    <row r="52" spans="4:38" ht="16.2" customHeight="1" thickBot="1" x14ac:dyDescent="0.35">
      <c r="D52" s="154"/>
      <c r="E52" s="639"/>
      <c r="F52" s="640"/>
      <c r="G52" s="641"/>
      <c r="H52" s="552" t="s">
        <v>93</v>
      </c>
      <c r="I52" s="553"/>
      <c r="J52" s="125"/>
      <c r="K52" s="220"/>
      <c r="L52" s="145"/>
      <c r="M52" s="222">
        <v>13271</v>
      </c>
      <c r="N52" s="223">
        <f>U32/M52</f>
        <v>115.51503277823826</v>
      </c>
      <c r="O52" s="198" t="s">
        <v>40</v>
      </c>
      <c r="P52" s="89"/>
      <c r="Q52" s="163" t="s">
        <v>99</v>
      </c>
      <c r="R52" s="163" t="s">
        <v>100</v>
      </c>
      <c r="S52" s="163" t="s">
        <v>101</v>
      </c>
      <c r="T52" s="163"/>
      <c r="U52" s="163"/>
      <c r="V52" s="177"/>
      <c r="W52" s="178"/>
      <c r="X52" s="179"/>
      <c r="Y52" s="179"/>
      <c r="Z52" s="180"/>
      <c r="AA52" s="91"/>
      <c r="AB52" s="91"/>
      <c r="AC52" s="91"/>
      <c r="AD52" s="91"/>
      <c r="AI52" s="127"/>
      <c r="AJ52" s="103"/>
      <c r="AK52" s="103"/>
      <c r="AL52" s="91"/>
    </row>
    <row r="53" spans="4:38" ht="13.95" customHeight="1" thickBot="1" x14ac:dyDescent="0.35">
      <c r="E53" s="634"/>
      <c r="F53" s="635"/>
      <c r="G53" s="636"/>
      <c r="H53" s="637"/>
      <c r="I53" s="638"/>
      <c r="J53" s="141"/>
      <c r="K53" s="141"/>
      <c r="L53" s="142"/>
      <c r="M53" s="148" t="s">
        <v>33</v>
      </c>
      <c r="N53" s="149">
        <f>SUBTOTAL(109,N43:N51)</f>
        <v>75.653680958480905</v>
      </c>
      <c r="O53" s="150"/>
      <c r="T53" s="181"/>
      <c r="U53" s="181"/>
      <c r="V53" s="177"/>
      <c r="W53" s="178"/>
      <c r="X53" s="178"/>
      <c r="Y53" s="178"/>
      <c r="Z53" s="180"/>
      <c r="AA53" s="90"/>
      <c r="AB53" s="90"/>
      <c r="AC53" s="21"/>
      <c r="AD53" s="21"/>
    </row>
    <row r="54" spans="4:38" x14ac:dyDescent="0.3">
      <c r="O54" s="139"/>
      <c r="V54" s="178"/>
      <c r="W54" s="178"/>
      <c r="X54" s="178"/>
      <c r="Y54" s="178"/>
      <c r="Z54" s="180"/>
      <c r="AA54" s="21"/>
      <c r="AB54" s="21"/>
      <c r="AC54" s="21"/>
      <c r="AD54" s="21"/>
    </row>
    <row r="55" spans="4:38" x14ac:dyDescent="0.3">
      <c r="E55" s="1" t="s">
        <v>57</v>
      </c>
      <c r="O55" s="1" t="s">
        <v>94</v>
      </c>
      <c r="P55" s="1"/>
      <c r="Q55" s="1"/>
      <c r="R55" s="224"/>
      <c r="V55" s="178"/>
      <c r="W55" s="178"/>
      <c r="X55" s="178"/>
      <c r="Y55" s="178"/>
      <c r="Z55" s="178"/>
      <c r="AA55" s="21"/>
      <c r="AB55" s="21"/>
      <c r="AC55" s="21"/>
      <c r="AD55" s="21"/>
    </row>
    <row r="56" spans="4:38" x14ac:dyDescent="0.3">
      <c r="E56" s="1" t="s">
        <v>64</v>
      </c>
    </row>
    <row r="57" spans="4:38" x14ac:dyDescent="0.3">
      <c r="E57" s="1" t="s">
        <v>58</v>
      </c>
      <c r="V57" s="175"/>
      <c r="W57" s="175"/>
      <c r="X57" s="175"/>
      <c r="Y57" s="175"/>
      <c r="Z57" s="175"/>
      <c r="AA57" s="21"/>
      <c r="AB57" s="21"/>
      <c r="AC57" s="21"/>
      <c r="AD57" s="21"/>
    </row>
    <row r="58" spans="4:38" x14ac:dyDescent="0.3">
      <c r="E58" s="1" t="s">
        <v>59</v>
      </c>
    </row>
    <row r="59" spans="4:38" x14ac:dyDescent="0.3">
      <c r="E59" s="1" t="s">
        <v>61</v>
      </c>
    </row>
  </sheetData>
  <mergeCells count="54">
    <mergeCell ref="E50:G50"/>
    <mergeCell ref="H50:I50"/>
    <mergeCell ref="E51:G51"/>
    <mergeCell ref="H51:I51"/>
    <mergeCell ref="E53:G53"/>
    <mergeCell ref="H53:I53"/>
    <mergeCell ref="E52:G52"/>
    <mergeCell ref="H52:I52"/>
    <mergeCell ref="W3:W4"/>
    <mergeCell ref="X3:X4"/>
    <mergeCell ref="E47:G47"/>
    <mergeCell ref="H47:I47"/>
    <mergeCell ref="V41:X41"/>
    <mergeCell ref="E43:G43"/>
    <mergeCell ref="H43:I43"/>
    <mergeCell ref="P1:P4"/>
    <mergeCell ref="G3:I3"/>
    <mergeCell ref="E44:G44"/>
    <mergeCell ref="H44:I44"/>
    <mergeCell ref="J1:L3"/>
    <mergeCell ref="M1:O3"/>
    <mergeCell ref="U3:U4"/>
    <mergeCell ref="Y3:Y4"/>
    <mergeCell ref="Z3:Z4"/>
    <mergeCell ref="Q1:Q4"/>
    <mergeCell ref="R1:R4"/>
    <mergeCell ref="S1:S3"/>
    <mergeCell ref="T1:V2"/>
    <mergeCell ref="W1:AG2"/>
    <mergeCell ref="AG3:AG4"/>
    <mergeCell ref="AA3:AA4"/>
    <mergeCell ref="AB3:AB4"/>
    <mergeCell ref="AC3:AC4"/>
    <mergeCell ref="AD3:AD4"/>
    <mergeCell ref="AE3:AE4"/>
    <mergeCell ref="AF3:AF4"/>
    <mergeCell ref="T3:T4"/>
    <mergeCell ref="V3:V4"/>
    <mergeCell ref="E49:G49"/>
    <mergeCell ref="H49:I49"/>
    <mergeCell ref="E48:G48"/>
    <mergeCell ref="H48:I48"/>
    <mergeCell ref="A1:A4"/>
    <mergeCell ref="B1:E1"/>
    <mergeCell ref="F1:I2"/>
    <mergeCell ref="E46:G46"/>
    <mergeCell ref="H46:I46"/>
    <mergeCell ref="B2:C2"/>
    <mergeCell ref="D2:D3"/>
    <mergeCell ref="E2:E4"/>
    <mergeCell ref="B3:C3"/>
    <mergeCell ref="F3:F4"/>
    <mergeCell ref="H45:I45"/>
    <mergeCell ref="E45:G45"/>
  </mergeCells>
  <phoneticPr fontId="5" type="noConversion"/>
  <pageMargins left="0.31496062992125984" right="0.17" top="0.19" bottom="0.19" header="0.19" footer="0.18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zoomScaleNormal="100" workbookViewId="0">
      <pane ySplit="4" topLeftCell="A29" activePane="bottomLeft" state="frozen"/>
      <selection pane="bottomLeft" activeCell="O69" sqref="O69:Q69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customWidth="1"/>
    <col min="23" max="23" width="9.44140625" style="20" customWidth="1"/>
    <col min="24" max="26" width="10.6640625" style="20" customWidth="1"/>
    <col min="27" max="28" width="9.6640625" style="2" customWidth="1"/>
    <col min="29" max="29" width="10.6640625" style="2" customWidth="1"/>
    <col min="30" max="30" width="10.33203125" style="2" customWidth="1"/>
    <col min="31" max="32" width="0.109375" style="2" customWidth="1"/>
    <col min="33" max="33" width="9" style="2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370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396" t="s">
        <v>10</v>
      </c>
      <c r="K4" s="397" t="s">
        <v>2</v>
      </c>
      <c r="L4" s="398" t="s">
        <v>9</v>
      </c>
      <c r="M4" s="396" t="s">
        <v>10</v>
      </c>
      <c r="N4" s="397" t="s">
        <v>2</v>
      </c>
      <c r="O4" s="398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45170</v>
      </c>
      <c r="B5" s="28">
        <v>42.09</v>
      </c>
      <c r="C5" s="30">
        <v>6.8949999999999996</v>
      </c>
      <c r="D5" s="22"/>
      <c r="E5" s="42">
        <f>'08.2023'!E35-B5-C5+D5</f>
        <v>241.16600000000028</v>
      </c>
      <c r="F5" s="51">
        <f>C5</f>
        <v>6.8949999999999996</v>
      </c>
      <c r="G5" s="9">
        <f>7.155-H5</f>
        <v>7.1550000000000002</v>
      </c>
      <c r="H5" s="10"/>
      <c r="I5" s="161">
        <f>'08.2023'!I35+F5-G5-H5</f>
        <v>3.9399999999999986</v>
      </c>
      <c r="J5" s="8"/>
      <c r="K5" s="11"/>
      <c r="L5" s="25"/>
      <c r="M5" s="51">
        <f t="shared" ref="M5:M35" si="0">H5</f>
        <v>0</v>
      </c>
      <c r="N5" s="24">
        <v>0.23300000000000001</v>
      </c>
      <c r="O5" s="47">
        <f>'08.2023'!O35+M5-N5</f>
        <v>1.3659999999999972</v>
      </c>
      <c r="P5" s="46">
        <v>0</v>
      </c>
      <c r="Q5" s="45">
        <f t="shared" ref="Q5:Q35" si="1">E5+I5+L5+O5</f>
        <v>246.47200000000026</v>
      </c>
      <c r="R5" s="165">
        <f>B5+G5+H5+J5</f>
        <v>49.245000000000005</v>
      </c>
      <c r="S5" s="159">
        <f>'08.2023'!S35</f>
        <v>201.23599999999999</v>
      </c>
      <c r="T5" s="58">
        <f>'08.2023'!T35+130000</f>
        <v>1099246.8999999999</v>
      </c>
      <c r="U5" s="58">
        <f>'08.2023'!U35</f>
        <v>1939301.2</v>
      </c>
      <c r="V5" s="58">
        <f>'08.2023'!V35</f>
        <v>0</v>
      </c>
      <c r="W5" s="58">
        <f>'08.2023'!W35</f>
        <v>0</v>
      </c>
      <c r="X5" s="58">
        <f>'08.2023'!X35</f>
        <v>0</v>
      </c>
      <c r="Y5" s="58">
        <f>'08.2023'!Y35+1008000</f>
        <v>3557695</v>
      </c>
      <c r="Z5" s="58">
        <f>'08.2023'!Z35</f>
        <v>1500045.162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>
        <v>849600</v>
      </c>
      <c r="AH5" s="256" t="s">
        <v>385</v>
      </c>
      <c r="AI5" s="121">
        <v>33.374000000000002</v>
      </c>
      <c r="AJ5" s="416" t="s">
        <v>380</v>
      </c>
      <c r="AK5" s="229">
        <v>50859677</v>
      </c>
      <c r="AL5" s="21"/>
      <c r="AM5" s="21"/>
    </row>
    <row r="6" spans="1:40" ht="13.2" customHeight="1" thickBot="1" x14ac:dyDescent="0.35">
      <c r="A6" s="3">
        <v>45171</v>
      </c>
      <c r="B6" s="28">
        <v>15.56</v>
      </c>
      <c r="C6" s="30"/>
      <c r="D6" s="22">
        <f>'08.2023'!AI28+'08.2023'!AI29+'08.2023'!AI30</f>
        <v>139.38</v>
      </c>
      <c r="E6" s="43">
        <f t="shared" ref="E6:E34" si="2">E5+D6-B6-C6</f>
        <v>364.98600000000027</v>
      </c>
      <c r="F6" s="51">
        <f t="shared" ref="F6:F35" si="3">C6</f>
        <v>0</v>
      </c>
      <c r="G6" s="9"/>
      <c r="H6" s="10"/>
      <c r="I6" s="161">
        <f t="shared" ref="I6:I34" si="4">I5+F6-G6-H6</f>
        <v>3.9399999999999986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1.3659999999999972</v>
      </c>
      <c r="P6" s="48"/>
      <c r="Q6" s="47">
        <f t="shared" si="1"/>
        <v>370.29200000000026</v>
      </c>
      <c r="R6" s="165">
        <f t="shared" ref="R6:R35" si="6">B6+G6+H6+J6</f>
        <v>15.56</v>
      </c>
      <c r="S6" s="159">
        <f>'08.2023'!AI34+'08.2023'!AI35+AI7</f>
        <v>124.55600000000001</v>
      </c>
      <c r="T6" s="58">
        <v>1099246.8999999999</v>
      </c>
      <c r="U6" s="407">
        <f>1939301.2-AI7*M75</f>
        <v>6134.7999999998137</v>
      </c>
      <c r="V6" s="58">
        <v>0</v>
      </c>
      <c r="W6" s="87">
        <v>0</v>
      </c>
      <c r="X6" s="58">
        <v>0</v>
      </c>
      <c r="Y6" s="58">
        <v>3557695</v>
      </c>
      <c r="Z6" s="58">
        <v>1500045.162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>
        <f>849600-AI8*M69</f>
        <v>85384.800000000047</v>
      </c>
      <c r="AH6" s="123" t="s">
        <v>49</v>
      </c>
      <c r="AI6" s="122">
        <v>32.204000000000001</v>
      </c>
      <c r="AJ6" s="418" t="s">
        <v>381</v>
      </c>
      <c r="AK6" s="2">
        <v>50858919</v>
      </c>
      <c r="AM6" s="21"/>
    </row>
    <row r="7" spans="1:40" ht="13.2" customHeight="1" thickBot="1" x14ac:dyDescent="0.35">
      <c r="A7" s="3">
        <v>45172</v>
      </c>
      <c r="B7" s="28">
        <f>16.1-1.45</f>
        <v>14.650000000000002</v>
      </c>
      <c r="C7" s="30"/>
      <c r="D7" s="22"/>
      <c r="E7" s="43">
        <f t="shared" si="2"/>
        <v>350.3360000000003</v>
      </c>
      <c r="F7" s="51">
        <f t="shared" si="3"/>
        <v>0</v>
      </c>
      <c r="G7" s="9"/>
      <c r="H7" s="10"/>
      <c r="I7" s="161">
        <f t="shared" si="4"/>
        <v>3.9399999999999986</v>
      </c>
      <c r="J7" s="8"/>
      <c r="K7" s="11"/>
      <c r="L7" s="12"/>
      <c r="M7" s="51">
        <f t="shared" si="0"/>
        <v>0</v>
      </c>
      <c r="N7" s="24"/>
      <c r="O7" s="47">
        <f t="shared" si="5"/>
        <v>1.3659999999999972</v>
      </c>
      <c r="P7" s="48"/>
      <c r="Q7" s="47">
        <f t="shared" si="1"/>
        <v>355.64200000000028</v>
      </c>
      <c r="R7" s="165">
        <f t="shared" si="6"/>
        <v>14.650000000000002</v>
      </c>
      <c r="S7" s="159">
        <f>S6+AI9</f>
        <v>160.40600000000001</v>
      </c>
      <c r="T7" s="59">
        <f>1099246.9-AI9*M45</f>
        <v>-25511.000000000233</v>
      </c>
      <c r="U7" s="58">
        <f>U6</f>
        <v>6134.7999999998137</v>
      </c>
      <c r="V7" s="58">
        <v>0</v>
      </c>
      <c r="W7" s="87">
        <v>0</v>
      </c>
      <c r="X7" s="58">
        <v>0</v>
      </c>
      <c r="Y7" s="58">
        <v>3557695</v>
      </c>
      <c r="Z7" s="87">
        <v>1500045.162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>
        <v>57820.000000000116</v>
      </c>
      <c r="AH7" s="128" t="s">
        <v>48</v>
      </c>
      <c r="AI7" s="120">
        <v>62.7</v>
      </c>
      <c r="AJ7" s="417" t="s">
        <v>382</v>
      </c>
      <c r="AK7" s="2" t="s">
        <v>398</v>
      </c>
      <c r="AL7" s="120">
        <v>31.35</v>
      </c>
      <c r="AM7" s="21"/>
    </row>
    <row r="8" spans="1:40" ht="12.75" customHeight="1" thickBot="1" x14ac:dyDescent="0.35">
      <c r="A8" s="7">
        <v>45173</v>
      </c>
      <c r="B8" s="28">
        <v>41.36</v>
      </c>
      <c r="C8" s="30">
        <v>1.415</v>
      </c>
      <c r="D8" s="186"/>
      <c r="E8" s="43">
        <f t="shared" si="2"/>
        <v>307.56100000000026</v>
      </c>
      <c r="F8" s="51">
        <f t="shared" si="3"/>
        <v>1.415</v>
      </c>
      <c r="G8" s="9">
        <f>1.845-H8</f>
        <v>1.24</v>
      </c>
      <c r="H8" s="10">
        <v>0.60499999999999998</v>
      </c>
      <c r="I8" s="161">
        <f t="shared" si="4"/>
        <v>3.5099999999999985</v>
      </c>
      <c r="J8" s="8"/>
      <c r="K8" s="11"/>
      <c r="L8" s="12"/>
      <c r="M8" s="51">
        <f t="shared" si="0"/>
        <v>0.60499999999999998</v>
      </c>
      <c r="N8" s="24">
        <v>0.48899999999999999</v>
      </c>
      <c r="O8" s="47">
        <f t="shared" si="5"/>
        <v>1.4819999999999971</v>
      </c>
      <c r="P8" s="48"/>
      <c r="Q8" s="47">
        <f t="shared" si="1"/>
        <v>312.55300000000022</v>
      </c>
      <c r="R8" s="165">
        <f t="shared" si="6"/>
        <v>43.204999999999998</v>
      </c>
      <c r="S8" s="159">
        <f>160.406+AI6+AI8+AI5</f>
        <v>258.36600000000004</v>
      </c>
      <c r="T8" s="58">
        <f>-25511+26000</f>
        <v>489</v>
      </c>
      <c r="U8" s="58">
        <f>U6+1407000</f>
        <v>1413134.7999999998</v>
      </c>
      <c r="V8" s="86">
        <v>0</v>
      </c>
      <c r="W8" s="87"/>
      <c r="X8" s="58"/>
      <c r="Y8" s="58">
        <v>3557695</v>
      </c>
      <c r="Z8" s="107">
        <f>1500045.16-AI6*M74+939000</f>
        <v>1446131.432</v>
      </c>
      <c r="AA8" s="58"/>
      <c r="AB8" s="58">
        <v>0</v>
      </c>
      <c r="AC8" s="59">
        <f>1800000-AI5*M68</f>
        <v>965649.99999999988</v>
      </c>
      <c r="AD8" s="314">
        <f>891000-AI8*M67</f>
        <v>89545.5</v>
      </c>
      <c r="AE8" s="58"/>
      <c r="AF8" s="58"/>
      <c r="AG8" s="58">
        <v>57820.000000000116</v>
      </c>
      <c r="AH8" s="192" t="s">
        <v>386</v>
      </c>
      <c r="AI8" s="155">
        <v>32.381999999999998</v>
      </c>
      <c r="AJ8" s="417" t="s">
        <v>383</v>
      </c>
      <c r="AK8" s="1">
        <v>50875350</v>
      </c>
      <c r="AL8" s="239"/>
      <c r="AM8" s="21"/>
    </row>
    <row r="9" spans="1:40" ht="13.2" customHeight="1" thickBot="1" x14ac:dyDescent="0.35">
      <c r="A9" s="7">
        <v>45174</v>
      </c>
      <c r="B9" s="28">
        <v>17.16</v>
      </c>
      <c r="C9" s="30">
        <v>3.4660000000000002</v>
      </c>
      <c r="D9" s="186"/>
      <c r="E9" s="43">
        <f t="shared" si="2"/>
        <v>286.93500000000023</v>
      </c>
      <c r="F9" s="51">
        <f t="shared" si="3"/>
        <v>3.4660000000000002</v>
      </c>
      <c r="G9" s="9">
        <f>4.876-H9</f>
        <v>4.45</v>
      </c>
      <c r="H9" s="10">
        <v>0.42599999999999999</v>
      </c>
      <c r="I9" s="161">
        <f t="shared" si="4"/>
        <v>2.0999999999999988</v>
      </c>
      <c r="J9" s="8"/>
      <c r="K9" s="11"/>
      <c r="L9" s="12"/>
      <c r="M9" s="51">
        <f t="shared" si="0"/>
        <v>0.42599999999999999</v>
      </c>
      <c r="N9" s="24">
        <v>0.32300000000000001</v>
      </c>
      <c r="O9" s="47">
        <f t="shared" si="5"/>
        <v>1.5849999999999971</v>
      </c>
      <c r="P9" s="48"/>
      <c r="Q9" s="47">
        <f t="shared" si="1"/>
        <v>290.62000000000023</v>
      </c>
      <c r="R9" s="165">
        <f t="shared" si="6"/>
        <v>22.035999999999998</v>
      </c>
      <c r="S9" s="159">
        <v>258.36600000000004</v>
      </c>
      <c r="T9" s="58">
        <f>489+970000</f>
        <v>970489</v>
      </c>
      <c r="U9" s="58">
        <f>U8+377000</f>
        <v>1790134.7999999998</v>
      </c>
      <c r="V9" s="86">
        <v>0</v>
      </c>
      <c r="W9" s="87"/>
      <c r="X9" s="58"/>
      <c r="Y9" s="58">
        <f>3557695+N49*M49+N50*M50+N51*M51</f>
        <v>3557695</v>
      </c>
      <c r="Z9" s="87">
        <v>1446131.432</v>
      </c>
      <c r="AA9" s="87"/>
      <c r="AB9" s="80">
        <v>0</v>
      </c>
      <c r="AC9" s="58">
        <v>965649.99999999988</v>
      </c>
      <c r="AD9" s="87">
        <v>89545.5</v>
      </c>
      <c r="AE9" s="55"/>
      <c r="AF9" s="14"/>
      <c r="AG9" s="58">
        <v>57820.000000000116</v>
      </c>
      <c r="AH9" s="389" t="s">
        <v>43</v>
      </c>
      <c r="AI9" s="126">
        <v>35.85</v>
      </c>
      <c r="AJ9" s="99" t="s">
        <v>384</v>
      </c>
      <c r="AK9" s="255">
        <v>58186149</v>
      </c>
      <c r="AL9" s="99"/>
      <c r="AM9" s="21"/>
      <c r="AN9" s="21"/>
    </row>
    <row r="10" spans="1:40" s="1" customFormat="1" ht="13.2" customHeight="1" thickBot="1" x14ac:dyDescent="0.35">
      <c r="A10" s="7">
        <v>45175</v>
      </c>
      <c r="B10" s="28">
        <v>17.16</v>
      </c>
      <c r="C10" s="30">
        <v>3.8679999999999999</v>
      </c>
      <c r="D10" s="186">
        <f>'08.2023'!AI35</f>
        <v>30.513000000000002</v>
      </c>
      <c r="E10" s="43">
        <f t="shared" si="2"/>
        <v>296.42000000000019</v>
      </c>
      <c r="F10" s="51">
        <f t="shared" si="3"/>
        <v>3.8679999999999999</v>
      </c>
      <c r="G10" s="30">
        <f>2.788-H10</f>
        <v>2.3699999999999997</v>
      </c>
      <c r="H10" s="10">
        <v>0.41799999999999998</v>
      </c>
      <c r="I10" s="161">
        <f t="shared" si="4"/>
        <v>3.1799999999999984</v>
      </c>
      <c r="J10" s="8"/>
      <c r="K10" s="11"/>
      <c r="L10" s="12"/>
      <c r="M10" s="51">
        <f t="shared" si="0"/>
        <v>0.41799999999999998</v>
      </c>
      <c r="N10" s="24">
        <v>0.57299999999999995</v>
      </c>
      <c r="O10" s="47">
        <f t="shared" si="5"/>
        <v>1.4299999999999971</v>
      </c>
      <c r="P10" s="48"/>
      <c r="Q10" s="47">
        <f t="shared" si="1"/>
        <v>301.0300000000002</v>
      </c>
      <c r="R10" s="165">
        <f t="shared" si="6"/>
        <v>19.948</v>
      </c>
      <c r="S10" s="159">
        <f>AI5+AI6+AI7+AI8+AI9+'08.2023'!AI34</f>
        <v>227.85300000000001</v>
      </c>
      <c r="T10" s="58">
        <v>970489</v>
      </c>
      <c r="U10" s="58">
        <v>1790134.7999999998</v>
      </c>
      <c r="V10" s="86">
        <v>0</v>
      </c>
      <c r="W10" s="87"/>
      <c r="X10" s="58"/>
      <c r="Y10" s="58">
        <v>7676095</v>
      </c>
      <c r="Z10" s="87">
        <v>1446131.432</v>
      </c>
      <c r="AA10" s="87"/>
      <c r="AB10" s="80">
        <v>0</v>
      </c>
      <c r="AC10" s="58">
        <v>965649.99999999988</v>
      </c>
      <c r="AD10" s="87">
        <v>89545.5</v>
      </c>
      <c r="AE10" s="55"/>
      <c r="AF10" s="14"/>
      <c r="AG10" s="58">
        <v>57820.000000000116</v>
      </c>
      <c r="AL10" s="239"/>
      <c r="AM10" s="27"/>
      <c r="AN10" s="27"/>
    </row>
    <row r="11" spans="1:40" ht="13.2" customHeight="1" thickBot="1" x14ac:dyDescent="0.35">
      <c r="A11" s="7">
        <v>45176</v>
      </c>
      <c r="B11" s="28">
        <v>26.44</v>
      </c>
      <c r="C11" s="30">
        <f>1.803</f>
        <v>1.8029999999999999</v>
      </c>
      <c r="D11" s="186"/>
      <c r="E11" s="43">
        <f>E10+D11-B11-C11</f>
        <v>268.17700000000019</v>
      </c>
      <c r="F11" s="51">
        <f t="shared" si="3"/>
        <v>1.8029999999999999</v>
      </c>
      <c r="G11" s="9">
        <f>0.683-H11</f>
        <v>8.0000000000000071E-2</v>
      </c>
      <c r="H11" s="10">
        <v>0.60299999999999998</v>
      </c>
      <c r="I11" s="161">
        <f>I10+F11-G11-H11</f>
        <v>4.2999999999999989</v>
      </c>
      <c r="J11" s="8"/>
      <c r="K11" s="11"/>
      <c r="L11" s="12"/>
      <c r="M11" s="51">
        <f t="shared" si="0"/>
        <v>0.60299999999999998</v>
      </c>
      <c r="N11" s="24">
        <v>0.49399999999999999</v>
      </c>
      <c r="O11" s="47">
        <f t="shared" si="5"/>
        <v>1.5389999999999968</v>
      </c>
      <c r="P11" s="48"/>
      <c r="Q11" s="47">
        <f t="shared" si="1"/>
        <v>274.01600000000019</v>
      </c>
      <c r="R11" s="165">
        <f>B11+G11+H11+J11</f>
        <v>27.123000000000005</v>
      </c>
      <c r="S11" s="160">
        <f>227.853+AI11</f>
        <v>263.274</v>
      </c>
      <c r="T11" s="58">
        <f>128000+970489</f>
        <v>1098489</v>
      </c>
      <c r="U11" s="86">
        <v>1790134.7999999998</v>
      </c>
      <c r="V11" s="212">
        <v>0</v>
      </c>
      <c r="W11" s="87"/>
      <c r="X11" s="79"/>
      <c r="Y11" s="59">
        <f>7676095-AI11*M61</f>
        <v>6847243.5999999996</v>
      </c>
      <c r="Z11" s="87">
        <v>1446131.432</v>
      </c>
      <c r="AA11" s="87"/>
      <c r="AB11" s="80">
        <v>0</v>
      </c>
      <c r="AC11" s="58">
        <v>965649.99999999988</v>
      </c>
      <c r="AD11" s="87">
        <v>89545.5</v>
      </c>
      <c r="AE11" s="55"/>
      <c r="AF11" s="14"/>
      <c r="AG11" s="58">
        <v>57820.000000000116</v>
      </c>
      <c r="AH11" s="419" t="s">
        <v>391</v>
      </c>
      <c r="AI11" s="120">
        <v>35.420999999999999</v>
      </c>
      <c r="AJ11" s="349" t="s">
        <v>390</v>
      </c>
      <c r="AK11" s="91">
        <v>76647973</v>
      </c>
      <c r="AL11" s="21"/>
      <c r="AM11" s="21"/>
      <c r="AN11" s="21"/>
    </row>
    <row r="12" spans="1:40" ht="13.2" customHeight="1" thickBot="1" x14ac:dyDescent="0.35">
      <c r="A12" s="7">
        <v>45177</v>
      </c>
      <c r="B12" s="28">
        <v>14.31</v>
      </c>
      <c r="C12" s="30">
        <v>2.1</v>
      </c>
      <c r="D12" s="186"/>
      <c r="E12" s="43">
        <f>E11+D12-B12-C12</f>
        <v>251.76700000000019</v>
      </c>
      <c r="F12" s="51">
        <f t="shared" si="3"/>
        <v>2.1</v>
      </c>
      <c r="G12" s="30">
        <f>1.8-H12</f>
        <v>1.06</v>
      </c>
      <c r="H12" s="24">
        <v>0.74</v>
      </c>
      <c r="I12" s="161">
        <f t="shared" si="4"/>
        <v>4.5999999999999979</v>
      </c>
      <c r="J12" s="8"/>
      <c r="K12" s="11"/>
      <c r="L12" s="12"/>
      <c r="M12" s="51">
        <f t="shared" si="0"/>
        <v>0.74</v>
      </c>
      <c r="N12" s="24">
        <v>0.372</v>
      </c>
      <c r="O12" s="47">
        <f t="shared" si="5"/>
        <v>1.9069999999999969</v>
      </c>
      <c r="P12" s="48"/>
      <c r="Q12" s="47">
        <f t="shared" si="1"/>
        <v>258.27400000000017</v>
      </c>
      <c r="R12" s="165">
        <f>B12+G12+H12+J12</f>
        <v>16.11</v>
      </c>
      <c r="S12" s="160">
        <v>263.274</v>
      </c>
      <c r="T12" s="86">
        <v>1098489</v>
      </c>
      <c r="U12" s="86">
        <v>1790134.7999999998</v>
      </c>
      <c r="V12" s="212">
        <v>0</v>
      </c>
      <c r="W12" s="87"/>
      <c r="X12" s="79"/>
      <c r="Y12" s="58">
        <v>6847243.5999999996</v>
      </c>
      <c r="Z12" s="107">
        <f>1446131.43-AI12*M74</f>
        <v>407802.16599999997</v>
      </c>
      <c r="AA12" s="86"/>
      <c r="AB12" s="80">
        <v>0</v>
      </c>
      <c r="AC12" s="58">
        <v>965649.99999999988</v>
      </c>
      <c r="AD12" s="87">
        <v>89545.5</v>
      </c>
      <c r="AE12" s="55"/>
      <c r="AF12" s="14"/>
      <c r="AG12" s="58">
        <v>57820.000000000116</v>
      </c>
      <c r="AH12" s="123" t="s">
        <v>49</v>
      </c>
      <c r="AI12" s="122">
        <v>33.677</v>
      </c>
      <c r="AJ12" s="103" t="s">
        <v>393</v>
      </c>
      <c r="AK12" s="91">
        <v>58168816</v>
      </c>
      <c r="AL12" s="21"/>
      <c r="AM12" s="21"/>
      <c r="AN12" s="21"/>
    </row>
    <row r="13" spans="1:40" ht="13.2" customHeight="1" thickBot="1" x14ac:dyDescent="0.35">
      <c r="A13" s="3">
        <v>45178</v>
      </c>
      <c r="B13" s="28">
        <v>22.64</v>
      </c>
      <c r="C13" s="30"/>
      <c r="D13" s="186"/>
      <c r="E13" s="43">
        <f t="shared" si="2"/>
        <v>229.12700000000018</v>
      </c>
      <c r="F13" s="51">
        <f t="shared" si="3"/>
        <v>0</v>
      </c>
      <c r="G13" s="9"/>
      <c r="H13" s="10"/>
      <c r="I13" s="161">
        <f t="shared" si="4"/>
        <v>4.5999999999999979</v>
      </c>
      <c r="J13" s="8"/>
      <c r="K13" s="26"/>
      <c r="L13" s="12"/>
      <c r="M13" s="51">
        <f t="shared" si="0"/>
        <v>0</v>
      </c>
      <c r="N13" s="24"/>
      <c r="O13" s="47">
        <f t="shared" si="5"/>
        <v>1.9069999999999969</v>
      </c>
      <c r="P13" s="48"/>
      <c r="Q13" s="47">
        <f t="shared" si="1"/>
        <v>235.63400000000019</v>
      </c>
      <c r="R13" s="165">
        <f t="shared" si="6"/>
        <v>22.64</v>
      </c>
      <c r="S13" s="160">
        <f>S11+AI12</f>
        <v>296.95100000000002</v>
      </c>
      <c r="T13" s="86">
        <v>1098489</v>
      </c>
      <c r="U13" s="86">
        <v>1790134.7999999998</v>
      </c>
      <c r="V13" s="212">
        <v>0</v>
      </c>
      <c r="W13" s="87"/>
      <c r="X13" s="79"/>
      <c r="Y13" s="58">
        <v>6847243.5999999996</v>
      </c>
      <c r="Z13" s="87">
        <f>Z12</f>
        <v>407802.16599999997</v>
      </c>
      <c r="AA13" s="86"/>
      <c r="AB13" s="80"/>
      <c r="AC13" s="58">
        <v>965649.99999999988</v>
      </c>
      <c r="AD13" s="87">
        <v>89545.5</v>
      </c>
      <c r="AE13" s="55" t="e">
        <f>D12*#REF!</f>
        <v>#REF!</v>
      </c>
      <c r="AF13" s="14"/>
      <c r="AG13" s="58">
        <v>57820.000000000116</v>
      </c>
      <c r="AH13" s="389"/>
      <c r="AI13" s="126"/>
      <c r="AJ13" s="99"/>
      <c r="AK13" s="91"/>
      <c r="AL13" s="135"/>
      <c r="AM13" s="21"/>
      <c r="AN13" s="21"/>
    </row>
    <row r="14" spans="1:40" ht="13.2" customHeight="1" thickBot="1" x14ac:dyDescent="0.35">
      <c r="A14" s="3">
        <v>45179</v>
      </c>
      <c r="B14" s="28">
        <v>15.39</v>
      </c>
      <c r="C14" s="30"/>
      <c r="D14" s="186"/>
      <c r="E14" s="43">
        <f t="shared" si="2"/>
        <v>213.73700000000019</v>
      </c>
      <c r="F14" s="51">
        <f t="shared" si="3"/>
        <v>0</v>
      </c>
      <c r="G14" s="30"/>
      <c r="H14" s="24"/>
      <c r="I14" s="161">
        <f t="shared" si="4"/>
        <v>4.5999999999999979</v>
      </c>
      <c r="J14" s="8"/>
      <c r="K14" s="11"/>
      <c r="L14" s="12"/>
      <c r="M14" s="51">
        <f t="shared" si="0"/>
        <v>0</v>
      </c>
      <c r="N14" s="24"/>
      <c r="O14" s="47">
        <f t="shared" si="5"/>
        <v>1.9069999999999969</v>
      </c>
      <c r="P14" s="48"/>
      <c r="Q14" s="47">
        <f t="shared" si="1"/>
        <v>220.2440000000002</v>
      </c>
      <c r="R14" s="165">
        <f t="shared" si="6"/>
        <v>15.39</v>
      </c>
      <c r="S14" s="160">
        <v>296.95100000000002</v>
      </c>
      <c r="T14" s="58">
        <v>1098489</v>
      </c>
      <c r="U14" s="86">
        <v>1790134.7999999998</v>
      </c>
      <c r="V14" s="212">
        <v>0</v>
      </c>
      <c r="W14" s="388"/>
      <c r="X14" s="79"/>
      <c r="Y14" s="58">
        <v>6847243.5999999996</v>
      </c>
      <c r="Z14" s="87">
        <v>407802.16599999997</v>
      </c>
      <c r="AA14" s="86"/>
      <c r="AB14" s="80"/>
      <c r="AC14" s="58">
        <v>965649.99999999988</v>
      </c>
      <c r="AD14" s="87">
        <v>89545.5</v>
      </c>
      <c r="AE14" s="55" t="e">
        <f>481844-19.55*#REF!</f>
        <v>#REF!</v>
      </c>
      <c r="AF14" s="14"/>
      <c r="AG14" s="58">
        <v>57820.000000000116</v>
      </c>
      <c r="AH14" s="389"/>
      <c r="AI14" s="126"/>
      <c r="AJ14" s="99"/>
      <c r="AK14" s="91"/>
      <c r="AL14" s="239"/>
      <c r="AM14" s="21"/>
      <c r="AN14" s="21"/>
    </row>
    <row r="15" spans="1:40" ht="13.2" customHeight="1" thickBot="1" x14ac:dyDescent="0.35">
      <c r="A15" s="7">
        <v>45180</v>
      </c>
      <c r="B15" s="28">
        <v>50.91</v>
      </c>
      <c r="C15" s="30">
        <v>2.6909999999999998</v>
      </c>
      <c r="D15" s="186"/>
      <c r="E15" s="43">
        <f t="shared" si="2"/>
        <v>160.13600000000019</v>
      </c>
      <c r="F15" s="51">
        <f t="shared" si="3"/>
        <v>2.6909999999999998</v>
      </c>
      <c r="G15" s="9">
        <f>2.901-H15</f>
        <v>2.25</v>
      </c>
      <c r="H15" s="10">
        <v>0.65100000000000002</v>
      </c>
      <c r="I15" s="161">
        <f t="shared" si="4"/>
        <v>4.3899999999999979</v>
      </c>
      <c r="J15" s="8"/>
      <c r="K15" s="11"/>
      <c r="L15" s="12"/>
      <c r="M15" s="51">
        <f>H15</f>
        <v>0.65100000000000002</v>
      </c>
      <c r="N15" s="24">
        <v>0.69699999999999995</v>
      </c>
      <c r="O15" s="47">
        <f t="shared" si="5"/>
        <v>1.8609999999999971</v>
      </c>
      <c r="P15" s="48"/>
      <c r="Q15" s="47">
        <f t="shared" si="1"/>
        <v>166.38700000000017</v>
      </c>
      <c r="R15" s="165">
        <f t="shared" si="6"/>
        <v>53.811</v>
      </c>
      <c r="S15" s="160">
        <v>296.95100000000002</v>
      </c>
      <c r="T15" s="86">
        <f>1098489+66000</f>
        <v>1164489</v>
      </c>
      <c r="U15" s="86">
        <f>1790134.8+247000</f>
        <v>2037134.8</v>
      </c>
      <c r="V15" s="80">
        <v>0</v>
      </c>
      <c r="W15" s="388"/>
      <c r="X15" s="79"/>
      <c r="Y15" s="58">
        <v>6847243.5999999996</v>
      </c>
      <c r="Z15" s="87">
        <v>407802.16599999997</v>
      </c>
      <c r="AA15" s="86"/>
      <c r="AB15" s="80"/>
      <c r="AC15" s="58">
        <v>965649.99999999988</v>
      </c>
      <c r="AD15" s="87">
        <v>89545.5</v>
      </c>
      <c r="AE15" s="271"/>
      <c r="AF15" s="14"/>
      <c r="AG15" s="58">
        <v>57820.000000000116</v>
      </c>
      <c r="AH15" s="128" t="s">
        <v>48</v>
      </c>
      <c r="AI15" s="453">
        <f>34.124+30.049</f>
        <v>64.173000000000002</v>
      </c>
      <c r="AJ15" s="452" t="s">
        <v>396</v>
      </c>
      <c r="AK15" s="457" t="s">
        <v>401</v>
      </c>
      <c r="AL15" s="239"/>
      <c r="AM15" s="21"/>
      <c r="AN15" s="21"/>
    </row>
    <row r="16" spans="1:40" ht="13.2" customHeight="1" thickBot="1" x14ac:dyDescent="0.35">
      <c r="A16" s="7">
        <v>45181</v>
      </c>
      <c r="B16" s="28">
        <v>44.83</v>
      </c>
      <c r="C16" s="30">
        <v>1.911</v>
      </c>
      <c r="D16" s="186">
        <f>AI7+'08.2023'!AI34+'09.2023'!AI8+'09.2023'!AI9+AI5+AI6</f>
        <v>227.85300000000001</v>
      </c>
      <c r="E16" s="43">
        <f t="shared" si="2"/>
        <v>341.24800000000022</v>
      </c>
      <c r="F16" s="51">
        <f t="shared" si="3"/>
        <v>1.911</v>
      </c>
      <c r="G16" s="9">
        <f>2.521-H16</f>
        <v>2.04</v>
      </c>
      <c r="H16" s="10">
        <v>0.48099999999999998</v>
      </c>
      <c r="I16" s="161">
        <f t="shared" si="4"/>
        <v>3.7799999999999985</v>
      </c>
      <c r="J16" s="8"/>
      <c r="K16" s="11"/>
      <c r="L16" s="12"/>
      <c r="M16" s="51">
        <f t="shared" si="0"/>
        <v>0.48099999999999998</v>
      </c>
      <c r="N16" s="24">
        <v>0.435</v>
      </c>
      <c r="O16" s="47">
        <f t="shared" si="5"/>
        <v>1.9069999999999969</v>
      </c>
      <c r="P16" s="48"/>
      <c r="Q16" s="47">
        <f t="shared" si="1"/>
        <v>346.93500000000017</v>
      </c>
      <c r="R16" s="165">
        <f t="shared" si="6"/>
        <v>47.350999999999999</v>
      </c>
      <c r="S16" s="160">
        <f>AI11+AI12+AI15</f>
        <v>133.27100000000002</v>
      </c>
      <c r="T16" s="86">
        <v>1164489</v>
      </c>
      <c r="U16" s="407">
        <f>2037134.8-AI15*M75</f>
        <v>58552.86400000006</v>
      </c>
      <c r="V16" s="80">
        <v>0</v>
      </c>
      <c r="W16" s="388"/>
      <c r="X16" s="85"/>
      <c r="Y16" s="58">
        <v>6847243.5999999996</v>
      </c>
      <c r="Z16" s="87">
        <v>407802.16599999997</v>
      </c>
      <c r="AA16" s="86"/>
      <c r="AB16" s="80"/>
      <c r="AC16" s="58">
        <v>965649.99999999988</v>
      </c>
      <c r="AD16" s="87">
        <v>89545.5</v>
      </c>
      <c r="AE16" s="55"/>
      <c r="AF16" s="14"/>
      <c r="AG16" s="58">
        <v>57820.000000000116</v>
      </c>
      <c r="AH16" s="389" t="s">
        <v>43</v>
      </c>
      <c r="AI16" s="126">
        <v>33.15</v>
      </c>
      <c r="AJ16" s="103" t="s">
        <v>400</v>
      </c>
      <c r="AK16" s="91">
        <v>50893171</v>
      </c>
      <c r="AL16" s="239"/>
      <c r="AM16" s="21"/>
      <c r="AN16" s="21"/>
    </row>
    <row r="17" spans="1:40" s="1" customFormat="1" ht="13.2" customHeight="1" thickBot="1" x14ac:dyDescent="0.35">
      <c r="A17" s="7">
        <v>45182</v>
      </c>
      <c r="B17" s="28">
        <v>35.99</v>
      </c>
      <c r="C17" s="30">
        <v>1.98</v>
      </c>
      <c r="D17" s="186">
        <f>AI11</f>
        <v>35.420999999999999</v>
      </c>
      <c r="E17" s="43">
        <f t="shared" si="2"/>
        <v>338.69900000000018</v>
      </c>
      <c r="F17" s="51">
        <f t="shared" si="3"/>
        <v>1.98</v>
      </c>
      <c r="G17" s="9">
        <f>2.04</f>
        <v>2.04</v>
      </c>
      <c r="H17" s="10"/>
      <c r="I17" s="161">
        <f t="shared" si="4"/>
        <v>3.719999999999998</v>
      </c>
      <c r="J17" s="4"/>
      <c r="K17" s="5"/>
      <c r="L17" s="6"/>
      <c r="M17" s="51">
        <f t="shared" si="0"/>
        <v>0</v>
      </c>
      <c r="N17" s="24">
        <v>0.376</v>
      </c>
      <c r="O17" s="47">
        <f t="shared" si="5"/>
        <v>1.530999999999997</v>
      </c>
      <c r="P17" s="49"/>
      <c r="Q17" s="47">
        <f t="shared" si="1"/>
        <v>343.95000000000016</v>
      </c>
      <c r="R17" s="165">
        <f t="shared" si="6"/>
        <v>38.03</v>
      </c>
      <c r="S17" s="160">
        <f>AI12+AI15+AI16</f>
        <v>131</v>
      </c>
      <c r="T17" s="88">
        <f>1164489-AI16*M46+1150000</f>
        <v>1224715.9000000001</v>
      </c>
      <c r="U17" s="86">
        <f>960000+58552.864</f>
        <v>1018552.8640000001</v>
      </c>
      <c r="V17" s="80">
        <v>0</v>
      </c>
      <c r="W17" s="87"/>
      <c r="X17" s="79"/>
      <c r="Y17" s="58">
        <f>6847243.6+N52*M52</f>
        <v>6847243.5999999996</v>
      </c>
      <c r="Z17" s="87">
        <f>703000+407802.166</f>
        <v>1110802.166</v>
      </c>
      <c r="AA17" s="86"/>
      <c r="AB17" s="80"/>
      <c r="AC17" s="58">
        <v>965649.99999999988</v>
      </c>
      <c r="AD17" s="87">
        <v>0</v>
      </c>
      <c r="AE17" s="55"/>
      <c r="AF17" s="14"/>
      <c r="AG17" s="58">
        <v>57820.000000000116</v>
      </c>
      <c r="AH17" s="128"/>
      <c r="AI17" s="120"/>
      <c r="AJ17" s="103"/>
      <c r="AK17" s="91"/>
      <c r="AL17" s="130"/>
      <c r="AM17" s="99"/>
      <c r="AN17" s="27"/>
    </row>
    <row r="18" spans="1:40" ht="13.2" customHeight="1" thickBot="1" x14ac:dyDescent="0.35">
      <c r="A18" s="7">
        <v>45183</v>
      </c>
      <c r="B18" s="28">
        <v>39.43</v>
      </c>
      <c r="C18" s="30">
        <v>2.6139999999999999</v>
      </c>
      <c r="D18" s="186"/>
      <c r="E18" s="43">
        <f t="shared" si="2"/>
        <v>296.6550000000002</v>
      </c>
      <c r="F18" s="51">
        <f t="shared" si="3"/>
        <v>2.6139999999999999</v>
      </c>
      <c r="G18" s="9">
        <f>2.614-H18</f>
        <v>1.9699999999999998</v>
      </c>
      <c r="H18" s="10">
        <v>0.64400000000000002</v>
      </c>
      <c r="I18" s="161">
        <f t="shared" si="4"/>
        <v>3.719999999999998</v>
      </c>
      <c r="J18" s="8"/>
      <c r="K18" s="11"/>
      <c r="L18" s="12"/>
      <c r="M18" s="51">
        <f t="shared" si="0"/>
        <v>0.64400000000000002</v>
      </c>
      <c r="N18" s="24">
        <v>0.57299999999999995</v>
      </c>
      <c r="O18" s="47">
        <f t="shared" si="5"/>
        <v>1.6019999999999972</v>
      </c>
      <c r="P18" s="48"/>
      <c r="Q18" s="47">
        <f t="shared" si="1"/>
        <v>301.97700000000015</v>
      </c>
      <c r="R18" s="165">
        <f t="shared" si="6"/>
        <v>42.043999999999997</v>
      </c>
      <c r="S18" s="160">
        <v>131</v>
      </c>
      <c r="T18" s="86">
        <v>1224715.9000000001</v>
      </c>
      <c r="U18" s="86">
        <v>1018552.8640000001</v>
      </c>
      <c r="V18" s="80">
        <v>0</v>
      </c>
      <c r="W18" s="388"/>
      <c r="X18" s="79"/>
      <c r="Y18" s="58">
        <v>7934443.5999999996</v>
      </c>
      <c r="Z18" s="87">
        <v>1110802.166</v>
      </c>
      <c r="AA18" s="86"/>
      <c r="AB18" s="80"/>
      <c r="AC18" s="58">
        <v>965649.99999999988</v>
      </c>
      <c r="AD18" s="87">
        <v>0</v>
      </c>
      <c r="AE18" s="55"/>
      <c r="AF18" s="14"/>
      <c r="AG18" s="58">
        <v>57820.000000000116</v>
      </c>
      <c r="AH18" s="123"/>
      <c r="AI18" s="122"/>
      <c r="AJ18" s="103"/>
      <c r="AK18" s="91"/>
      <c r="AL18" s="239"/>
      <c r="AM18" s="21"/>
      <c r="AN18" s="21"/>
    </row>
    <row r="19" spans="1:40" ht="13.2" customHeight="1" thickBot="1" x14ac:dyDescent="0.35">
      <c r="A19" s="7">
        <v>45184</v>
      </c>
      <c r="B19" s="28">
        <v>64.39</v>
      </c>
      <c r="C19" s="30">
        <v>1.931</v>
      </c>
      <c r="D19" s="186"/>
      <c r="E19" s="43">
        <f t="shared" si="2"/>
        <v>230.3340000000002</v>
      </c>
      <c r="F19" s="51">
        <f t="shared" si="3"/>
        <v>1.931</v>
      </c>
      <c r="G19" s="9">
        <f>1.781-H19</f>
        <v>1.1119999999999999</v>
      </c>
      <c r="H19" s="10">
        <v>0.66900000000000004</v>
      </c>
      <c r="I19" s="161">
        <f t="shared" si="4"/>
        <v>3.8699999999999979</v>
      </c>
      <c r="J19" s="8"/>
      <c r="K19" s="11"/>
      <c r="L19" s="12"/>
      <c r="M19" s="51">
        <f t="shared" si="0"/>
        <v>0.66900000000000004</v>
      </c>
      <c r="N19" s="24">
        <v>0.77300000000000002</v>
      </c>
      <c r="O19" s="47">
        <f t="shared" si="5"/>
        <v>1.4979999999999971</v>
      </c>
      <c r="P19" s="48"/>
      <c r="Q19" s="47">
        <f t="shared" si="1"/>
        <v>235.7020000000002</v>
      </c>
      <c r="R19" s="165">
        <f t="shared" si="6"/>
        <v>66.170999999999992</v>
      </c>
      <c r="S19" s="160">
        <v>131</v>
      </c>
      <c r="T19" s="86">
        <v>1224715.9000000001</v>
      </c>
      <c r="U19" s="86">
        <v>1018552.8640000001</v>
      </c>
      <c r="V19" s="288">
        <v>0</v>
      </c>
      <c r="W19" s="388"/>
      <c r="X19" s="79"/>
      <c r="Y19" s="58">
        <v>7934443.5999999996</v>
      </c>
      <c r="Z19" s="87">
        <v>1110802.166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256" t="s">
        <v>385</v>
      </c>
      <c r="AI19" s="121">
        <v>32.262</v>
      </c>
      <c r="AJ19" s="414" t="s">
        <v>402</v>
      </c>
      <c r="AK19" s="91">
        <v>50818632</v>
      </c>
      <c r="AL19" s="239"/>
      <c r="AM19" s="21"/>
      <c r="AN19" s="21"/>
    </row>
    <row r="20" spans="1:40" ht="13.2" customHeight="1" thickBot="1" x14ac:dyDescent="0.35">
      <c r="A20" s="3">
        <v>45185</v>
      </c>
      <c r="B20" s="28">
        <v>38.909999999999997</v>
      </c>
      <c r="C20" s="30"/>
      <c r="D20" s="390"/>
      <c r="E20" s="43">
        <f t="shared" si="2"/>
        <v>191.42400000000021</v>
      </c>
      <c r="F20" s="51">
        <f t="shared" si="3"/>
        <v>0</v>
      </c>
      <c r="G20" s="9"/>
      <c r="H20" s="10"/>
      <c r="I20" s="161">
        <f t="shared" si="4"/>
        <v>3.8699999999999979</v>
      </c>
      <c r="J20" s="8"/>
      <c r="K20" s="11"/>
      <c r="L20" s="12"/>
      <c r="M20" s="51">
        <f t="shared" si="0"/>
        <v>0</v>
      </c>
      <c r="N20" s="24"/>
      <c r="O20" s="47">
        <f t="shared" si="5"/>
        <v>1.4979999999999971</v>
      </c>
      <c r="P20" s="48"/>
      <c r="Q20" s="47">
        <f t="shared" si="1"/>
        <v>196.7920000000002</v>
      </c>
      <c r="R20" s="165">
        <f t="shared" si="6"/>
        <v>38.909999999999997</v>
      </c>
      <c r="S20" s="160">
        <v>131</v>
      </c>
      <c r="T20" s="86">
        <v>1224715.9000000001</v>
      </c>
      <c r="U20" s="86">
        <v>1018552.8640000001</v>
      </c>
      <c r="V20" s="288">
        <v>0</v>
      </c>
      <c r="W20" s="388"/>
      <c r="X20" s="79"/>
      <c r="Y20" s="58">
        <v>7934443.5999999996</v>
      </c>
      <c r="Z20" s="87">
        <v>1110802.166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28" t="s">
        <v>48</v>
      </c>
      <c r="AI20" s="120">
        <v>31.001999999999999</v>
      </c>
      <c r="AJ20" s="414" t="s">
        <v>403</v>
      </c>
      <c r="AK20" s="91">
        <v>50864933</v>
      </c>
      <c r="AL20" s="21"/>
      <c r="AM20" s="21"/>
      <c r="AN20" s="21"/>
    </row>
    <row r="21" spans="1:40" ht="13.2" customHeight="1" thickBot="1" x14ac:dyDescent="0.35">
      <c r="A21" s="3">
        <v>45186</v>
      </c>
      <c r="B21" s="28">
        <v>32.020000000000003</v>
      </c>
      <c r="C21" s="28"/>
      <c r="D21" s="186"/>
      <c r="E21" s="43">
        <f t="shared" si="2"/>
        <v>159.4040000000002</v>
      </c>
      <c r="F21" s="51">
        <f t="shared" si="3"/>
        <v>0</v>
      </c>
      <c r="G21" s="9"/>
      <c r="H21" s="10"/>
      <c r="I21" s="161">
        <f t="shared" si="4"/>
        <v>3.8699999999999979</v>
      </c>
      <c r="J21" s="8"/>
      <c r="K21" s="11"/>
      <c r="L21" s="12"/>
      <c r="M21" s="51">
        <f t="shared" si="0"/>
        <v>0</v>
      </c>
      <c r="N21" s="24"/>
      <c r="O21" s="47">
        <f t="shared" si="5"/>
        <v>1.4979999999999971</v>
      </c>
      <c r="P21" s="48"/>
      <c r="Q21" s="47">
        <f t="shared" si="1"/>
        <v>164.77200000000019</v>
      </c>
      <c r="R21" s="165">
        <f t="shared" si="6"/>
        <v>32.020000000000003</v>
      </c>
      <c r="S21" s="160">
        <v>131</v>
      </c>
      <c r="T21" s="86">
        <v>1224715.9000000001</v>
      </c>
      <c r="U21" s="82">
        <v>1018552.8640000001</v>
      </c>
      <c r="V21" s="288">
        <v>0</v>
      </c>
      <c r="W21" s="388"/>
      <c r="X21" s="79"/>
      <c r="Y21" s="58">
        <v>7934443.5999999996</v>
      </c>
      <c r="Z21" s="87">
        <v>1110802.166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384" t="s">
        <v>323</v>
      </c>
      <c r="AI21" s="122">
        <v>32.21</v>
      </c>
      <c r="AJ21" s="414" t="s">
        <v>404</v>
      </c>
      <c r="AK21" s="91">
        <v>58158619</v>
      </c>
      <c r="AL21" s="21"/>
      <c r="AM21" s="21"/>
      <c r="AN21" s="21"/>
    </row>
    <row r="22" spans="1:40" ht="13.2" customHeight="1" thickBot="1" x14ac:dyDescent="0.35">
      <c r="A22" s="7">
        <v>45187</v>
      </c>
      <c r="B22" s="28">
        <v>63.7</v>
      </c>
      <c r="C22" s="146">
        <v>1.827</v>
      </c>
      <c r="D22" s="186">
        <f>AI12</f>
        <v>33.677</v>
      </c>
      <c r="E22" s="43">
        <f t="shared" si="2"/>
        <v>127.5540000000002</v>
      </c>
      <c r="F22" s="51">
        <f t="shared" si="3"/>
        <v>1.827</v>
      </c>
      <c r="G22" s="9">
        <f>0.967-H22</f>
        <v>0.48199999999999998</v>
      </c>
      <c r="H22" s="10">
        <v>0.48499999999999999</v>
      </c>
      <c r="I22" s="161">
        <f t="shared" si="4"/>
        <v>4.7299999999999969</v>
      </c>
      <c r="J22" s="8"/>
      <c r="K22" s="11"/>
      <c r="L22" s="12"/>
      <c r="M22" s="51">
        <f t="shared" si="0"/>
        <v>0.48499999999999999</v>
      </c>
      <c r="N22" s="24">
        <v>0.63800000000000001</v>
      </c>
      <c r="O22" s="47">
        <f t="shared" si="5"/>
        <v>1.3449999999999971</v>
      </c>
      <c r="P22" s="48"/>
      <c r="Q22" s="47">
        <f t="shared" si="1"/>
        <v>133.62900000000019</v>
      </c>
      <c r="R22" s="165">
        <f t="shared" si="6"/>
        <v>64.667000000000002</v>
      </c>
      <c r="S22" s="160">
        <f>AI15+AI16+AI19+AI20+AI21+AI22</f>
        <v>228.90300000000002</v>
      </c>
      <c r="T22" s="86">
        <v>1224715.9000000001</v>
      </c>
      <c r="U22" s="407">
        <f>1018552.86-AI20*M75</f>
        <v>62699.195999999996</v>
      </c>
      <c r="V22" s="426">
        <v>0</v>
      </c>
      <c r="W22" s="388"/>
      <c r="X22" s="79"/>
      <c r="Y22" s="59">
        <f>7934443.6-(AI21+AI22)*M62</f>
        <v>6349512.3999999994</v>
      </c>
      <c r="Z22" s="87">
        <v>1110802.166</v>
      </c>
      <c r="AA22" s="287"/>
      <c r="AB22" s="428"/>
      <c r="AC22" s="59">
        <f>965650-AI19*M68</f>
        <v>159100</v>
      </c>
      <c r="AD22" s="427">
        <v>0</v>
      </c>
      <c r="AE22" s="55"/>
      <c r="AF22" s="14"/>
      <c r="AG22" s="58">
        <v>57820.000000000116</v>
      </c>
      <c r="AH22" s="384" t="s">
        <v>323</v>
      </c>
      <c r="AI22" s="448">
        <v>36.106000000000002</v>
      </c>
      <c r="AJ22" s="103" t="s">
        <v>405</v>
      </c>
      <c r="AK22" s="457">
        <v>58172123</v>
      </c>
      <c r="AL22" s="21"/>
      <c r="AM22" s="21"/>
      <c r="AN22" s="21"/>
    </row>
    <row r="23" spans="1:40" ht="13.2" customHeight="1" thickBot="1" x14ac:dyDescent="0.35">
      <c r="A23" s="7">
        <v>45188</v>
      </c>
      <c r="B23" s="28">
        <v>31.62</v>
      </c>
      <c r="C23" s="30">
        <v>2.4620000000000002</v>
      </c>
      <c r="D23" s="186">
        <f>AI16</f>
        <v>33.15</v>
      </c>
      <c r="E23" s="43">
        <f t="shared" si="2"/>
        <v>126.6220000000002</v>
      </c>
      <c r="F23" s="51">
        <f t="shared" si="3"/>
        <v>2.4620000000000002</v>
      </c>
      <c r="G23" s="9">
        <f>3.872-H23</f>
        <v>3.28</v>
      </c>
      <c r="H23" s="10">
        <v>0.59199999999999997</v>
      </c>
      <c r="I23" s="161">
        <f t="shared" si="4"/>
        <v>3.3199999999999967</v>
      </c>
      <c r="J23" s="8"/>
      <c r="K23" s="11"/>
      <c r="L23" s="12"/>
      <c r="M23" s="51">
        <f t="shared" si="0"/>
        <v>0.59199999999999997</v>
      </c>
      <c r="N23" s="24">
        <v>0.20699999999999999</v>
      </c>
      <c r="O23" s="47">
        <f t="shared" si="5"/>
        <v>1.7299999999999971</v>
      </c>
      <c r="P23" s="48"/>
      <c r="Q23" s="47">
        <f t="shared" si="1"/>
        <v>131.6720000000002</v>
      </c>
      <c r="R23" s="165">
        <f t="shared" si="6"/>
        <v>35.491999999999997</v>
      </c>
      <c r="S23" s="160">
        <f>AI15+AI19+AI20+AI21+AI22+AI23</f>
        <v>228.053</v>
      </c>
      <c r="T23" s="88">
        <f>1224715.9-AI23*M46</f>
        <v>162885.69999999995</v>
      </c>
      <c r="U23" s="82">
        <v>62699.195999999996</v>
      </c>
      <c r="V23" s="86">
        <v>0</v>
      </c>
      <c r="W23" s="388"/>
      <c r="X23" s="79">
        <v>1785000</v>
      </c>
      <c r="Y23" s="58">
        <f>Y22</f>
        <v>6349512.3999999994</v>
      </c>
      <c r="Z23" s="87">
        <v>1110802.166</v>
      </c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389" t="s">
        <v>43</v>
      </c>
      <c r="AI23" s="126">
        <v>32.299999999999997</v>
      </c>
      <c r="AJ23" s="414" t="s">
        <v>407</v>
      </c>
      <c r="AK23" s="21">
        <v>5825757</v>
      </c>
      <c r="AL23" s="91"/>
      <c r="AM23" s="21"/>
      <c r="AN23" s="21"/>
    </row>
    <row r="24" spans="1:40" ht="13.2" customHeight="1" thickBot="1" x14ac:dyDescent="0.35">
      <c r="A24" s="7">
        <v>45189</v>
      </c>
      <c r="B24" s="28">
        <v>53.53</v>
      </c>
      <c r="C24" s="30">
        <v>1.7</v>
      </c>
      <c r="D24" s="186">
        <f>20.76+20.88</f>
        <v>41.64</v>
      </c>
      <c r="E24" s="43">
        <f t="shared" si="2"/>
        <v>113.0320000000002</v>
      </c>
      <c r="F24" s="51">
        <f t="shared" si="3"/>
        <v>1.7</v>
      </c>
      <c r="G24" s="9">
        <f>0.63</f>
        <v>0.63</v>
      </c>
      <c r="H24" s="10"/>
      <c r="I24" s="161">
        <f t="shared" si="4"/>
        <v>4.389999999999997</v>
      </c>
      <c r="J24" s="8"/>
      <c r="K24" s="11"/>
      <c r="L24" s="12"/>
      <c r="M24" s="51">
        <f t="shared" si="0"/>
        <v>0</v>
      </c>
      <c r="N24" s="24">
        <v>0</v>
      </c>
      <c r="O24" s="47">
        <f t="shared" si="5"/>
        <v>1.7299999999999971</v>
      </c>
      <c r="P24" s="48"/>
      <c r="Q24" s="47">
        <f t="shared" si="1"/>
        <v>119.1520000000002</v>
      </c>
      <c r="R24" s="165">
        <f t="shared" si="6"/>
        <v>54.160000000000004</v>
      </c>
      <c r="S24" s="160">
        <f>AI15+AI19+AI20+AI21+AI22+AI23+AI24</f>
        <v>263.97300000000001</v>
      </c>
      <c r="T24" s="86">
        <v>162885.69999999995</v>
      </c>
      <c r="U24" s="82">
        <v>62699.195999999996</v>
      </c>
      <c r="V24" s="86">
        <v>0</v>
      </c>
      <c r="W24" s="388">
        <f>60*M71</f>
        <v>2010000</v>
      </c>
      <c r="X24" s="430">
        <f>1785000-D24*M70</f>
        <v>15300</v>
      </c>
      <c r="Y24" s="59">
        <f>6349512.4-AI24*M48</f>
        <v>5343752.4000000004</v>
      </c>
      <c r="Z24" s="87">
        <v>1110802.166</v>
      </c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384" t="s">
        <v>323</v>
      </c>
      <c r="AI24" s="122">
        <v>35.92</v>
      </c>
      <c r="AJ24" s="414" t="s">
        <v>409</v>
      </c>
      <c r="AK24" s="91">
        <v>77289791</v>
      </c>
      <c r="AL24" s="21"/>
      <c r="AM24" s="21"/>
      <c r="AN24" s="21"/>
    </row>
    <row r="25" spans="1:40" ht="13.2" customHeight="1" thickBot="1" x14ac:dyDescent="0.35">
      <c r="A25" s="7">
        <v>45190</v>
      </c>
      <c r="B25" s="28">
        <v>43.77</v>
      </c>
      <c r="C25" s="30">
        <v>0.88200000000000001</v>
      </c>
      <c r="D25" s="186">
        <f>20.36+20.48+23.01+19.52</f>
        <v>83.37</v>
      </c>
      <c r="E25" s="43">
        <f t="shared" si="2"/>
        <v>151.7500000000002</v>
      </c>
      <c r="F25" s="51">
        <f t="shared" si="3"/>
        <v>0.88200000000000001</v>
      </c>
      <c r="G25" s="219">
        <f>0.372-H25</f>
        <v>0</v>
      </c>
      <c r="H25" s="10">
        <v>0.372</v>
      </c>
      <c r="I25" s="161">
        <f t="shared" si="4"/>
        <v>4.8999999999999968</v>
      </c>
      <c r="J25" s="8"/>
      <c r="K25" s="11"/>
      <c r="L25" s="12"/>
      <c r="M25" s="51">
        <f t="shared" si="0"/>
        <v>0.372</v>
      </c>
      <c r="N25" s="24">
        <v>0.54400000000000004</v>
      </c>
      <c r="O25" s="47">
        <f t="shared" si="5"/>
        <v>1.5579999999999972</v>
      </c>
      <c r="P25" s="48"/>
      <c r="Q25" s="47">
        <f t="shared" si="1"/>
        <v>158.2080000000002</v>
      </c>
      <c r="R25" s="165">
        <f t="shared" si="6"/>
        <v>44.142000000000003</v>
      </c>
      <c r="S25" s="160">
        <v>263.97300000000001</v>
      </c>
      <c r="T25" s="212">
        <v>162885.69999999995</v>
      </c>
      <c r="U25" s="82">
        <v>62699.195999999996</v>
      </c>
      <c r="V25" s="86"/>
      <c r="W25" s="430">
        <f>W24-(20.36+20.48+23.01)*M71</f>
        <v>-128975.00000000047</v>
      </c>
      <c r="X25" s="94">
        <f>X24+126*M70</f>
        <v>5370300</v>
      </c>
      <c r="Y25" s="58">
        <f>Y24+M59*N59+M60*N60</f>
        <v>5343752.4000000004</v>
      </c>
      <c r="Z25" s="87">
        <v>1110802.17</v>
      </c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384" t="s">
        <v>323</v>
      </c>
      <c r="AI25" s="121">
        <v>69.819999999999993</v>
      </c>
      <c r="AJ25" s="103" t="s">
        <v>426</v>
      </c>
      <c r="AK25" s="91">
        <v>76665306</v>
      </c>
      <c r="AL25" s="447" t="s">
        <v>431</v>
      </c>
      <c r="AM25" s="21"/>
      <c r="AN25" s="21"/>
    </row>
    <row r="26" spans="1:40" ht="12" customHeight="1" thickBot="1" x14ac:dyDescent="0.35">
      <c r="A26" s="7">
        <v>45191</v>
      </c>
      <c r="B26" s="28">
        <v>58.16</v>
      </c>
      <c r="C26" s="30">
        <v>3.0110000000000001</v>
      </c>
      <c r="D26" s="186">
        <f>21.12+21.61+21.15</f>
        <v>63.88</v>
      </c>
      <c r="E26" s="43">
        <f>E25+D26-B26-C26</f>
        <v>154.4590000000002</v>
      </c>
      <c r="F26" s="51">
        <f t="shared" si="3"/>
        <v>3.0110000000000001</v>
      </c>
      <c r="G26" s="9">
        <f>3.411-H26</f>
        <v>2.8</v>
      </c>
      <c r="H26" s="10">
        <v>0.61099999999999999</v>
      </c>
      <c r="I26" s="161">
        <f t="shared" si="4"/>
        <v>4.4999999999999973</v>
      </c>
      <c r="J26" s="8"/>
      <c r="K26" s="11"/>
      <c r="L26" s="12"/>
      <c r="M26" s="51">
        <f t="shared" si="0"/>
        <v>0.61099999999999999</v>
      </c>
      <c r="N26" s="24">
        <v>0.57099999999999995</v>
      </c>
      <c r="O26" s="47">
        <f t="shared" si="5"/>
        <v>1.597999999999997</v>
      </c>
      <c r="P26" s="48"/>
      <c r="Q26" s="47">
        <f t="shared" si="1"/>
        <v>160.55700000000019</v>
      </c>
      <c r="R26" s="165">
        <f t="shared" si="6"/>
        <v>61.570999999999991</v>
      </c>
      <c r="S26" s="160">
        <f>AI15+AI19+AI20+AI21+AI22+AI23+AI24+AI25+AI26</f>
        <v>367.69200000000001</v>
      </c>
      <c r="T26" s="212">
        <f>T25</f>
        <v>162885.69999999995</v>
      </c>
      <c r="U26" s="82">
        <f>U25+2093000</f>
        <v>2155699.196</v>
      </c>
      <c r="V26" s="86"/>
      <c r="W26" s="388">
        <f>W25</f>
        <v>-128975.00000000047</v>
      </c>
      <c r="X26" s="437">
        <f>X25-D26*M70</f>
        <v>2655400</v>
      </c>
      <c r="Y26" s="59">
        <f>M58*68+Y25+M57*34-33.06*29000-36.76*28400</f>
        <v>6579528.4000000004</v>
      </c>
      <c r="Z26" s="107">
        <f>Z25+1411000-AI26*M74</f>
        <v>1476628.202</v>
      </c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 t="s">
        <v>49</v>
      </c>
      <c r="AI26" s="448">
        <v>33.899000000000001</v>
      </c>
      <c r="AJ26" s="208" t="s">
        <v>427</v>
      </c>
      <c r="AK26" s="91">
        <v>58226663</v>
      </c>
      <c r="AL26" s="21"/>
      <c r="AM26" s="21"/>
      <c r="AN26" s="21"/>
    </row>
    <row r="27" spans="1:40" ht="13.2" customHeight="1" thickBot="1" x14ac:dyDescent="0.35">
      <c r="A27" s="3">
        <v>45192</v>
      </c>
      <c r="B27" s="28">
        <v>46.81</v>
      </c>
      <c r="C27" s="28"/>
      <c r="D27" s="186">
        <f>20.97+20.48+20</f>
        <v>61.45</v>
      </c>
      <c r="E27" s="43">
        <f>E26+D27-B27-C27</f>
        <v>169.09900000000022</v>
      </c>
      <c r="F27" s="51">
        <f t="shared" si="3"/>
        <v>0</v>
      </c>
      <c r="G27" s="9"/>
      <c r="H27" s="10"/>
      <c r="I27" s="161">
        <f t="shared" si="4"/>
        <v>4.4999999999999973</v>
      </c>
      <c r="J27" s="8"/>
      <c r="K27" s="11"/>
      <c r="L27" s="12"/>
      <c r="M27" s="51">
        <f t="shared" si="0"/>
        <v>0</v>
      </c>
      <c r="N27" s="24"/>
      <c r="O27" s="47">
        <f t="shared" si="5"/>
        <v>1.597999999999997</v>
      </c>
      <c r="P27" s="48"/>
      <c r="Q27" s="47">
        <f t="shared" si="1"/>
        <v>175.1970000000002</v>
      </c>
      <c r="R27" s="165">
        <f t="shared" si="6"/>
        <v>46.81</v>
      </c>
      <c r="S27" s="160">
        <v>367.69200000000001</v>
      </c>
      <c r="T27" s="212">
        <v>162885.69999999995</v>
      </c>
      <c r="U27" s="82">
        <v>2155699.196</v>
      </c>
      <c r="V27" s="87"/>
      <c r="W27" s="388">
        <v>-128975.00000000047</v>
      </c>
      <c r="X27" s="94">
        <v>2655400</v>
      </c>
      <c r="Y27" s="58">
        <v>10016928.4</v>
      </c>
      <c r="Z27" s="87">
        <v>1476628.202</v>
      </c>
      <c r="AA27" s="86"/>
      <c r="AB27" s="80"/>
      <c r="AC27" s="58">
        <v>0</v>
      </c>
      <c r="AD27" s="87"/>
      <c r="AE27" s="55"/>
      <c r="AF27" s="14"/>
      <c r="AG27" s="58"/>
      <c r="AH27" s="384" t="s">
        <v>323</v>
      </c>
      <c r="AI27" s="448">
        <v>75.56</v>
      </c>
      <c r="AJ27" s="451" t="s">
        <v>432</v>
      </c>
      <c r="AK27" s="91" t="s">
        <v>445</v>
      </c>
      <c r="AL27" s="21"/>
      <c r="AM27" s="21"/>
      <c r="AN27" s="21"/>
    </row>
    <row r="28" spans="1:40" ht="13.2" customHeight="1" outlineLevel="1" thickBot="1" x14ac:dyDescent="0.35">
      <c r="A28" s="3">
        <v>45193</v>
      </c>
      <c r="B28" s="28"/>
      <c r="C28" s="30"/>
      <c r="D28" s="186"/>
      <c r="E28" s="43">
        <f t="shared" si="2"/>
        <v>169.09900000000022</v>
      </c>
      <c r="F28" s="51">
        <f t="shared" si="3"/>
        <v>0</v>
      </c>
      <c r="G28" s="9"/>
      <c r="H28" s="10"/>
      <c r="I28" s="161">
        <f t="shared" si="4"/>
        <v>4.4999999999999973</v>
      </c>
      <c r="J28" s="8"/>
      <c r="K28" s="11"/>
      <c r="L28" s="12"/>
      <c r="M28" s="51">
        <f t="shared" si="0"/>
        <v>0</v>
      </c>
      <c r="N28" s="24"/>
      <c r="O28" s="47">
        <f t="shared" si="5"/>
        <v>1.597999999999997</v>
      </c>
      <c r="P28" s="48"/>
      <c r="Q28" s="47">
        <f t="shared" si="1"/>
        <v>175.1970000000002</v>
      </c>
      <c r="R28" s="165">
        <f t="shared" si="6"/>
        <v>0</v>
      </c>
      <c r="S28" s="160">
        <v>367.69200000000001</v>
      </c>
      <c r="T28" s="212">
        <v>162885.69999999995</v>
      </c>
      <c r="U28" s="82">
        <v>2155699.196</v>
      </c>
      <c r="V28" s="86"/>
      <c r="W28" s="388">
        <v>-128975.00000000047</v>
      </c>
      <c r="X28" s="437">
        <f>X27-D27*M70</f>
        <v>43775</v>
      </c>
      <c r="Y28" s="58">
        <v>10016928.4</v>
      </c>
      <c r="Z28" s="87">
        <v>1476628.202</v>
      </c>
      <c r="AA28" s="86"/>
      <c r="AB28" s="80"/>
      <c r="AC28" s="58">
        <v>0</v>
      </c>
      <c r="AD28" s="87"/>
      <c r="AE28" s="55"/>
      <c r="AF28" s="93"/>
      <c r="AG28" s="58"/>
      <c r="AH28" s="384"/>
      <c r="AI28" s="385"/>
      <c r="AJ28" s="356"/>
      <c r="AK28" s="91" t="s">
        <v>449</v>
      </c>
      <c r="AL28" s="21"/>
      <c r="AM28" s="21"/>
      <c r="AN28" s="21"/>
    </row>
    <row r="29" spans="1:40" ht="13.2" customHeight="1" outlineLevel="1" thickBot="1" x14ac:dyDescent="0.35">
      <c r="A29" s="7">
        <v>45194</v>
      </c>
      <c r="B29" s="28">
        <v>52.3</v>
      </c>
      <c r="C29" s="30">
        <v>7.05</v>
      </c>
      <c r="D29" s="186">
        <f>AI23+AI24+AI19+AI20+AI21</f>
        <v>163.69400000000002</v>
      </c>
      <c r="E29" s="43">
        <f t="shared" si="2"/>
        <v>273.44300000000021</v>
      </c>
      <c r="F29" s="51">
        <f t="shared" si="3"/>
        <v>7.05</v>
      </c>
      <c r="G29" s="9">
        <f>7.45-H29</f>
        <v>7.45</v>
      </c>
      <c r="H29" s="10"/>
      <c r="I29" s="161">
        <f t="shared" si="4"/>
        <v>4.099999999999997</v>
      </c>
      <c r="J29" s="8"/>
      <c r="K29" s="11"/>
      <c r="L29" s="12"/>
      <c r="M29" s="51">
        <f t="shared" si="0"/>
        <v>0</v>
      </c>
      <c r="N29" s="24">
        <v>0.504</v>
      </c>
      <c r="O29" s="47">
        <f t="shared" si="5"/>
        <v>1.093999999999997</v>
      </c>
      <c r="P29" s="48"/>
      <c r="Q29" s="47">
        <f t="shared" si="1"/>
        <v>278.63700000000023</v>
      </c>
      <c r="R29" s="165">
        <f t="shared" si="6"/>
        <v>59.75</v>
      </c>
      <c r="S29" s="160">
        <f>AI15+AI22+AI25+AI26+AI27</f>
        <v>279.55799999999999</v>
      </c>
      <c r="T29" s="86">
        <v>162885.69999999995</v>
      </c>
      <c r="U29" s="86">
        <v>2155699.196</v>
      </c>
      <c r="V29" s="294"/>
      <c r="W29" s="66">
        <v>0</v>
      </c>
      <c r="X29" s="94">
        <v>43775</v>
      </c>
      <c r="Y29" s="59">
        <f>10016928.4-AI27*M50</f>
        <v>7863468.4000000004</v>
      </c>
      <c r="Z29" s="86">
        <v>1476628.202</v>
      </c>
      <c r="AA29" s="86"/>
      <c r="AB29" s="129"/>
      <c r="AC29" s="58">
        <v>0</v>
      </c>
      <c r="AD29" s="87"/>
      <c r="AE29" s="56"/>
      <c r="AF29" s="14"/>
      <c r="AG29" s="58"/>
      <c r="AH29" s="384"/>
      <c r="AI29" s="385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45195</v>
      </c>
      <c r="B30" s="28">
        <f>53.9-2.91</f>
        <v>50.989999999999995</v>
      </c>
      <c r="C30" s="146">
        <v>2.1589999999999998</v>
      </c>
      <c r="D30" s="186">
        <f>AI25</f>
        <v>69.819999999999993</v>
      </c>
      <c r="E30" s="43">
        <f t="shared" si="2"/>
        <v>290.1140000000002</v>
      </c>
      <c r="F30" s="51">
        <f t="shared" si="3"/>
        <v>2.1589999999999998</v>
      </c>
      <c r="G30" s="30">
        <f>2.859-H30</f>
        <v>2.1539999999999999</v>
      </c>
      <c r="H30" s="24">
        <v>0.70499999999999996</v>
      </c>
      <c r="I30" s="161">
        <f t="shared" si="4"/>
        <v>3.3999999999999968</v>
      </c>
      <c r="J30" s="28"/>
      <c r="K30" s="26"/>
      <c r="L30" s="53"/>
      <c r="M30" s="51">
        <f t="shared" si="0"/>
        <v>0.70499999999999996</v>
      </c>
      <c r="N30" s="24">
        <v>0.49099999999999999</v>
      </c>
      <c r="O30" s="47">
        <f t="shared" si="5"/>
        <v>1.3079999999999967</v>
      </c>
      <c r="P30" s="54"/>
      <c r="Q30" s="47">
        <f t="shared" si="1"/>
        <v>294.82200000000017</v>
      </c>
      <c r="R30" s="165">
        <f t="shared" si="6"/>
        <v>53.84899999999999</v>
      </c>
      <c r="S30" s="160">
        <f>AI15+AI22+AI26+AI27+AI30</f>
        <v>246.47800000000001</v>
      </c>
      <c r="T30" s="86">
        <f>162885.7+2204000</f>
        <v>2366885.7000000002</v>
      </c>
      <c r="U30" s="86">
        <v>2155699.196</v>
      </c>
      <c r="V30" s="87"/>
      <c r="W30" s="153">
        <v>0</v>
      </c>
      <c r="X30" s="94">
        <v>43775</v>
      </c>
      <c r="Y30" s="59">
        <f>Y29+M56*34-AI30*M52</f>
        <v>7745020.4000000004</v>
      </c>
      <c r="Z30" s="86">
        <v>1476628.202</v>
      </c>
      <c r="AA30" s="86"/>
      <c r="AB30" s="129"/>
      <c r="AC30" s="58">
        <v>0</v>
      </c>
      <c r="AD30" s="87"/>
      <c r="AE30" s="191"/>
      <c r="AF30" s="14"/>
      <c r="AG30" s="58"/>
      <c r="AH30" s="384" t="s">
        <v>323</v>
      </c>
      <c r="AI30" s="448">
        <v>36.74</v>
      </c>
      <c r="AJ30" s="450" t="s">
        <v>434</v>
      </c>
      <c r="AK30" s="457">
        <v>54617493</v>
      </c>
    </row>
    <row r="31" spans="1:40" s="21" customFormat="1" ht="13.2" customHeight="1" outlineLevel="1" thickBot="1" x14ac:dyDescent="0.35">
      <c r="A31" s="7">
        <v>45196</v>
      </c>
      <c r="B31" s="28">
        <v>29.83</v>
      </c>
      <c r="C31" s="30">
        <v>2.8109999999999999</v>
      </c>
      <c r="D31" s="186"/>
      <c r="E31" s="43">
        <f t="shared" si="2"/>
        <v>257.47300000000024</v>
      </c>
      <c r="F31" s="51">
        <f t="shared" si="3"/>
        <v>2.8109999999999999</v>
      </c>
      <c r="G31" s="68">
        <f>1.171-H31</f>
        <v>0.48799999999999999</v>
      </c>
      <c r="H31" s="69">
        <v>0.68300000000000005</v>
      </c>
      <c r="I31" s="161">
        <f t="shared" si="4"/>
        <v>5.0399999999999974</v>
      </c>
      <c r="J31" s="67"/>
      <c r="K31" s="70"/>
      <c r="L31" s="71"/>
      <c r="M31" s="51">
        <f t="shared" si="0"/>
        <v>0.68300000000000005</v>
      </c>
      <c r="N31" s="24">
        <v>0.71099999999999997</v>
      </c>
      <c r="O31" s="47">
        <f t="shared" si="5"/>
        <v>1.2799999999999967</v>
      </c>
      <c r="P31" s="72"/>
      <c r="Q31" s="47">
        <f t="shared" si="1"/>
        <v>263.79300000000023</v>
      </c>
      <c r="R31" s="165">
        <f t="shared" si="6"/>
        <v>31.000999999999998</v>
      </c>
      <c r="S31" s="160">
        <v>246.47800000000001</v>
      </c>
      <c r="T31" s="86">
        <v>2366885.7000000002</v>
      </c>
      <c r="U31" s="86">
        <v>2155699.2000000002</v>
      </c>
      <c r="V31" s="87"/>
      <c r="W31" s="153">
        <v>0</v>
      </c>
      <c r="X31" s="94">
        <v>43775</v>
      </c>
      <c r="Y31" s="58">
        <v>7745020.4000000004</v>
      </c>
      <c r="Z31" s="86">
        <v>1476628.2</v>
      </c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7">
        <v>45197</v>
      </c>
      <c r="B32" s="28">
        <f>53.35-3.14</f>
        <v>50.21</v>
      </c>
      <c r="C32" s="30">
        <v>2.7010000000000001</v>
      </c>
      <c r="D32" s="186"/>
      <c r="E32" s="43">
        <f t="shared" si="2"/>
        <v>204.56200000000024</v>
      </c>
      <c r="F32" s="51">
        <f t="shared" si="3"/>
        <v>2.7010000000000001</v>
      </c>
      <c r="G32" s="62">
        <f>2.991-H32</f>
        <v>2.41</v>
      </c>
      <c r="H32" s="62">
        <v>0.58099999999999996</v>
      </c>
      <c r="I32" s="161">
        <f t="shared" si="4"/>
        <v>4.7499999999999982</v>
      </c>
      <c r="J32" s="62"/>
      <c r="K32" s="64"/>
      <c r="L32" s="13"/>
      <c r="M32" s="51">
        <f t="shared" si="0"/>
        <v>0.58099999999999996</v>
      </c>
      <c r="N32" s="24">
        <v>0.80500000000000005</v>
      </c>
      <c r="O32" s="47">
        <f t="shared" si="5"/>
        <v>1.0559999999999965</v>
      </c>
      <c r="P32" s="65"/>
      <c r="Q32" s="47">
        <f t="shared" si="1"/>
        <v>210.36800000000022</v>
      </c>
      <c r="R32" s="165">
        <f t="shared" si="6"/>
        <v>53.201000000000008</v>
      </c>
      <c r="S32" s="160">
        <v>246.47800000000001</v>
      </c>
      <c r="T32" s="86">
        <v>2366885.7000000002</v>
      </c>
      <c r="U32" s="86">
        <v>2155699.2000000002</v>
      </c>
      <c r="V32" s="87"/>
      <c r="W32" s="153">
        <v>0</v>
      </c>
      <c r="X32" s="94">
        <v>0</v>
      </c>
      <c r="Y32" s="58">
        <f>7745020.4+72*M55</f>
        <v>9897820.4000000004</v>
      </c>
      <c r="Z32" s="86">
        <v>1476628.2</v>
      </c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</row>
    <row r="33" spans="1:38" ht="13.2" customHeight="1" outlineLevel="1" thickBot="1" x14ac:dyDescent="0.35">
      <c r="A33" s="7">
        <v>45198</v>
      </c>
      <c r="B33" s="28">
        <v>69.81</v>
      </c>
      <c r="C33" s="9">
        <v>1.38</v>
      </c>
      <c r="D33" s="186"/>
      <c r="E33" s="43">
        <f t="shared" si="2"/>
        <v>133.37200000000024</v>
      </c>
      <c r="F33" s="51">
        <f t="shared" si="3"/>
        <v>1.38</v>
      </c>
      <c r="G33" s="62">
        <f>1.27-H33</f>
        <v>1.27</v>
      </c>
      <c r="H33" s="62"/>
      <c r="I33" s="161">
        <f t="shared" si="4"/>
        <v>4.8599999999999977</v>
      </c>
      <c r="J33" s="62"/>
      <c r="K33" s="64"/>
      <c r="L33" s="13"/>
      <c r="M33" s="51">
        <f t="shared" si="0"/>
        <v>0</v>
      </c>
      <c r="N33" s="24">
        <v>0.30599999999999999</v>
      </c>
      <c r="O33" s="47">
        <f t="shared" si="5"/>
        <v>0.74999999999999645</v>
      </c>
      <c r="P33" s="65"/>
      <c r="Q33" s="47">
        <f t="shared" si="1"/>
        <v>138.98200000000023</v>
      </c>
      <c r="R33" s="165">
        <f>B33+G33+H33+J33</f>
        <v>71.08</v>
      </c>
      <c r="S33" s="160">
        <f>AI15+AI27+AI30+AI22+AI26</f>
        <v>246.47800000000001</v>
      </c>
      <c r="T33" s="86">
        <v>2366885.7000000002</v>
      </c>
      <c r="U33" s="86">
        <v>2155699.2000000002</v>
      </c>
      <c r="V33" s="87"/>
      <c r="W33" s="153">
        <v>0</v>
      </c>
      <c r="X33" s="94">
        <v>0</v>
      </c>
      <c r="Y33" s="58">
        <f>9897820.4+144*M54</f>
        <v>14347420.4</v>
      </c>
      <c r="Z33" s="86">
        <v>1476628.2</v>
      </c>
      <c r="AA33" s="86"/>
      <c r="AB33" s="80"/>
      <c r="AC33" s="58"/>
      <c r="AD33" s="87"/>
      <c r="AE33" s="57"/>
      <c r="AF33" s="131"/>
      <c r="AG33" s="58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3">
        <v>45199</v>
      </c>
      <c r="B34" s="28">
        <f>45.63+1.77</f>
        <v>47.400000000000006</v>
      </c>
      <c r="C34" s="30"/>
      <c r="D34" s="186"/>
      <c r="E34" s="43">
        <f t="shared" si="2"/>
        <v>85.972000000000236</v>
      </c>
      <c r="F34" s="51">
        <f t="shared" si="3"/>
        <v>0</v>
      </c>
      <c r="G34" s="62"/>
      <c r="H34" s="62"/>
      <c r="I34" s="161">
        <f t="shared" si="4"/>
        <v>4.8599999999999977</v>
      </c>
      <c r="J34" s="44"/>
      <c r="K34" s="44"/>
      <c r="L34" s="44"/>
      <c r="M34" s="63">
        <f t="shared" si="0"/>
        <v>0</v>
      </c>
      <c r="N34" s="24"/>
      <c r="O34" s="47">
        <f t="shared" si="5"/>
        <v>0.74999999999999645</v>
      </c>
      <c r="P34" s="65">
        <v>0</v>
      </c>
      <c r="Q34" s="47">
        <f t="shared" si="1"/>
        <v>91.582000000000235</v>
      </c>
      <c r="R34" s="165">
        <f t="shared" si="6"/>
        <v>47.400000000000006</v>
      </c>
      <c r="S34" s="160">
        <f>S30+AI34+AI35+AI36+AI37</f>
        <v>384.87799999999999</v>
      </c>
      <c r="T34" s="86">
        <v>2366885.7000000002</v>
      </c>
      <c r="U34" s="86">
        <v>2155699.2000000002</v>
      </c>
      <c r="V34" s="87"/>
      <c r="W34" s="153">
        <v>0</v>
      </c>
      <c r="X34" s="94">
        <v>0</v>
      </c>
      <c r="Y34" s="295">
        <f>14347420.4+108*M53-AI36*M57-AI37*M59-(AI34+AI35)*M60</f>
        <v>13085450.399999999</v>
      </c>
      <c r="Z34" s="86">
        <v>1476628.2</v>
      </c>
      <c r="AA34" s="86"/>
      <c r="AB34" s="129"/>
      <c r="AC34" s="58"/>
      <c r="AD34" s="87"/>
      <c r="AE34" s="57"/>
      <c r="AF34" s="87"/>
      <c r="AG34" s="58"/>
      <c r="AH34" s="384" t="s">
        <v>323</v>
      </c>
      <c r="AI34" s="121">
        <v>37.200000000000003</v>
      </c>
      <c r="AJ34" s="208">
        <v>75670257</v>
      </c>
      <c r="AK34" s="2">
        <v>77351492</v>
      </c>
      <c r="AL34" s="21"/>
    </row>
    <row r="35" spans="1:38" ht="15" outlineLevel="1" thickBot="1" x14ac:dyDescent="0.35">
      <c r="A35" s="7"/>
      <c r="B35" s="108"/>
      <c r="C35" s="19"/>
      <c r="D35" s="92"/>
      <c r="E35" s="73">
        <f>E34+D35-B35-C35</f>
        <v>85.972000000000236</v>
      </c>
      <c r="F35" s="100">
        <f t="shared" si="3"/>
        <v>0</v>
      </c>
      <c r="G35" s="108"/>
      <c r="H35" s="108"/>
      <c r="I35" s="161">
        <f>I34+F35-G35-H35</f>
        <v>4.8599999999999977</v>
      </c>
      <c r="J35" s="18"/>
      <c r="K35" s="74"/>
      <c r="L35" s="75"/>
      <c r="M35" s="109">
        <f t="shared" si="0"/>
        <v>0</v>
      </c>
      <c r="N35" s="24"/>
      <c r="O35" s="50">
        <f>O34+M35-N35</f>
        <v>0.74999999999999645</v>
      </c>
      <c r="P35" s="76"/>
      <c r="Q35" s="50">
        <f t="shared" si="1"/>
        <v>91.582000000000235</v>
      </c>
      <c r="R35" s="166">
        <f t="shared" si="6"/>
        <v>0</v>
      </c>
      <c r="S35" s="160"/>
      <c r="T35" s="86"/>
      <c r="U35" s="86"/>
      <c r="V35" s="87"/>
      <c r="W35" s="153"/>
      <c r="X35" s="94"/>
      <c r="Y35" s="58"/>
      <c r="Z35" s="86"/>
      <c r="AA35" s="86"/>
      <c r="AB35" s="129"/>
      <c r="AC35" s="58"/>
      <c r="AD35" s="87"/>
      <c r="AE35" s="57"/>
      <c r="AF35" s="87"/>
      <c r="AG35" s="58"/>
      <c r="AH35" s="384" t="s">
        <v>323</v>
      </c>
      <c r="AI35" s="121">
        <v>33.299999999999997</v>
      </c>
      <c r="AJ35" s="208">
        <v>75670258</v>
      </c>
      <c r="AK35" s="2">
        <v>50887231</v>
      </c>
      <c r="AL35" s="21"/>
    </row>
    <row r="36" spans="1:38" ht="15" thickBot="1" x14ac:dyDescent="0.35">
      <c r="A36" s="36" t="s">
        <v>12</v>
      </c>
      <c r="B36" s="37">
        <f>SUM(B5:B35)</f>
        <v>1131.3700000000001</v>
      </c>
      <c r="C36" s="37">
        <f>SUM(C5:C35)</f>
        <v>56.657000000000011</v>
      </c>
      <c r="D36" s="37">
        <f>SUM(D5:D35)</f>
        <v>983.84799999999996</v>
      </c>
      <c r="E36" s="115">
        <f>INDEX(E5:E35,COUNTA(E5:E35))-15.54-12.74</f>
        <v>57.692000000000242</v>
      </c>
      <c r="F36" s="37">
        <f>SUM(F5:F35)</f>
        <v>56.657000000000011</v>
      </c>
      <c r="G36" s="37">
        <f>SUM(G5:G35)</f>
        <v>46.730999999999987</v>
      </c>
      <c r="H36" s="37">
        <f>SUM(H5:H35)</f>
        <v>9.2659999999999982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9.2659999999999982</v>
      </c>
      <c r="N36" s="37">
        <f>SUM(N5:N35)</f>
        <v>10.114999999999997</v>
      </c>
      <c r="O36" s="41"/>
      <c r="P36" s="40">
        <f>B36+G36+H36+J36</f>
        <v>1187.3670000000002</v>
      </c>
      <c r="Q36" s="41"/>
      <c r="R36" s="167">
        <f>SUM(R5:R35)</f>
        <v>1187.367</v>
      </c>
      <c r="S36" s="114">
        <f>INDEX(S5:S35,COUNTA(S5:S35))</f>
        <v>384.87799999999999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 t="s">
        <v>323</v>
      </c>
      <c r="AI36" s="121">
        <v>33.700000000000003</v>
      </c>
      <c r="AJ36" s="208">
        <v>75670259</v>
      </c>
      <c r="AK36" s="229">
        <v>76608769</v>
      </c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H37" s="384" t="s">
        <v>323</v>
      </c>
      <c r="AI37" s="121">
        <v>34.200000000000003</v>
      </c>
      <c r="AJ37" s="208">
        <v>75670260</v>
      </c>
      <c r="AK37" s="229">
        <v>57816373</v>
      </c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57.692000000000242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384.87799999999999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N76</f>
        <v>616.97647434236819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1059.5464743423684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x14ac:dyDescent="0.3">
      <c r="E43" s="691" t="s">
        <v>18</v>
      </c>
      <c r="F43" s="692"/>
      <c r="G43" s="693"/>
      <c r="H43" s="552" t="s">
        <v>358</v>
      </c>
      <c r="I43" s="694"/>
      <c r="M43" s="240">
        <v>23874</v>
      </c>
      <c r="N43" s="342"/>
      <c r="O43" s="702" t="s">
        <v>201</v>
      </c>
      <c r="Q43" s="307" t="s">
        <v>303</v>
      </c>
      <c r="R43" s="355" t="s">
        <v>305</v>
      </c>
      <c r="T43" s="174"/>
      <c r="U43" s="174"/>
      <c r="V43" s="175"/>
      <c r="W43" s="175"/>
      <c r="X43" s="176"/>
      <c r="Y43" s="176"/>
      <c r="Z43" s="175"/>
      <c r="AA43" s="151"/>
      <c r="AB43" s="151"/>
      <c r="AC43" s="151"/>
      <c r="AD43" s="152"/>
      <c r="AI43" s="123"/>
      <c r="AJ43" s="103"/>
      <c r="AK43" s="103"/>
      <c r="AL43" s="91"/>
    </row>
    <row r="44" spans="1:38" s="315" customFormat="1" x14ac:dyDescent="0.3">
      <c r="C44" s="338"/>
      <c r="D44" s="98"/>
      <c r="E44" s="691" t="s">
        <v>18</v>
      </c>
      <c r="F44" s="692"/>
      <c r="G44" s="693"/>
      <c r="H44" s="552" t="s">
        <v>348</v>
      </c>
      <c r="I44" s="694"/>
      <c r="J44" s="124"/>
      <c r="K44" s="395"/>
      <c r="L44" s="145"/>
      <c r="M44" s="240">
        <v>27678</v>
      </c>
      <c r="N44" s="342"/>
      <c r="O44" s="702"/>
      <c r="P44" s="138"/>
      <c r="S44" s="355" t="s">
        <v>304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8" s="315" customFormat="1" x14ac:dyDescent="0.3">
      <c r="C45" s="338"/>
      <c r="D45" s="98"/>
      <c r="E45" s="691" t="s">
        <v>18</v>
      </c>
      <c r="F45" s="692"/>
      <c r="G45" s="693"/>
      <c r="H45" s="650" t="s">
        <v>394</v>
      </c>
      <c r="I45" s="651"/>
      <c r="J45" s="124"/>
      <c r="K45" s="395"/>
      <c r="L45" s="145"/>
      <c r="M45" s="240">
        <v>31374</v>
      </c>
      <c r="N45" s="342"/>
      <c r="O45" s="399" t="s">
        <v>351</v>
      </c>
      <c r="P45" s="138"/>
      <c r="Q45" s="307" t="s">
        <v>352</v>
      </c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8" s="315" customFormat="1" x14ac:dyDescent="0.3">
      <c r="C46" s="338"/>
      <c r="D46" s="98"/>
      <c r="E46" s="691" t="s">
        <v>18</v>
      </c>
      <c r="F46" s="692"/>
      <c r="G46" s="693"/>
      <c r="H46" s="650" t="s">
        <v>395</v>
      </c>
      <c r="I46" s="651"/>
      <c r="J46" s="124"/>
      <c r="K46" s="420"/>
      <c r="L46" s="145"/>
      <c r="M46" s="240">
        <v>32874</v>
      </c>
      <c r="N46" s="342"/>
      <c r="O46" s="421"/>
      <c r="P46" s="138"/>
      <c r="Q46" s="307"/>
      <c r="R46" s="307" t="s">
        <v>353</v>
      </c>
      <c r="S46" s="307" t="s">
        <v>354</v>
      </c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8" s="315" customFormat="1" x14ac:dyDescent="0.3">
      <c r="C47" s="338"/>
      <c r="D47" s="98"/>
      <c r="E47" s="672" t="s">
        <v>18</v>
      </c>
      <c r="F47" s="673"/>
      <c r="G47" s="674"/>
      <c r="H47" s="677" t="s">
        <v>415</v>
      </c>
      <c r="I47" s="644"/>
      <c r="J47" s="124"/>
      <c r="K47" s="432"/>
      <c r="L47" s="145"/>
      <c r="M47" s="284">
        <v>29670</v>
      </c>
      <c r="N47" s="342">
        <f>T30/M47</f>
        <v>79.77370070778565</v>
      </c>
      <c r="O47" s="433"/>
      <c r="P47" s="138"/>
      <c r="Q47" s="343" t="s">
        <v>416</v>
      </c>
      <c r="R47" s="343" t="s">
        <v>417</v>
      </c>
      <c r="S47" s="307"/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8" s="315" customFormat="1" x14ac:dyDescent="0.3">
      <c r="C48" s="338"/>
      <c r="D48" s="98"/>
      <c r="E48" s="688" t="s">
        <v>323</v>
      </c>
      <c r="F48" s="689"/>
      <c r="G48" s="690"/>
      <c r="H48" s="697" t="s">
        <v>378</v>
      </c>
      <c r="I48" s="698"/>
      <c r="J48" s="124"/>
      <c r="K48" s="405"/>
      <c r="L48" s="145"/>
      <c r="M48" s="240">
        <v>28000</v>
      </c>
      <c r="N48" s="342"/>
      <c r="O48" s="379"/>
      <c r="P48" s="138"/>
      <c r="Q48" s="406" t="s">
        <v>335</v>
      </c>
      <c r="R48" s="343"/>
      <c r="S48" s="343"/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x14ac:dyDescent="0.3">
      <c r="C49" s="338"/>
      <c r="D49" s="98"/>
      <c r="E49" s="688" t="s">
        <v>429</v>
      </c>
      <c r="F49" s="689"/>
      <c r="G49" s="690"/>
      <c r="H49" s="697" t="s">
        <v>388</v>
      </c>
      <c r="I49" s="698"/>
      <c r="J49" s="124"/>
      <c r="K49" s="409"/>
      <c r="L49" s="145"/>
      <c r="M49" s="240">
        <v>28400</v>
      </c>
      <c r="N49" s="342"/>
      <c r="O49" s="410"/>
      <c r="P49" s="138"/>
      <c r="Q49" s="406" t="s">
        <v>335</v>
      </c>
      <c r="R49" s="343"/>
      <c r="S49" s="343"/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x14ac:dyDescent="0.3">
      <c r="C50" s="338"/>
      <c r="D50" s="98"/>
      <c r="E50" s="688" t="s">
        <v>323</v>
      </c>
      <c r="F50" s="689"/>
      <c r="G50" s="690"/>
      <c r="H50" s="697" t="s">
        <v>387</v>
      </c>
      <c r="I50" s="698"/>
      <c r="J50" s="124"/>
      <c r="K50" s="411"/>
      <c r="L50" s="145"/>
      <c r="M50" s="240">
        <v>28500</v>
      </c>
      <c r="N50" s="378"/>
      <c r="O50" s="412"/>
      <c r="P50" s="138"/>
      <c r="Q50" s="406" t="s">
        <v>335</v>
      </c>
      <c r="R50" s="343"/>
      <c r="S50" s="343"/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x14ac:dyDescent="0.3">
      <c r="C51" s="338"/>
      <c r="D51" s="98"/>
      <c r="E51" s="688" t="s">
        <v>430</v>
      </c>
      <c r="F51" s="689"/>
      <c r="G51" s="690"/>
      <c r="H51" s="697" t="s">
        <v>389</v>
      </c>
      <c r="I51" s="698"/>
      <c r="J51" s="124"/>
      <c r="K51" s="411"/>
      <c r="L51" s="145"/>
      <c r="M51" s="240">
        <v>29000</v>
      </c>
      <c r="N51" s="342"/>
      <c r="O51" s="412"/>
      <c r="P51" s="138"/>
      <c r="Q51" s="406" t="s">
        <v>335</v>
      </c>
      <c r="R51" s="343"/>
      <c r="S51" s="343"/>
      <c r="T51" s="343"/>
      <c r="U51" s="319"/>
      <c r="V51" s="320"/>
      <c r="W51" s="321"/>
      <c r="X51" s="322"/>
      <c r="Y51" s="322"/>
      <c r="Z51" s="323"/>
      <c r="AA51" s="324"/>
      <c r="AB51" s="324"/>
      <c r="AC51" s="324"/>
      <c r="AD51" s="324"/>
      <c r="AG51" s="325"/>
      <c r="AH51" s="326"/>
      <c r="AI51" s="325"/>
      <c r="AJ51" s="325"/>
      <c r="AK51" s="325"/>
      <c r="AL51" s="324"/>
    </row>
    <row r="52" spans="3:38" s="315" customFormat="1" x14ac:dyDescent="0.3">
      <c r="C52" s="338"/>
      <c r="D52" s="98"/>
      <c r="E52" s="688" t="s">
        <v>323</v>
      </c>
      <c r="F52" s="689"/>
      <c r="G52" s="690"/>
      <c r="H52" s="697" t="s">
        <v>399</v>
      </c>
      <c r="I52" s="698"/>
      <c r="J52" s="124"/>
      <c r="K52" s="422"/>
      <c r="L52" s="145"/>
      <c r="M52" s="240">
        <v>30200</v>
      </c>
      <c r="N52" s="378"/>
      <c r="O52" s="423"/>
      <c r="P52" s="138"/>
      <c r="Q52" s="406" t="s">
        <v>335</v>
      </c>
      <c r="R52" s="343"/>
      <c r="S52" s="343"/>
      <c r="T52" s="343"/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G52" s="325"/>
      <c r="AH52" s="326"/>
      <c r="AI52" s="325"/>
      <c r="AJ52" s="325"/>
      <c r="AK52" s="325"/>
      <c r="AL52" s="324"/>
    </row>
    <row r="53" spans="3:38" s="315" customFormat="1" x14ac:dyDescent="0.3">
      <c r="C53" s="338"/>
      <c r="D53" s="98"/>
      <c r="E53" s="688" t="s">
        <v>323</v>
      </c>
      <c r="F53" s="689"/>
      <c r="G53" s="690"/>
      <c r="H53" s="697" t="s">
        <v>442</v>
      </c>
      <c r="I53" s="698"/>
      <c r="J53" s="124"/>
      <c r="K53" s="454"/>
      <c r="L53" s="145"/>
      <c r="M53" s="240">
        <v>31400</v>
      </c>
      <c r="N53" s="342">
        <v>108</v>
      </c>
      <c r="O53" s="423"/>
      <c r="P53" s="138"/>
      <c r="Q53" s="406" t="s">
        <v>439</v>
      </c>
      <c r="R53" s="343"/>
      <c r="S53" s="343"/>
      <c r="T53" s="343"/>
      <c r="U53" s="319"/>
      <c r="V53" s="320"/>
      <c r="W53" s="321"/>
      <c r="X53" s="322"/>
      <c r="Y53" s="322"/>
      <c r="Z53" s="323"/>
      <c r="AA53" s="324"/>
      <c r="AB53" s="324"/>
      <c r="AC53" s="324"/>
      <c r="AD53" s="324"/>
      <c r="AG53" s="325"/>
      <c r="AH53" s="326"/>
      <c r="AI53" s="325"/>
      <c r="AJ53" s="325"/>
      <c r="AK53" s="325"/>
      <c r="AL53" s="324"/>
    </row>
    <row r="54" spans="3:38" s="315" customFormat="1" x14ac:dyDescent="0.3">
      <c r="C54" s="338"/>
      <c r="D54" s="98"/>
      <c r="E54" s="688" t="s">
        <v>323</v>
      </c>
      <c r="F54" s="689"/>
      <c r="G54" s="690"/>
      <c r="H54" s="697" t="s">
        <v>441</v>
      </c>
      <c r="I54" s="698"/>
      <c r="J54" s="124"/>
      <c r="K54" s="449"/>
      <c r="L54" s="145"/>
      <c r="M54" s="240">
        <v>30900</v>
      </c>
      <c r="N54" s="342">
        <v>144</v>
      </c>
      <c r="O54" s="423"/>
      <c r="P54" s="138"/>
      <c r="Q54" s="406" t="s">
        <v>440</v>
      </c>
      <c r="R54" s="343"/>
      <c r="S54" s="343"/>
      <c r="T54" s="343"/>
      <c r="U54" s="319"/>
      <c r="V54" s="320"/>
      <c r="W54" s="321"/>
      <c r="X54" s="322"/>
      <c r="Y54" s="322"/>
      <c r="Z54" s="323"/>
      <c r="AA54" s="324"/>
      <c r="AB54" s="324"/>
      <c r="AC54" s="324"/>
      <c r="AD54" s="324"/>
      <c r="AG54" s="325"/>
      <c r="AH54" s="326"/>
      <c r="AI54" s="325"/>
      <c r="AJ54" s="325"/>
      <c r="AK54" s="325"/>
      <c r="AL54" s="324"/>
    </row>
    <row r="55" spans="3:38" s="315" customFormat="1" x14ac:dyDescent="0.3">
      <c r="C55" s="338"/>
      <c r="D55" s="98"/>
      <c r="E55" s="688" t="s">
        <v>323</v>
      </c>
      <c r="F55" s="689"/>
      <c r="G55" s="690"/>
      <c r="H55" s="697" t="s">
        <v>438</v>
      </c>
      <c r="I55" s="698"/>
      <c r="J55" s="124"/>
      <c r="K55" s="446"/>
      <c r="L55" s="145"/>
      <c r="M55" s="240">
        <v>29900</v>
      </c>
      <c r="N55" s="342">
        <v>72</v>
      </c>
      <c r="O55" s="423"/>
      <c r="P55" s="138"/>
      <c r="Q55" s="406" t="s">
        <v>439</v>
      </c>
      <c r="R55" s="343"/>
      <c r="S55" s="343"/>
      <c r="T55" s="343"/>
      <c r="U55" s="319"/>
      <c r="V55" s="320"/>
      <c r="W55" s="321"/>
      <c r="X55" s="322"/>
      <c r="Y55" s="322"/>
      <c r="Z55" s="323"/>
      <c r="AA55" s="324"/>
      <c r="AB55" s="324"/>
      <c r="AC55" s="324"/>
      <c r="AD55" s="324"/>
      <c r="AG55" s="325"/>
      <c r="AH55" s="326"/>
      <c r="AI55" s="325"/>
      <c r="AJ55" s="325"/>
      <c r="AK55" s="325"/>
      <c r="AL55" s="324"/>
    </row>
    <row r="56" spans="3:38" s="315" customFormat="1" x14ac:dyDescent="0.3">
      <c r="C56" s="338"/>
      <c r="D56" s="98"/>
      <c r="E56" s="688" t="s">
        <v>323</v>
      </c>
      <c r="F56" s="689"/>
      <c r="G56" s="690"/>
      <c r="H56" s="697" t="s">
        <v>433</v>
      </c>
      <c r="I56" s="698"/>
      <c r="J56" s="124"/>
      <c r="K56" s="439"/>
      <c r="L56" s="145"/>
      <c r="M56" s="240">
        <v>29150</v>
      </c>
      <c r="N56" s="342">
        <v>34</v>
      </c>
      <c r="O56" s="423"/>
      <c r="P56" s="138"/>
      <c r="Q56" s="434" t="s">
        <v>414</v>
      </c>
      <c r="R56" s="343"/>
      <c r="S56" s="343"/>
      <c r="T56" s="343"/>
      <c r="U56" s="319"/>
      <c r="V56" s="320"/>
      <c r="W56" s="321"/>
      <c r="X56" s="322"/>
      <c r="Y56" s="322"/>
      <c r="Z56" s="323"/>
      <c r="AA56" s="324"/>
      <c r="AB56" s="324"/>
      <c r="AC56" s="324"/>
      <c r="AD56" s="324"/>
      <c r="AG56" s="325"/>
      <c r="AH56" s="326"/>
      <c r="AI56" s="325"/>
      <c r="AJ56" s="325"/>
      <c r="AK56" s="325"/>
      <c r="AL56" s="324"/>
    </row>
    <row r="57" spans="3:38" s="315" customFormat="1" x14ac:dyDescent="0.3">
      <c r="C57" s="338"/>
      <c r="D57" s="98"/>
      <c r="E57" s="688" t="s">
        <v>448</v>
      </c>
      <c r="F57" s="689"/>
      <c r="G57" s="690"/>
      <c r="H57" s="697" t="s">
        <v>425</v>
      </c>
      <c r="I57" s="698"/>
      <c r="J57" s="124"/>
      <c r="K57" s="436"/>
      <c r="L57" s="145"/>
      <c r="M57" s="240">
        <v>31250</v>
      </c>
      <c r="N57" s="342"/>
      <c r="O57" s="423">
        <v>34</v>
      </c>
      <c r="P57" s="138"/>
      <c r="Q57" s="434" t="s">
        <v>414</v>
      </c>
      <c r="R57" s="343"/>
      <c r="S57" s="343"/>
      <c r="T57" s="343"/>
      <c r="U57" s="319"/>
      <c r="V57" s="320"/>
      <c r="W57" s="321"/>
      <c r="X57" s="322"/>
      <c r="Y57" s="322"/>
      <c r="Z57" s="323"/>
      <c r="AA57" s="324"/>
      <c r="AB57" s="324"/>
      <c r="AC57" s="324"/>
      <c r="AD57" s="324"/>
      <c r="AG57" s="325"/>
      <c r="AH57" s="326"/>
      <c r="AI57" s="325"/>
      <c r="AJ57" s="325"/>
      <c r="AK57" s="325"/>
      <c r="AL57" s="324"/>
    </row>
    <row r="58" spans="3:38" s="315" customFormat="1" x14ac:dyDescent="0.3">
      <c r="C58" s="338"/>
      <c r="D58" s="98"/>
      <c r="E58" s="688" t="s">
        <v>323</v>
      </c>
      <c r="F58" s="689"/>
      <c r="G58" s="690"/>
      <c r="H58" s="697" t="s">
        <v>418</v>
      </c>
      <c r="I58" s="698"/>
      <c r="J58" s="124"/>
      <c r="K58" s="435"/>
      <c r="L58" s="145"/>
      <c r="M58" s="240">
        <v>32000</v>
      </c>
      <c r="N58" s="342">
        <v>68</v>
      </c>
      <c r="O58" s="423">
        <v>68</v>
      </c>
      <c r="P58" s="138"/>
      <c r="Q58" s="434" t="s">
        <v>414</v>
      </c>
      <c r="R58" s="343"/>
      <c r="S58" s="343"/>
      <c r="T58" s="343"/>
      <c r="U58" s="319"/>
      <c r="V58" s="320"/>
      <c r="W58" s="321"/>
      <c r="X58" s="322"/>
      <c r="Y58" s="322"/>
      <c r="Z58" s="323"/>
      <c r="AA58" s="324"/>
      <c r="AB58" s="324"/>
      <c r="AC58" s="324"/>
      <c r="AD58" s="324"/>
      <c r="AG58" s="325"/>
      <c r="AH58" s="326"/>
      <c r="AI58" s="325"/>
      <c r="AJ58" s="325"/>
      <c r="AK58" s="325"/>
      <c r="AL58" s="324"/>
    </row>
    <row r="59" spans="3:38" s="315" customFormat="1" x14ac:dyDescent="0.3">
      <c r="C59" s="338"/>
      <c r="D59" s="98"/>
      <c r="E59" s="688" t="s">
        <v>447</v>
      </c>
      <c r="F59" s="689"/>
      <c r="G59" s="690"/>
      <c r="H59" s="697" t="s">
        <v>435</v>
      </c>
      <c r="I59" s="698"/>
      <c r="J59" s="124"/>
      <c r="K59" s="429"/>
      <c r="L59" s="145"/>
      <c r="M59" s="240">
        <v>32600</v>
      </c>
      <c r="N59" s="342"/>
      <c r="O59" s="423">
        <v>34</v>
      </c>
      <c r="P59" s="138"/>
      <c r="Q59" s="434" t="s">
        <v>414</v>
      </c>
      <c r="R59" s="343"/>
      <c r="S59" s="343"/>
      <c r="T59" s="343"/>
      <c r="U59" s="319"/>
      <c r="V59" s="320"/>
      <c r="W59" s="321"/>
      <c r="X59" s="322"/>
      <c r="Y59" s="322"/>
      <c r="Z59" s="323"/>
      <c r="AA59" s="324"/>
      <c r="AB59" s="324"/>
      <c r="AC59" s="324"/>
      <c r="AD59" s="324"/>
      <c r="AG59" s="325"/>
      <c r="AH59" s="326"/>
      <c r="AI59" s="325"/>
      <c r="AJ59" s="325"/>
      <c r="AK59" s="325"/>
      <c r="AL59" s="324"/>
    </row>
    <row r="60" spans="3:38" s="315" customFormat="1" x14ac:dyDescent="0.3">
      <c r="C60" s="338"/>
      <c r="D60" s="98"/>
      <c r="E60" s="688" t="s">
        <v>446</v>
      </c>
      <c r="F60" s="689"/>
      <c r="G60" s="690"/>
      <c r="H60" s="697" t="s">
        <v>436</v>
      </c>
      <c r="I60" s="698"/>
      <c r="J60" s="124"/>
      <c r="K60" s="429"/>
      <c r="L60" s="145"/>
      <c r="M60" s="240">
        <v>35250</v>
      </c>
      <c r="N60" s="342"/>
      <c r="O60" s="423">
        <v>68</v>
      </c>
      <c r="P60" s="138"/>
      <c r="Q60" s="434" t="s">
        <v>414</v>
      </c>
      <c r="R60" s="343"/>
      <c r="S60" s="343"/>
      <c r="T60" s="343"/>
      <c r="U60" s="319"/>
      <c r="V60" s="320"/>
      <c r="W60" s="321"/>
      <c r="X60" s="322"/>
      <c r="Y60" s="322"/>
      <c r="Z60" s="323"/>
      <c r="AA60" s="324"/>
      <c r="AB60" s="324"/>
      <c r="AC60" s="324"/>
      <c r="AD60" s="324"/>
      <c r="AG60" s="325"/>
      <c r="AH60" s="326"/>
      <c r="AI60" s="325"/>
      <c r="AJ60" s="325"/>
      <c r="AK60" s="325"/>
      <c r="AL60" s="324"/>
    </row>
    <row r="61" spans="3:38" s="315" customFormat="1" x14ac:dyDescent="0.3">
      <c r="C61" s="338"/>
      <c r="D61" s="98"/>
      <c r="E61" s="688" t="s">
        <v>392</v>
      </c>
      <c r="F61" s="689"/>
      <c r="G61" s="690"/>
      <c r="H61" s="697" t="s">
        <v>325</v>
      </c>
      <c r="I61" s="703"/>
      <c r="J61" s="124"/>
      <c r="K61" s="415"/>
      <c r="L61" s="145"/>
      <c r="M61" s="240">
        <v>23400</v>
      </c>
      <c r="N61" s="342"/>
      <c r="O61" s="399" t="s">
        <v>324</v>
      </c>
      <c r="P61" s="138"/>
      <c r="Q61" s="381" t="s">
        <v>326</v>
      </c>
      <c r="R61" s="343"/>
      <c r="S61" s="343"/>
      <c r="T61" s="343"/>
      <c r="U61" s="319"/>
      <c r="V61" s="320"/>
      <c r="W61" s="321"/>
      <c r="X61" s="322"/>
      <c r="Y61" s="322"/>
      <c r="Z61" s="323"/>
      <c r="AA61" s="324"/>
      <c r="AB61" s="324"/>
      <c r="AC61" s="324"/>
      <c r="AD61" s="324"/>
      <c r="AG61" s="325"/>
      <c r="AH61" s="326"/>
      <c r="AI61" s="325"/>
      <c r="AJ61" s="325"/>
      <c r="AK61" s="325"/>
      <c r="AL61" s="324"/>
    </row>
    <row r="62" spans="3:38" s="315" customFormat="1" x14ac:dyDescent="0.3">
      <c r="C62" s="338"/>
      <c r="D62" s="98"/>
      <c r="E62" s="688" t="s">
        <v>408</v>
      </c>
      <c r="F62" s="689"/>
      <c r="G62" s="690"/>
      <c r="H62" s="697" t="s">
        <v>327</v>
      </c>
      <c r="I62" s="698"/>
      <c r="J62" s="124"/>
      <c r="K62" s="395"/>
      <c r="L62" s="145"/>
      <c r="M62" s="240">
        <v>23200</v>
      </c>
      <c r="N62" s="342"/>
      <c r="O62" s="399" t="s">
        <v>49</v>
      </c>
      <c r="P62" s="138"/>
      <c r="Q62" s="381" t="s">
        <v>326</v>
      </c>
      <c r="R62" s="343"/>
      <c r="S62" s="343"/>
      <c r="T62" s="343"/>
      <c r="U62" s="319"/>
      <c r="V62" s="320"/>
      <c r="W62" s="321"/>
      <c r="X62" s="322"/>
      <c r="Y62" s="322"/>
      <c r="Z62" s="323"/>
      <c r="AA62" s="324"/>
      <c r="AB62" s="324"/>
      <c r="AC62" s="324"/>
      <c r="AD62" s="324"/>
      <c r="AG62" s="325"/>
      <c r="AH62" s="326"/>
      <c r="AI62" s="325"/>
      <c r="AJ62" s="325"/>
      <c r="AK62" s="325"/>
      <c r="AL62" s="324"/>
    </row>
    <row r="63" spans="3:38" s="315" customFormat="1" x14ac:dyDescent="0.3">
      <c r="C63" s="338"/>
      <c r="D63" s="98"/>
      <c r="E63" s="688" t="s">
        <v>323</v>
      </c>
      <c r="F63" s="689"/>
      <c r="G63" s="690"/>
      <c r="H63" s="697" t="s">
        <v>334</v>
      </c>
      <c r="I63" s="698"/>
      <c r="J63" s="124"/>
      <c r="K63" s="395"/>
      <c r="L63" s="145"/>
      <c r="M63" s="240">
        <v>22700</v>
      </c>
      <c r="N63" s="328"/>
      <c r="O63" s="399" t="s">
        <v>308</v>
      </c>
      <c r="P63" s="138"/>
      <c r="Q63" s="381" t="s">
        <v>335</v>
      </c>
      <c r="R63" s="343"/>
      <c r="S63" s="343"/>
      <c r="T63" s="343"/>
      <c r="U63" s="319"/>
      <c r="V63" s="320"/>
      <c r="W63" s="321"/>
      <c r="X63" s="322"/>
      <c r="Y63" s="322"/>
      <c r="Z63" s="323"/>
      <c r="AA63" s="324"/>
      <c r="AB63" s="324"/>
      <c r="AC63" s="324"/>
      <c r="AD63" s="324"/>
      <c r="AG63" s="325"/>
      <c r="AH63" s="326"/>
      <c r="AI63" s="325"/>
      <c r="AJ63" s="325"/>
      <c r="AK63" s="325"/>
      <c r="AL63" s="324"/>
    </row>
    <row r="64" spans="3:38" s="315" customFormat="1" x14ac:dyDescent="0.3">
      <c r="C64" s="338"/>
      <c r="D64" s="98"/>
      <c r="E64" s="688" t="s">
        <v>323</v>
      </c>
      <c r="F64" s="689"/>
      <c r="G64" s="690"/>
      <c r="H64" s="697" t="s">
        <v>338</v>
      </c>
      <c r="I64" s="698"/>
      <c r="J64" s="124"/>
      <c r="K64" s="395"/>
      <c r="L64" s="145"/>
      <c r="M64" s="240">
        <v>23100</v>
      </c>
      <c r="N64" s="328"/>
      <c r="O64" s="399" t="s">
        <v>308</v>
      </c>
      <c r="P64" s="138"/>
      <c r="Q64" s="381" t="s">
        <v>335</v>
      </c>
      <c r="R64" s="343"/>
      <c r="S64" s="343"/>
      <c r="T64" s="343"/>
      <c r="U64" s="319"/>
      <c r="V64" s="320"/>
      <c r="W64" s="321"/>
      <c r="X64" s="322"/>
      <c r="Y64" s="322"/>
      <c r="Z64" s="323"/>
      <c r="AA64" s="324"/>
      <c r="AB64" s="324"/>
      <c r="AC64" s="324"/>
      <c r="AD64" s="324"/>
      <c r="AG64" s="325"/>
      <c r="AH64" s="326"/>
      <c r="AI64" s="325"/>
      <c r="AJ64" s="325"/>
      <c r="AK64" s="325"/>
      <c r="AL64" s="324"/>
    </row>
    <row r="65" spans="3:38" s="315" customFormat="1" x14ac:dyDescent="0.3">
      <c r="C65" s="338"/>
      <c r="D65" s="98"/>
      <c r="E65" s="688" t="s">
        <v>323</v>
      </c>
      <c r="F65" s="689"/>
      <c r="G65" s="690"/>
      <c r="H65" s="697" t="s">
        <v>341</v>
      </c>
      <c r="I65" s="698"/>
      <c r="J65" s="124"/>
      <c r="K65" s="395"/>
      <c r="L65" s="145"/>
      <c r="M65" s="240">
        <v>23150</v>
      </c>
      <c r="N65" s="328"/>
      <c r="O65" s="399" t="s">
        <v>308</v>
      </c>
      <c r="P65" s="138"/>
      <c r="Q65" s="381" t="s">
        <v>335</v>
      </c>
      <c r="R65" s="343"/>
      <c r="S65" s="343"/>
      <c r="T65" s="343"/>
      <c r="U65" s="319"/>
      <c r="V65" s="320"/>
      <c r="W65" s="321"/>
      <c r="X65" s="322"/>
      <c r="Y65" s="322"/>
      <c r="Z65" s="323"/>
      <c r="AA65" s="324"/>
      <c r="AB65" s="324"/>
      <c r="AC65" s="324"/>
      <c r="AD65" s="324"/>
      <c r="AG65" s="325"/>
      <c r="AH65" s="326"/>
      <c r="AI65" s="325"/>
      <c r="AJ65" s="325"/>
      <c r="AK65" s="325"/>
      <c r="AL65" s="324"/>
    </row>
    <row r="66" spans="3:38" s="315" customFormat="1" x14ac:dyDescent="0.3">
      <c r="C66" s="338"/>
      <c r="D66" s="98"/>
      <c r="E66" s="688" t="s">
        <v>323</v>
      </c>
      <c r="F66" s="689"/>
      <c r="G66" s="690"/>
      <c r="H66" s="697" t="s">
        <v>344</v>
      </c>
      <c r="I66" s="698"/>
      <c r="J66" s="124"/>
      <c r="K66" s="395"/>
      <c r="L66" s="145"/>
      <c r="M66" s="240">
        <v>23150</v>
      </c>
      <c r="N66" s="328"/>
      <c r="O66" s="399" t="s">
        <v>308</v>
      </c>
      <c r="P66" s="138"/>
      <c r="Q66" s="381" t="s">
        <v>335</v>
      </c>
      <c r="R66" s="343"/>
      <c r="S66" s="343"/>
      <c r="T66" s="343"/>
      <c r="U66" s="319"/>
      <c r="V66" s="320"/>
      <c r="W66" s="321"/>
      <c r="X66" s="322"/>
      <c r="Y66" s="322"/>
      <c r="Z66" s="323"/>
      <c r="AA66" s="324"/>
      <c r="AB66" s="324"/>
      <c r="AC66" s="324"/>
      <c r="AD66" s="324"/>
      <c r="AG66" s="325"/>
      <c r="AH66" s="326"/>
      <c r="AI66" s="325"/>
      <c r="AJ66" s="325"/>
      <c r="AK66" s="325"/>
      <c r="AL66" s="324"/>
    </row>
    <row r="67" spans="3:38" s="315" customFormat="1" x14ac:dyDescent="0.3">
      <c r="C67" s="338"/>
      <c r="D67" s="98"/>
      <c r="E67" s="688" t="s">
        <v>14</v>
      </c>
      <c r="F67" s="689"/>
      <c r="G67" s="690"/>
      <c r="H67" s="650" t="s">
        <v>336</v>
      </c>
      <c r="I67" s="651"/>
      <c r="J67" s="124"/>
      <c r="K67" s="395"/>
      <c r="L67" s="145"/>
      <c r="M67" s="240">
        <v>24750</v>
      </c>
      <c r="N67" s="342"/>
      <c r="O67" s="408" t="s">
        <v>49</v>
      </c>
      <c r="P67" s="138"/>
      <c r="Q67" s="381" t="s">
        <v>326</v>
      </c>
      <c r="R67" s="164"/>
      <c r="S67" s="343"/>
      <c r="T67" s="343"/>
      <c r="U67" s="319"/>
      <c r="V67" s="320"/>
      <c r="W67" s="321"/>
      <c r="X67" s="322"/>
      <c r="Y67" s="322"/>
      <c r="Z67" s="323"/>
      <c r="AA67" s="324"/>
      <c r="AB67" s="324"/>
      <c r="AC67" s="324"/>
      <c r="AD67" s="324"/>
      <c r="AG67" s="325"/>
      <c r="AH67" s="326"/>
      <c r="AI67" s="325"/>
      <c r="AJ67" s="325"/>
      <c r="AK67" s="325"/>
      <c r="AL67" s="324"/>
    </row>
    <row r="68" spans="3:38" s="315" customFormat="1" x14ac:dyDescent="0.3">
      <c r="C68" s="338"/>
      <c r="D68" s="98"/>
      <c r="E68" s="688" t="s">
        <v>406</v>
      </c>
      <c r="F68" s="689"/>
      <c r="G68" s="690"/>
      <c r="H68" s="650" t="s">
        <v>337</v>
      </c>
      <c r="I68" s="651"/>
      <c r="J68" s="124"/>
      <c r="K68" s="395"/>
      <c r="L68" s="145"/>
      <c r="M68" s="240">
        <v>25000</v>
      </c>
      <c r="N68" s="342"/>
      <c r="O68" s="413" t="s">
        <v>49</v>
      </c>
      <c r="P68" s="138"/>
      <c r="Q68" s="381" t="s">
        <v>326</v>
      </c>
      <c r="R68" s="164"/>
      <c r="S68" s="343"/>
      <c r="T68" s="343"/>
      <c r="U68" s="319"/>
      <c r="V68" s="320"/>
      <c r="W68" s="321"/>
      <c r="X68" s="322"/>
      <c r="Y68" s="322"/>
      <c r="Z68" s="323"/>
      <c r="AA68" s="324"/>
      <c r="AB68" s="324"/>
      <c r="AC68" s="324"/>
      <c r="AD68" s="324"/>
      <c r="AG68" s="325"/>
      <c r="AH68" s="326"/>
      <c r="AI68" s="325"/>
      <c r="AJ68" s="325"/>
      <c r="AK68" s="325"/>
      <c r="AL68" s="324"/>
    </row>
    <row r="69" spans="3:38" s="315" customFormat="1" x14ac:dyDescent="0.3">
      <c r="C69" s="338"/>
      <c r="D69" s="98"/>
      <c r="E69" s="688" t="s">
        <v>320</v>
      </c>
      <c r="F69" s="689"/>
      <c r="G69" s="690"/>
      <c r="H69" s="650" t="s">
        <v>321</v>
      </c>
      <c r="I69" s="651"/>
      <c r="J69" s="124"/>
      <c r="K69" s="395"/>
      <c r="L69" s="145"/>
      <c r="M69" s="240">
        <v>23600</v>
      </c>
      <c r="N69" s="342"/>
      <c r="O69" s="399" t="s">
        <v>308</v>
      </c>
      <c r="P69" s="138"/>
      <c r="Q69" s="379" t="s">
        <v>359</v>
      </c>
      <c r="R69" s="164"/>
      <c r="S69" s="343"/>
      <c r="T69" s="343"/>
      <c r="U69" s="319"/>
      <c r="V69" s="320"/>
      <c r="W69" s="321"/>
      <c r="X69" s="322"/>
      <c r="Y69" s="322"/>
      <c r="Z69" s="323"/>
      <c r="AA69" s="324"/>
      <c r="AB69" s="324"/>
      <c r="AC69" s="324"/>
      <c r="AD69" s="324"/>
      <c r="AG69" s="325"/>
      <c r="AH69" s="326"/>
      <c r="AI69" s="325"/>
      <c r="AJ69" s="325"/>
      <c r="AK69" s="325"/>
      <c r="AL69" s="324"/>
    </row>
    <row r="70" spans="3:38" s="315" customFormat="1" x14ac:dyDescent="0.3">
      <c r="C70" s="338"/>
      <c r="D70" s="98"/>
      <c r="E70" s="688" t="s">
        <v>360</v>
      </c>
      <c r="F70" s="689"/>
      <c r="G70" s="690"/>
      <c r="H70" s="697" t="s">
        <v>411</v>
      </c>
      <c r="I70" s="698"/>
      <c r="J70" s="124"/>
      <c r="K70" s="395"/>
      <c r="L70" s="145"/>
      <c r="M70" s="240">
        <v>42500</v>
      </c>
      <c r="N70" s="342"/>
      <c r="O70" s="399"/>
      <c r="P70" s="138"/>
      <c r="Q70" s="164"/>
      <c r="R70" s="164"/>
      <c r="S70" s="343"/>
      <c r="T70" s="343"/>
      <c r="U70" s="319"/>
      <c r="V70" s="320"/>
      <c r="W70" s="321"/>
      <c r="X70" s="322"/>
      <c r="Y70" s="322"/>
      <c r="Z70" s="323"/>
      <c r="AA70" s="324"/>
      <c r="AB70" s="324"/>
      <c r="AC70" s="324"/>
      <c r="AD70" s="324"/>
      <c r="AG70" s="325"/>
      <c r="AH70" s="326"/>
      <c r="AI70" s="325"/>
      <c r="AJ70" s="325"/>
      <c r="AK70" s="325"/>
      <c r="AL70" s="324"/>
    </row>
    <row r="71" spans="3:38" s="315" customFormat="1" x14ac:dyDescent="0.3">
      <c r="C71" s="338"/>
      <c r="D71" s="98"/>
      <c r="E71" s="688" t="s">
        <v>229</v>
      </c>
      <c r="F71" s="689"/>
      <c r="G71" s="690"/>
      <c r="H71" s="697" t="s">
        <v>412</v>
      </c>
      <c r="I71" s="698"/>
      <c r="J71" s="124"/>
      <c r="K71" s="395"/>
      <c r="L71" s="145"/>
      <c r="M71" s="240">
        <v>33500</v>
      </c>
      <c r="N71" s="378"/>
      <c r="O71" s="379" t="s">
        <v>413</v>
      </c>
      <c r="P71" s="138"/>
      <c r="Q71" s="164"/>
      <c r="R71" s="431" t="s">
        <v>343</v>
      </c>
      <c r="S71" s="343"/>
      <c r="T71" s="343"/>
      <c r="U71" s="319"/>
      <c r="V71" s="320"/>
      <c r="W71" s="321"/>
      <c r="X71" s="322"/>
      <c r="Y71" s="322"/>
      <c r="Z71" s="323"/>
      <c r="AA71" s="324"/>
      <c r="AB71" s="324"/>
      <c r="AC71" s="324"/>
      <c r="AD71" s="324"/>
      <c r="AG71" s="325"/>
      <c r="AH71" s="326"/>
      <c r="AI71" s="325"/>
      <c r="AJ71" s="325"/>
      <c r="AK71" s="325"/>
      <c r="AL71" s="324"/>
    </row>
    <row r="72" spans="3:38" s="315" customFormat="1" x14ac:dyDescent="0.3">
      <c r="C72" s="338"/>
      <c r="D72" s="259" t="s">
        <v>28</v>
      </c>
      <c r="E72" s="672" t="s">
        <v>60</v>
      </c>
      <c r="F72" s="673"/>
      <c r="G72" s="674"/>
      <c r="H72" s="643" t="s">
        <v>415</v>
      </c>
      <c r="I72" s="675"/>
      <c r="J72" s="243"/>
      <c r="K72" s="244"/>
      <c r="L72" s="245"/>
      <c r="M72" s="284">
        <f>23675+8989</f>
        <v>32664</v>
      </c>
      <c r="N72" s="342">
        <f>Z26/M72</f>
        <v>45.206594477100175</v>
      </c>
      <c r="O72" s="379"/>
      <c r="P72" s="138"/>
      <c r="Q72" s="343" t="s">
        <v>423</v>
      </c>
      <c r="R72" s="343" t="s">
        <v>424</v>
      </c>
      <c r="S72" s="343" t="s">
        <v>422</v>
      </c>
      <c r="T72" s="343"/>
      <c r="U72" s="319"/>
      <c r="V72" s="320"/>
      <c r="W72" s="321"/>
      <c r="X72" s="322"/>
      <c r="Y72" s="322"/>
      <c r="Z72" s="323"/>
      <c r="AA72" s="324"/>
      <c r="AB72" s="324"/>
      <c r="AC72" s="324"/>
      <c r="AD72" s="324"/>
      <c r="AG72" s="325"/>
      <c r="AH72" s="326"/>
      <c r="AI72" s="325"/>
      <c r="AJ72" s="325"/>
      <c r="AK72" s="325"/>
      <c r="AL72" s="324"/>
    </row>
    <row r="73" spans="3:38" s="315" customFormat="1" x14ac:dyDescent="0.3">
      <c r="C73" s="338"/>
      <c r="D73" s="259" t="s">
        <v>21</v>
      </c>
      <c r="E73" s="672" t="s">
        <v>60</v>
      </c>
      <c r="F73" s="673"/>
      <c r="G73" s="674"/>
      <c r="H73" s="643" t="s">
        <v>415</v>
      </c>
      <c r="I73" s="675"/>
      <c r="J73" s="243"/>
      <c r="K73" s="244"/>
      <c r="L73" s="245"/>
      <c r="M73" s="284">
        <f>23675+8989</f>
        <v>32664</v>
      </c>
      <c r="N73" s="342">
        <f>U26/M73</f>
        <v>65.996179157482246</v>
      </c>
      <c r="O73" s="379"/>
      <c r="P73" s="138"/>
      <c r="Q73" s="343" t="s">
        <v>419</v>
      </c>
      <c r="R73" s="343" t="s">
        <v>420</v>
      </c>
      <c r="S73" s="343" t="s">
        <v>421</v>
      </c>
      <c r="T73" s="343"/>
      <c r="U73" s="319"/>
      <c r="V73" s="320"/>
      <c r="W73" s="321"/>
      <c r="X73" s="322"/>
      <c r="Y73" s="322"/>
      <c r="Z73" s="323"/>
      <c r="AA73" s="324"/>
      <c r="AB73" s="324"/>
      <c r="AC73" s="324"/>
      <c r="AD73" s="324"/>
      <c r="AG73" s="325"/>
      <c r="AH73" s="326"/>
      <c r="AI73" s="325"/>
      <c r="AJ73" s="325"/>
      <c r="AK73" s="325"/>
      <c r="AL73" s="324"/>
    </row>
    <row r="74" spans="3:38" s="315" customFormat="1" x14ac:dyDescent="0.3">
      <c r="C74" s="338"/>
      <c r="D74" s="211" t="s">
        <v>28</v>
      </c>
      <c r="E74" s="691" t="s">
        <v>60</v>
      </c>
      <c r="F74" s="692"/>
      <c r="G74" s="693"/>
      <c r="H74" s="552" t="s">
        <v>356</v>
      </c>
      <c r="I74" s="694"/>
      <c r="J74" s="124"/>
      <c r="K74" s="395"/>
      <c r="L74" s="145"/>
      <c r="M74" s="240">
        <f>21843+8989</f>
        <v>30832</v>
      </c>
      <c r="N74" s="342"/>
      <c r="O74" s="399" t="s">
        <v>29</v>
      </c>
      <c r="P74" s="138"/>
      <c r="Q74" s="307" t="s">
        <v>364</v>
      </c>
      <c r="R74" s="307" t="s">
        <v>365</v>
      </c>
      <c r="S74" s="307" t="s">
        <v>428</v>
      </c>
      <c r="T74" s="343"/>
      <c r="U74" s="319"/>
      <c r="V74" s="320"/>
      <c r="W74" s="321"/>
      <c r="X74" s="322"/>
      <c r="Y74" s="322"/>
      <c r="Z74" s="323"/>
      <c r="AA74" s="324"/>
      <c r="AB74" s="324"/>
      <c r="AC74" s="324"/>
      <c r="AD74" s="324"/>
      <c r="AG74" s="325"/>
      <c r="AH74" s="326"/>
      <c r="AI74" s="325"/>
      <c r="AJ74" s="325"/>
      <c r="AK74" s="325"/>
      <c r="AL74" s="324"/>
    </row>
    <row r="75" spans="3:38" s="315" customFormat="1" ht="15" thickBot="1" x14ac:dyDescent="0.35">
      <c r="C75" s="338"/>
      <c r="D75" s="211" t="s">
        <v>21</v>
      </c>
      <c r="E75" s="691" t="s">
        <v>60</v>
      </c>
      <c r="F75" s="692"/>
      <c r="G75" s="693"/>
      <c r="H75" s="552" t="s">
        <v>356</v>
      </c>
      <c r="I75" s="694"/>
      <c r="J75" s="124"/>
      <c r="K75" s="395"/>
      <c r="L75" s="145"/>
      <c r="M75" s="240">
        <f>21843+8989</f>
        <v>30832</v>
      </c>
      <c r="N75" s="342"/>
      <c r="O75" s="399" t="s">
        <v>40</v>
      </c>
      <c r="P75" s="138"/>
      <c r="Q75" s="307" t="s">
        <v>361</v>
      </c>
      <c r="R75" s="307" t="s">
        <v>397</v>
      </c>
      <c r="S75" s="307" t="s">
        <v>363</v>
      </c>
      <c r="T75" s="343"/>
      <c r="U75" s="319"/>
      <c r="V75" s="320"/>
      <c r="W75" s="321"/>
      <c r="X75" s="322"/>
      <c r="Y75" s="322"/>
      <c r="Z75" s="323"/>
      <c r="AA75" s="324"/>
      <c r="AB75" s="324"/>
      <c r="AC75" s="324"/>
      <c r="AD75" s="324"/>
      <c r="AG75" s="325"/>
      <c r="AH75" s="326"/>
      <c r="AI75" s="325"/>
      <c r="AJ75" s="325"/>
      <c r="AK75" s="325"/>
      <c r="AL75" s="324"/>
    </row>
    <row r="76" spans="3:38" ht="13.95" customHeight="1" thickBot="1" x14ac:dyDescent="0.35">
      <c r="E76" s="634"/>
      <c r="F76" s="635"/>
      <c r="G76" s="636"/>
      <c r="H76" s="637"/>
      <c r="I76" s="638"/>
      <c r="J76" s="141"/>
      <c r="K76" s="141"/>
      <c r="L76" s="142"/>
      <c r="M76" s="424" t="s">
        <v>33</v>
      </c>
      <c r="N76" s="425">
        <f>SUBTOTAL(109,N44:N75)</f>
        <v>616.97647434236819</v>
      </c>
      <c r="O76" s="150"/>
      <c r="T76" s="181"/>
      <c r="U76" s="181"/>
      <c r="V76" s="177"/>
      <c r="W76" s="178"/>
      <c r="X76" s="178"/>
      <c r="Y76" s="178"/>
      <c r="Z76" s="180"/>
      <c r="AA76" s="90"/>
      <c r="AB76" s="90"/>
      <c r="AC76" s="21"/>
      <c r="AD76" s="21"/>
    </row>
    <row r="77" spans="3:38" x14ac:dyDescent="0.3">
      <c r="E77" s="359" t="s">
        <v>116</v>
      </c>
      <c r="O77" s="139"/>
      <c r="V77" s="178"/>
      <c r="W77" s="178"/>
      <c r="X77" s="178"/>
      <c r="Y77" s="178"/>
      <c r="Z77" s="180"/>
      <c r="AA77" s="21"/>
      <c r="AB77" s="21"/>
      <c r="AC77" s="21"/>
      <c r="AD77" s="21"/>
    </row>
    <row r="78" spans="3:38" x14ac:dyDescent="0.3">
      <c r="E78" s="1" t="s">
        <v>57</v>
      </c>
      <c r="O78" s="1"/>
      <c r="P78" s="1"/>
      <c r="Q78" s="1"/>
      <c r="R78" s="224"/>
      <c r="V78" s="178"/>
      <c r="W78" s="178"/>
      <c r="X78" s="178"/>
      <c r="Y78" s="178"/>
      <c r="Z78" s="178"/>
      <c r="AA78" s="21"/>
      <c r="AB78" s="21"/>
      <c r="AC78" s="21"/>
      <c r="AD78" s="21"/>
    </row>
    <row r="79" spans="3:38" x14ac:dyDescent="0.3">
      <c r="E79" s="359" t="s">
        <v>379</v>
      </c>
      <c r="O79" s="1"/>
      <c r="P79" s="1"/>
      <c r="Q79" s="1"/>
      <c r="R79" s="224"/>
      <c r="V79" s="178"/>
      <c r="W79" s="178"/>
      <c r="X79" s="178"/>
      <c r="Y79" s="178"/>
      <c r="Z79" s="178"/>
      <c r="AA79" s="21"/>
      <c r="AB79" s="21"/>
      <c r="AC79" s="21"/>
      <c r="AD79" s="21"/>
    </row>
    <row r="80" spans="3:38" x14ac:dyDescent="0.3">
      <c r="E80" s="1" t="s">
        <v>288</v>
      </c>
      <c r="O80" s="1"/>
      <c r="P80" s="1"/>
      <c r="Q80" s="1"/>
      <c r="R80" s="224"/>
      <c r="V80" s="178"/>
      <c r="W80" s="178"/>
      <c r="X80" s="178"/>
      <c r="Y80" s="178"/>
      <c r="Z80" s="178"/>
      <c r="AA80" s="21"/>
      <c r="AB80" s="21"/>
      <c r="AC80" s="21"/>
      <c r="AD80" s="21"/>
    </row>
    <row r="81" spans="5:30" x14ac:dyDescent="0.3">
      <c r="E81" s="1" t="s">
        <v>287</v>
      </c>
    </row>
    <row r="82" spans="5:30" x14ac:dyDescent="0.3">
      <c r="E82" s="359" t="s">
        <v>339</v>
      </c>
    </row>
    <row r="83" spans="5:30" x14ac:dyDescent="0.3">
      <c r="E83" s="359" t="s">
        <v>290</v>
      </c>
    </row>
    <row r="84" spans="5:30" x14ac:dyDescent="0.3">
      <c r="E84" s="1" t="s">
        <v>289</v>
      </c>
      <c r="V84" s="175"/>
      <c r="W84" s="175"/>
      <c r="X84" s="175"/>
      <c r="Y84" s="175"/>
      <c r="Z84" s="175"/>
      <c r="AA84" s="21"/>
      <c r="AB84" s="21"/>
      <c r="AC84" s="21"/>
      <c r="AD84" s="21"/>
    </row>
    <row r="85" spans="5:30" x14ac:dyDescent="0.3">
      <c r="E85" s="1" t="s">
        <v>291</v>
      </c>
    </row>
    <row r="86" spans="5:30" x14ac:dyDescent="0.3">
      <c r="E86" s="1" t="s">
        <v>292</v>
      </c>
    </row>
  </sheetData>
  <mergeCells count="104">
    <mergeCell ref="E69:G69"/>
    <mergeCell ref="H69:I69"/>
    <mergeCell ref="E64:G64"/>
    <mergeCell ref="H64:I64"/>
    <mergeCell ref="E65:G65"/>
    <mergeCell ref="H65:I65"/>
    <mergeCell ref="E66:G66"/>
    <mergeCell ref="H66:I66"/>
    <mergeCell ref="E67:G67"/>
    <mergeCell ref="H67:I67"/>
    <mergeCell ref="E68:G68"/>
    <mergeCell ref="H68:I68"/>
    <mergeCell ref="E76:G76"/>
    <mergeCell ref="H76:I76"/>
    <mergeCell ref="E74:G74"/>
    <mergeCell ref="H74:I74"/>
    <mergeCell ref="E75:G75"/>
    <mergeCell ref="H75:I75"/>
    <mergeCell ref="E59:G59"/>
    <mergeCell ref="E60:G60"/>
    <mergeCell ref="H59:I59"/>
    <mergeCell ref="H60:I60"/>
    <mergeCell ref="E62:G62"/>
    <mergeCell ref="H62:I62"/>
    <mergeCell ref="E61:G61"/>
    <mergeCell ref="H61:I61"/>
    <mergeCell ref="E63:G63"/>
    <mergeCell ref="H63:I63"/>
    <mergeCell ref="E72:G72"/>
    <mergeCell ref="H72:I72"/>
    <mergeCell ref="E73:G73"/>
    <mergeCell ref="H73:I73"/>
    <mergeCell ref="E70:G70"/>
    <mergeCell ref="H70:I70"/>
    <mergeCell ref="E71:G71"/>
    <mergeCell ref="H71:I71"/>
    <mergeCell ref="E52:G52"/>
    <mergeCell ref="H52:I52"/>
    <mergeCell ref="E57:G57"/>
    <mergeCell ref="H57:I57"/>
    <mergeCell ref="E56:G56"/>
    <mergeCell ref="H56:I56"/>
    <mergeCell ref="H58:I58"/>
    <mergeCell ref="E58:G58"/>
    <mergeCell ref="E55:G55"/>
    <mergeCell ref="H55:I55"/>
    <mergeCell ref="E54:G54"/>
    <mergeCell ref="H54:I54"/>
    <mergeCell ref="H53:I53"/>
    <mergeCell ref="E53:G53"/>
    <mergeCell ref="T38:V38"/>
    <mergeCell ref="T39:V39"/>
    <mergeCell ref="T40:V40"/>
    <mergeCell ref="U41:Y41"/>
    <mergeCell ref="Z3:Z4"/>
    <mergeCell ref="T3:T4"/>
    <mergeCell ref="U3:U4"/>
    <mergeCell ref="V3:V4"/>
    <mergeCell ref="W3:W4"/>
    <mergeCell ref="X3:X4"/>
    <mergeCell ref="Y3:Y4"/>
    <mergeCell ref="P1:P4"/>
    <mergeCell ref="G3:I3"/>
    <mergeCell ref="J1:L3"/>
    <mergeCell ref="M1:O3"/>
    <mergeCell ref="Q1:Q4"/>
    <mergeCell ref="R1:R4"/>
    <mergeCell ref="S1:S3"/>
    <mergeCell ref="T1:V2"/>
    <mergeCell ref="W1:AG2"/>
    <mergeCell ref="AF3:AF4"/>
    <mergeCell ref="AG3:AG4"/>
    <mergeCell ref="AA3:AA4"/>
    <mergeCell ref="AB3:AB4"/>
    <mergeCell ref="AC3:AC4"/>
    <mergeCell ref="AD3:AD4"/>
    <mergeCell ref="AE3:AE4"/>
    <mergeCell ref="O43:O44"/>
    <mergeCell ref="E44:G44"/>
    <mergeCell ref="E45:G45"/>
    <mergeCell ref="H45:I45"/>
    <mergeCell ref="E46:G46"/>
    <mergeCell ref="H46:I46"/>
    <mergeCell ref="A1:A4"/>
    <mergeCell ref="B1:E1"/>
    <mergeCell ref="F1:I2"/>
    <mergeCell ref="B2:C2"/>
    <mergeCell ref="D2:D3"/>
    <mergeCell ref="E2:E4"/>
    <mergeCell ref="B3:C3"/>
    <mergeCell ref="F3:F4"/>
    <mergeCell ref="E51:G51"/>
    <mergeCell ref="E48:G48"/>
    <mergeCell ref="H48:I48"/>
    <mergeCell ref="E49:G49"/>
    <mergeCell ref="H49:I49"/>
    <mergeCell ref="E50:G50"/>
    <mergeCell ref="H51:I51"/>
    <mergeCell ref="H50:I50"/>
    <mergeCell ref="E43:G43"/>
    <mergeCell ref="H44:I44"/>
    <mergeCell ref="H43:I43"/>
    <mergeCell ref="E47:G47"/>
    <mergeCell ref="H47:I47"/>
  </mergeCells>
  <pageMargins left="0.7" right="0.17" top="0.72" bottom="0.34" header="0.77" footer="0.3"/>
  <pageSetup paperSize="9" scale="42" fitToWidth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91"/>
  <sheetViews>
    <sheetView zoomScaleNormal="100" workbookViewId="0">
      <pane ySplit="4" topLeftCell="A21" activePane="bottomLeft" state="frozen"/>
      <selection pane="bottomLeft" activeCell="E74" sqref="E74:G74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9.44140625" style="20" customWidth="1"/>
    <col min="24" max="24" width="10.6640625" style="20" hidden="1" customWidth="1"/>
    <col min="25" max="26" width="10.6640625" style="20" customWidth="1"/>
    <col min="27" max="28" width="9.6640625" style="2" hidden="1" customWidth="1"/>
    <col min="29" max="29" width="10.6640625" style="2" hidden="1" customWidth="1"/>
    <col min="30" max="30" width="10.33203125" style="2" hidden="1" customWidth="1"/>
    <col min="31" max="32" width="0.109375" style="2" customWidth="1"/>
    <col min="33" max="33" width="9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437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441" t="s">
        <v>10</v>
      </c>
      <c r="K4" s="442" t="s">
        <v>2</v>
      </c>
      <c r="L4" s="443" t="s">
        <v>9</v>
      </c>
      <c r="M4" s="441" t="s">
        <v>10</v>
      </c>
      <c r="N4" s="442" t="s">
        <v>2</v>
      </c>
      <c r="O4" s="443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3">
        <v>45200</v>
      </c>
      <c r="B5" s="28">
        <v>8.99</v>
      </c>
      <c r="C5" s="30"/>
      <c r="D5" s="22"/>
      <c r="E5" s="42">
        <f>'09.2023'!E35-B5-C5+D5</f>
        <v>76.982000000000241</v>
      </c>
      <c r="F5" s="51">
        <f>C5</f>
        <v>0</v>
      </c>
      <c r="G5" s="9"/>
      <c r="H5" s="10"/>
      <c r="I5" s="161">
        <f>'09.2023'!I35+F5-G5-H5</f>
        <v>4.8599999999999977</v>
      </c>
      <c r="J5" s="8"/>
      <c r="K5" s="11"/>
      <c r="L5" s="25"/>
      <c r="M5" s="51">
        <f t="shared" ref="M5:M35" si="0">H5</f>
        <v>0</v>
      </c>
      <c r="N5" s="24"/>
      <c r="O5" s="47">
        <f>'09.2023'!O35+M5-N5</f>
        <v>0.74999999999999645</v>
      </c>
      <c r="P5" s="46">
        <v>0</v>
      </c>
      <c r="Q5" s="45">
        <f t="shared" ref="Q5:Q35" si="1">E5+I5+L5+O5</f>
        <v>82.59200000000024</v>
      </c>
      <c r="R5" s="165">
        <f>B5+G5+H5+J5</f>
        <v>8.99</v>
      </c>
      <c r="S5" s="159">
        <f>'09.2023'!S34+AI5</f>
        <v>455.47799999999995</v>
      </c>
      <c r="T5" s="59">
        <f>'09.2023'!T34-AI5*M46</f>
        <v>272183.70000000042</v>
      </c>
      <c r="U5" s="58">
        <f>'09.2023'!U34</f>
        <v>2155699.2000000002</v>
      </c>
      <c r="V5" s="58">
        <f>'09.2023'!V34</f>
        <v>0</v>
      </c>
      <c r="W5" s="58">
        <f>'09.2023'!W34</f>
        <v>0</v>
      </c>
      <c r="X5" s="58">
        <f>'09.2023'!X34</f>
        <v>0</v>
      </c>
      <c r="Y5" s="58">
        <f>'09.2023'!Y34</f>
        <v>13085450.399999999</v>
      </c>
      <c r="Z5" s="58">
        <f>'09.2023'!Z34</f>
        <v>1476628.2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/>
      <c r="AH5" s="389" t="s">
        <v>43</v>
      </c>
      <c r="AI5" s="126">
        <v>70.599999999999994</v>
      </c>
      <c r="AJ5" s="103" t="s">
        <v>444</v>
      </c>
      <c r="AK5" s="99" t="s">
        <v>443</v>
      </c>
      <c r="AL5" s="21"/>
      <c r="AM5" s="21"/>
    </row>
    <row r="6" spans="1:40" ht="13.2" customHeight="1" thickBot="1" x14ac:dyDescent="0.35">
      <c r="A6" s="7">
        <v>45201</v>
      </c>
      <c r="B6" s="28">
        <v>46.21</v>
      </c>
      <c r="C6" s="30">
        <v>3.3530000000000002</v>
      </c>
      <c r="D6" s="22"/>
      <c r="E6" s="43">
        <f t="shared" ref="E6:E34" si="2">E5+D6-B6-C6</f>
        <v>27.419000000000239</v>
      </c>
      <c r="F6" s="51">
        <f t="shared" ref="F6:F35" si="3">C6</f>
        <v>3.3530000000000002</v>
      </c>
      <c r="G6" s="9">
        <f>4.153-H6</f>
        <v>3.5399999999999996</v>
      </c>
      <c r="H6" s="10">
        <v>0.61299999999999999</v>
      </c>
      <c r="I6" s="161">
        <f t="shared" ref="I6:I34" si="4">I5+F6-G6-H6</f>
        <v>4.0599999999999987</v>
      </c>
      <c r="J6" s="8"/>
      <c r="K6" s="11"/>
      <c r="L6" s="12"/>
      <c r="M6" s="51">
        <f t="shared" si="0"/>
        <v>0.61299999999999999</v>
      </c>
      <c r="N6" s="24">
        <v>0.48199999999999998</v>
      </c>
      <c r="O6" s="47">
        <f t="shared" ref="O6:O34" si="5">O5+M6-N6</f>
        <v>0.88099999999999645</v>
      </c>
      <c r="P6" s="48"/>
      <c r="Q6" s="47">
        <f t="shared" si="1"/>
        <v>32.360000000000234</v>
      </c>
      <c r="R6" s="165">
        <f t="shared" ref="R6:R35" si="6">B6+G6+H6+J6</f>
        <v>50.363</v>
      </c>
      <c r="S6" s="159">
        <v>455.47799999999995</v>
      </c>
      <c r="T6" s="58">
        <v>272183.70000000042</v>
      </c>
      <c r="U6" s="58">
        <v>2155699.2000000002</v>
      </c>
      <c r="V6" s="58">
        <v>0</v>
      </c>
      <c r="W6" s="87">
        <v>0</v>
      </c>
      <c r="X6" s="58">
        <v>0</v>
      </c>
      <c r="Y6" s="58">
        <f>Y5</f>
        <v>13085450.399999999</v>
      </c>
      <c r="Z6" s="87">
        <v>1476628.2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/>
      <c r="AH6" s="123"/>
      <c r="AI6" s="122"/>
      <c r="AJ6" s="349"/>
      <c r="AK6" s="21"/>
      <c r="AL6" s="21"/>
      <c r="AM6" s="21"/>
    </row>
    <row r="7" spans="1:40" ht="13.2" customHeight="1" thickBot="1" x14ac:dyDescent="0.35">
      <c r="A7" s="7">
        <v>45202</v>
      </c>
      <c r="B7" s="28">
        <v>52.75</v>
      </c>
      <c r="C7" s="30">
        <v>2.734</v>
      </c>
      <c r="D7" s="22">
        <f>'09.2023'!AI15+'09.2023'!AI22+'09.2023'!AI30+37.54</f>
        <v>174.559</v>
      </c>
      <c r="E7" s="43">
        <f t="shared" si="2"/>
        <v>146.49400000000023</v>
      </c>
      <c r="F7" s="51">
        <f t="shared" si="3"/>
        <v>2.734</v>
      </c>
      <c r="G7" s="9">
        <f>2.094-H7</f>
        <v>1.5299999999999998</v>
      </c>
      <c r="H7" s="10">
        <v>0.56399999999999995</v>
      </c>
      <c r="I7" s="161">
        <f t="shared" si="4"/>
        <v>4.6999999999999993</v>
      </c>
      <c r="J7" s="8"/>
      <c r="K7" s="11"/>
      <c r="L7" s="12"/>
      <c r="M7" s="51">
        <f t="shared" si="0"/>
        <v>0.56399999999999995</v>
      </c>
      <c r="N7" s="24">
        <v>0.501</v>
      </c>
      <c r="O7" s="47">
        <f t="shared" si="5"/>
        <v>0.94399999999999629</v>
      </c>
      <c r="P7" s="48"/>
      <c r="Q7" s="47">
        <f t="shared" si="1"/>
        <v>152.1380000000002</v>
      </c>
      <c r="R7" s="165">
        <f t="shared" si="6"/>
        <v>54.844000000000001</v>
      </c>
      <c r="S7" s="159">
        <f>S6-'09.2023'!AI15-'09.2023'!AI22-'09.2023'!AI30-37.54</f>
        <v>280.91899999999993</v>
      </c>
      <c r="T7" s="58">
        <v>272183.70000000042</v>
      </c>
      <c r="U7" s="58">
        <f>2155699.2+2156000</f>
        <v>4311699.2</v>
      </c>
      <c r="V7" s="58">
        <v>0</v>
      </c>
      <c r="W7" s="87">
        <v>0</v>
      </c>
      <c r="X7" s="58">
        <v>0</v>
      </c>
      <c r="Y7" s="58">
        <f>Y6+68*M55</f>
        <v>15220650.399999999</v>
      </c>
      <c r="Z7" s="87">
        <f>1476628.2+994000</f>
        <v>2470628.2000000002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/>
      <c r="AH7" s="128" t="s">
        <v>48</v>
      </c>
      <c r="AI7" s="120">
        <v>62.927999999999997</v>
      </c>
      <c r="AJ7" s="99" t="s">
        <v>453</v>
      </c>
      <c r="AK7" s="21" t="s">
        <v>454</v>
      </c>
      <c r="AL7" s="120"/>
      <c r="AM7" s="21"/>
    </row>
    <row r="8" spans="1:40" ht="12.75" customHeight="1" thickBot="1" x14ac:dyDescent="0.35">
      <c r="A8" s="7">
        <v>45203</v>
      </c>
      <c r="B8" s="28">
        <v>62.88</v>
      </c>
      <c r="C8" s="30">
        <v>1.55</v>
      </c>
      <c r="D8" s="186">
        <f>38.02+'09.2023'!AI26</f>
        <v>71.919000000000011</v>
      </c>
      <c r="E8" s="43">
        <f t="shared" si="2"/>
        <v>153.98300000000023</v>
      </c>
      <c r="F8" s="51">
        <f t="shared" si="3"/>
        <v>1.55</v>
      </c>
      <c r="G8" s="9"/>
      <c r="H8" s="10">
        <v>0.65</v>
      </c>
      <c r="I8" s="161">
        <f t="shared" si="4"/>
        <v>5.5999999999999988</v>
      </c>
      <c r="J8" s="8"/>
      <c r="K8" s="11"/>
      <c r="L8" s="12"/>
      <c r="M8" s="51">
        <f t="shared" si="0"/>
        <v>0.65</v>
      </c>
      <c r="N8" s="24">
        <v>0.51500000000000001</v>
      </c>
      <c r="O8" s="47">
        <f t="shared" si="5"/>
        <v>1.0789999999999962</v>
      </c>
      <c r="P8" s="48"/>
      <c r="Q8" s="47">
        <f t="shared" si="1"/>
        <v>160.66200000000023</v>
      </c>
      <c r="R8" s="165">
        <f t="shared" si="6"/>
        <v>63.53</v>
      </c>
      <c r="S8" s="159">
        <f>'09.2023'!AI34+'09.2023'!AI35+'09.2023'!AI36+'09.2023'!AI37+'10.2023'!AI5+AI7</f>
        <v>271.928</v>
      </c>
      <c r="T8" s="58">
        <v>272183.70000000042</v>
      </c>
      <c r="U8" s="407">
        <f>U7-M78*AI7</f>
        <v>2390696.1440000003</v>
      </c>
      <c r="V8" s="86">
        <v>0</v>
      </c>
      <c r="W8" s="87">
        <v>0</v>
      </c>
      <c r="X8" s="58">
        <v>0</v>
      </c>
      <c r="Y8" s="58">
        <f>15220650.4+M53*36+M54*36</f>
        <v>17366250.399999999</v>
      </c>
      <c r="Z8" s="87">
        <f>Z7</f>
        <v>2470628.2000000002</v>
      </c>
      <c r="AA8" s="58"/>
      <c r="AB8" s="58">
        <v>0</v>
      </c>
      <c r="AC8" s="59">
        <f>1800000-AI5*M71</f>
        <v>35000.000000000233</v>
      </c>
      <c r="AD8" s="314">
        <f>891000-AI8*M70</f>
        <v>64350</v>
      </c>
      <c r="AE8" s="58"/>
      <c r="AF8" s="58"/>
      <c r="AG8" s="58"/>
      <c r="AH8" s="384" t="s">
        <v>323</v>
      </c>
      <c r="AI8" s="122">
        <v>33.4</v>
      </c>
      <c r="AJ8" s="99">
        <v>75670346</v>
      </c>
      <c r="AK8" s="466">
        <v>50809912</v>
      </c>
      <c r="AL8" s="239"/>
      <c r="AM8" s="21"/>
    </row>
    <row r="9" spans="1:40" ht="13.2" customHeight="1" thickBot="1" x14ac:dyDescent="0.35">
      <c r="A9" s="7">
        <v>45204</v>
      </c>
      <c r="B9" s="28">
        <v>78.73</v>
      </c>
      <c r="C9" s="30">
        <v>1.0900000000000001</v>
      </c>
      <c r="D9" s="186"/>
      <c r="E9" s="43">
        <f t="shared" si="2"/>
        <v>74.163000000000224</v>
      </c>
      <c r="F9" s="51">
        <f t="shared" si="3"/>
        <v>1.0900000000000001</v>
      </c>
      <c r="G9" s="9">
        <f>0.79-H9</f>
        <v>0.16000000000000003</v>
      </c>
      <c r="H9" s="10">
        <v>0.63</v>
      </c>
      <c r="I9" s="161">
        <f t="shared" si="4"/>
        <v>5.8999999999999986</v>
      </c>
      <c r="J9" s="8"/>
      <c r="K9" s="11"/>
      <c r="L9" s="12"/>
      <c r="M9" s="51">
        <f t="shared" si="0"/>
        <v>0.63</v>
      </c>
      <c r="N9" s="24">
        <v>0.63600000000000001</v>
      </c>
      <c r="O9" s="47">
        <f t="shared" si="5"/>
        <v>1.072999999999996</v>
      </c>
      <c r="P9" s="48"/>
      <c r="Q9" s="47">
        <f t="shared" si="1"/>
        <v>81.136000000000209</v>
      </c>
      <c r="R9" s="165">
        <f t="shared" si="6"/>
        <v>79.52</v>
      </c>
      <c r="S9" s="159">
        <f>271.928+AI8+AI9</f>
        <v>342.62799999999999</v>
      </c>
      <c r="T9" s="58">
        <v>272183.70000000042</v>
      </c>
      <c r="U9" s="58">
        <v>2256219.0080000004</v>
      </c>
      <c r="V9" s="86">
        <v>0</v>
      </c>
      <c r="W9" s="87">
        <v>0</v>
      </c>
      <c r="X9" s="58">
        <v>0</v>
      </c>
      <c r="Y9" s="59">
        <f>17366250.4-(AI8+AI9)*M61</f>
        <v>15103850.399999999</v>
      </c>
      <c r="Z9" s="87">
        <v>2470628.2000000002</v>
      </c>
      <c r="AA9" s="87"/>
      <c r="AB9" s="80">
        <v>0</v>
      </c>
      <c r="AC9" s="58"/>
      <c r="AD9" s="87">
        <v>89545.5</v>
      </c>
      <c r="AE9" s="55"/>
      <c r="AF9" s="14"/>
      <c r="AG9" s="58"/>
      <c r="AH9" s="384" t="s">
        <v>323</v>
      </c>
      <c r="AI9" s="122">
        <v>37.299999999999997</v>
      </c>
      <c r="AJ9" s="99">
        <v>75670347</v>
      </c>
      <c r="AK9" s="467">
        <v>77288991</v>
      </c>
      <c r="AL9" s="99"/>
      <c r="AM9" s="21"/>
      <c r="AN9" s="21"/>
    </row>
    <row r="10" spans="1:40" s="1" customFormat="1" ht="13.2" customHeight="1" thickBot="1" x14ac:dyDescent="0.35">
      <c r="A10" s="7">
        <v>45205</v>
      </c>
      <c r="B10" s="28">
        <v>38.700000000000003</v>
      </c>
      <c r="C10" s="30">
        <v>2.21</v>
      </c>
      <c r="D10" s="186"/>
      <c r="E10" s="43">
        <f t="shared" si="2"/>
        <v>33.25300000000022</v>
      </c>
      <c r="F10" s="51">
        <f t="shared" si="3"/>
        <v>2.21</v>
      </c>
      <c r="G10" s="30">
        <f>2.96-H10</f>
        <v>2.41</v>
      </c>
      <c r="H10" s="10">
        <v>0.55000000000000004</v>
      </c>
      <c r="I10" s="161">
        <f t="shared" si="4"/>
        <v>5.1499999999999995</v>
      </c>
      <c r="J10" s="8"/>
      <c r="K10" s="11"/>
      <c r="L10" s="12"/>
      <c r="M10" s="51">
        <f t="shared" si="0"/>
        <v>0.55000000000000004</v>
      </c>
      <c r="N10" s="24">
        <v>0.67400000000000004</v>
      </c>
      <c r="O10" s="47">
        <f t="shared" si="5"/>
        <v>0.94899999999999596</v>
      </c>
      <c r="P10" s="48"/>
      <c r="Q10" s="47">
        <f t="shared" si="1"/>
        <v>39.352000000000217</v>
      </c>
      <c r="R10" s="165">
        <f t="shared" si="6"/>
        <v>41.66</v>
      </c>
      <c r="S10" s="159">
        <v>342.62799999999999</v>
      </c>
      <c r="T10" s="58">
        <f>272183.7+767000</f>
        <v>1039183.7</v>
      </c>
      <c r="U10" s="58">
        <v>2256219.0080000004</v>
      </c>
      <c r="V10" s="86">
        <v>0</v>
      </c>
      <c r="W10" s="87">
        <v>1460000</v>
      </c>
      <c r="X10" s="58">
        <v>0</v>
      </c>
      <c r="Y10" s="58">
        <v>15103850.399999999</v>
      </c>
      <c r="Z10" s="87">
        <v>2470628.2000000002</v>
      </c>
      <c r="AA10" s="87"/>
      <c r="AB10" s="80">
        <v>0</v>
      </c>
      <c r="AC10" s="58"/>
      <c r="AD10" s="87">
        <v>89545.5</v>
      </c>
      <c r="AE10" s="55"/>
      <c r="AF10" s="14"/>
      <c r="AG10" s="58"/>
      <c r="AH10" s="27"/>
      <c r="AI10" s="27"/>
      <c r="AJ10" s="27"/>
      <c r="AK10" s="27"/>
      <c r="AL10" s="239"/>
      <c r="AM10" s="27"/>
      <c r="AN10" s="27"/>
    </row>
    <row r="11" spans="1:40" ht="13.2" customHeight="1" thickBot="1" x14ac:dyDescent="0.35">
      <c r="A11" s="3">
        <v>45206</v>
      </c>
      <c r="B11" s="28"/>
      <c r="C11" s="30"/>
      <c r="D11" s="186"/>
      <c r="E11" s="43">
        <f>E10+D11-B11-C11</f>
        <v>33.25300000000022</v>
      </c>
      <c r="F11" s="51">
        <f t="shared" si="3"/>
        <v>0</v>
      </c>
      <c r="G11" s="9"/>
      <c r="H11" s="10"/>
      <c r="I11" s="161">
        <f>I10+F11-G11-H11</f>
        <v>5.1499999999999995</v>
      </c>
      <c r="J11" s="8"/>
      <c r="K11" s="11"/>
      <c r="L11" s="12"/>
      <c r="M11" s="51">
        <f t="shared" si="0"/>
        <v>0</v>
      </c>
      <c r="N11" s="24"/>
      <c r="O11" s="47">
        <f t="shared" si="5"/>
        <v>0.94899999999999596</v>
      </c>
      <c r="P11" s="48"/>
      <c r="Q11" s="47">
        <f t="shared" si="1"/>
        <v>39.352000000000217</v>
      </c>
      <c r="R11" s="165">
        <f>B11+G11+H11+J11</f>
        <v>0</v>
      </c>
      <c r="S11" s="160">
        <v>342.62799999999999</v>
      </c>
      <c r="T11" s="58">
        <v>1039183.7</v>
      </c>
      <c r="U11" s="86">
        <v>2256219.0080000004</v>
      </c>
      <c r="V11" s="212">
        <v>0</v>
      </c>
      <c r="W11" s="87">
        <v>1460000</v>
      </c>
      <c r="X11" s="79">
        <v>0</v>
      </c>
      <c r="Y11" s="58">
        <v>15103850.399999999</v>
      </c>
      <c r="Z11" s="87">
        <v>2470628.2000000002</v>
      </c>
      <c r="AA11" s="87"/>
      <c r="AB11" s="80">
        <v>0</v>
      </c>
      <c r="AC11" s="58"/>
      <c r="AD11" s="87">
        <v>89545.5</v>
      </c>
      <c r="AE11" s="55"/>
      <c r="AF11" s="14"/>
      <c r="AG11" s="58"/>
      <c r="AH11" s="384" t="s">
        <v>323</v>
      </c>
      <c r="AI11" s="122">
        <v>33.450000000000003</v>
      </c>
      <c r="AJ11" s="463">
        <v>75670483</v>
      </c>
      <c r="AK11" s="91">
        <v>58224155</v>
      </c>
      <c r="AL11" s="21"/>
      <c r="AM11" s="21"/>
      <c r="AN11" s="21"/>
    </row>
    <row r="12" spans="1:40" ht="13.2" customHeight="1" thickBot="1" x14ac:dyDescent="0.35">
      <c r="A12" s="3">
        <v>45207</v>
      </c>
      <c r="B12" s="28">
        <v>32.979999999999997</v>
      </c>
      <c r="C12" s="30"/>
      <c r="D12" s="186">
        <f>20.2+21.76</f>
        <v>41.96</v>
      </c>
      <c r="E12" s="43">
        <f>E11+D12-B12-C12</f>
        <v>42.233000000000224</v>
      </c>
      <c r="F12" s="51">
        <f t="shared" si="3"/>
        <v>0</v>
      </c>
      <c r="G12" s="30"/>
      <c r="H12" s="24"/>
      <c r="I12" s="161">
        <f t="shared" si="4"/>
        <v>5.1499999999999995</v>
      </c>
      <c r="J12" s="8"/>
      <c r="K12" s="11"/>
      <c r="L12" s="12"/>
      <c r="M12" s="51">
        <f t="shared" si="0"/>
        <v>0</v>
      </c>
      <c r="N12" s="24"/>
      <c r="O12" s="47">
        <f t="shared" si="5"/>
        <v>0.94899999999999596</v>
      </c>
      <c r="P12" s="48"/>
      <c r="Q12" s="47">
        <f t="shared" si="1"/>
        <v>48.332000000000221</v>
      </c>
      <c r="R12" s="165">
        <f>B12+G12+H12+J12</f>
        <v>32.979999999999997</v>
      </c>
      <c r="S12" s="160">
        <v>342.62799999999999</v>
      </c>
      <c r="T12" s="86">
        <v>1039183.7</v>
      </c>
      <c r="U12" s="86">
        <v>2256219.0080000004</v>
      </c>
      <c r="V12" s="212"/>
      <c r="W12" s="314">
        <f>W11-D12*M52</f>
        <v>-71540</v>
      </c>
      <c r="X12" s="79"/>
      <c r="Y12" s="58">
        <v>15103850.399999999</v>
      </c>
      <c r="Z12" s="87">
        <v>2470628.2000000002</v>
      </c>
      <c r="AA12" s="86"/>
      <c r="AB12" s="80">
        <v>0</v>
      </c>
      <c r="AC12" s="58"/>
      <c r="AD12" s="87">
        <v>89545.5</v>
      </c>
      <c r="AE12" s="55"/>
      <c r="AF12" s="14"/>
      <c r="AG12" s="58"/>
      <c r="AH12" s="123"/>
      <c r="AI12" s="122"/>
      <c r="AJ12" s="103"/>
      <c r="AK12" s="91"/>
      <c r="AL12" s="21"/>
      <c r="AM12" s="21"/>
      <c r="AN12" s="21"/>
    </row>
    <row r="13" spans="1:40" ht="13.2" customHeight="1" thickBot="1" x14ac:dyDescent="0.35">
      <c r="A13" s="7">
        <v>45208</v>
      </c>
      <c r="B13" s="28">
        <v>27.86</v>
      </c>
      <c r="C13" s="30">
        <v>0.50700000000000001</v>
      </c>
      <c r="D13" s="186"/>
      <c r="E13" s="43">
        <f t="shared" si="2"/>
        <v>13.866000000000225</v>
      </c>
      <c r="F13" s="51">
        <f t="shared" si="3"/>
        <v>0.50700000000000001</v>
      </c>
      <c r="G13" s="9">
        <f>1.057-H13</f>
        <v>0.40799999999999992</v>
      </c>
      <c r="H13" s="10">
        <v>0.64900000000000002</v>
      </c>
      <c r="I13" s="161">
        <f t="shared" si="4"/>
        <v>4.5999999999999988</v>
      </c>
      <c r="J13" s="8"/>
      <c r="K13" s="26"/>
      <c r="L13" s="12"/>
      <c r="M13" s="51">
        <f t="shared" si="0"/>
        <v>0.64900000000000002</v>
      </c>
      <c r="N13" s="24">
        <v>0.55200000000000005</v>
      </c>
      <c r="O13" s="47">
        <f t="shared" si="5"/>
        <v>1.0459999999999958</v>
      </c>
      <c r="P13" s="48"/>
      <c r="Q13" s="47">
        <f t="shared" si="1"/>
        <v>19.512000000000221</v>
      </c>
      <c r="R13" s="165">
        <f t="shared" si="6"/>
        <v>28.917000000000002</v>
      </c>
      <c r="S13" s="160">
        <f>342.628+AI11</f>
        <v>376.07799999999997</v>
      </c>
      <c r="T13" s="86">
        <v>1039183.7</v>
      </c>
      <c r="U13" s="86">
        <v>2256219.0080000004</v>
      </c>
      <c r="V13" s="212"/>
      <c r="W13" s="87">
        <v>0</v>
      </c>
      <c r="X13" s="79"/>
      <c r="Y13" s="59">
        <f>15103850.4-AI11*M59</f>
        <v>14128782.9</v>
      </c>
      <c r="Z13" s="87">
        <v>2470628.2000000002</v>
      </c>
      <c r="AA13" s="86"/>
      <c r="AB13" s="80"/>
      <c r="AC13" s="58"/>
      <c r="AD13" s="87">
        <v>89545.5</v>
      </c>
      <c r="AE13" s="55" t="e">
        <f>D12*#REF!</f>
        <v>#REF!</v>
      </c>
      <c r="AF13" s="14"/>
      <c r="AG13" s="58"/>
      <c r="AH13" s="123" t="s">
        <v>49</v>
      </c>
      <c r="AI13" s="122">
        <v>33.241</v>
      </c>
      <c r="AJ13" s="99" t="s">
        <v>457</v>
      </c>
      <c r="AK13" s="91">
        <v>50885763</v>
      </c>
      <c r="AL13" s="135"/>
      <c r="AM13" s="21"/>
      <c r="AN13" s="21"/>
    </row>
    <row r="14" spans="1:40" ht="13.2" customHeight="1" thickBot="1" x14ac:dyDescent="0.35">
      <c r="A14" s="7">
        <v>45209</v>
      </c>
      <c r="B14" s="28">
        <v>4.0599999999999996</v>
      </c>
      <c r="C14" s="30">
        <v>0.72</v>
      </c>
      <c r="D14" s="186"/>
      <c r="E14" s="43">
        <f t="shared" si="2"/>
        <v>9.0860000000002241</v>
      </c>
      <c r="F14" s="51">
        <f t="shared" si="3"/>
        <v>0.72</v>
      </c>
      <c r="G14" s="30">
        <f>1.02-H14</f>
        <v>0.26</v>
      </c>
      <c r="H14" s="24">
        <v>0.76</v>
      </c>
      <c r="I14" s="161">
        <f t="shared" si="4"/>
        <v>4.2999999999999989</v>
      </c>
      <c r="J14" s="8"/>
      <c r="K14" s="11"/>
      <c r="L14" s="12"/>
      <c r="M14" s="51">
        <f t="shared" si="0"/>
        <v>0.76</v>
      </c>
      <c r="N14" s="24">
        <v>0.61699999999999999</v>
      </c>
      <c r="O14" s="47">
        <f t="shared" si="5"/>
        <v>1.1889999999999958</v>
      </c>
      <c r="P14" s="48"/>
      <c r="Q14" s="47">
        <f t="shared" si="1"/>
        <v>14.57500000000022</v>
      </c>
      <c r="R14" s="165">
        <f t="shared" si="6"/>
        <v>5.0799999999999992</v>
      </c>
      <c r="S14" s="160">
        <f>376.078+AI13</f>
        <v>409.31899999999996</v>
      </c>
      <c r="T14" s="58">
        <v>1039183.7</v>
      </c>
      <c r="U14" s="86">
        <v>2256219.0080000004</v>
      </c>
      <c r="V14" s="212"/>
      <c r="W14" s="388">
        <v>0</v>
      </c>
      <c r="X14" s="79"/>
      <c r="Y14" s="58">
        <v>14128782.9</v>
      </c>
      <c r="Z14" s="107">
        <f>2470628.2-AI13*M77</f>
        <v>1455880.1930000002</v>
      </c>
      <c r="AA14" s="86"/>
      <c r="AB14" s="80"/>
      <c r="AC14" s="58"/>
      <c r="AD14" s="87">
        <v>89545.5</v>
      </c>
      <c r="AE14" s="55" t="e">
        <f>481844-19.55*#REF!</f>
        <v>#REF!</v>
      </c>
      <c r="AF14" s="14"/>
      <c r="AG14" s="58"/>
      <c r="AH14" s="445"/>
      <c r="AI14" s="126"/>
      <c r="AJ14" s="99"/>
      <c r="AK14" s="91"/>
      <c r="AL14" s="239"/>
      <c r="AM14" s="21"/>
      <c r="AN14" s="21"/>
    </row>
    <row r="15" spans="1:40" ht="13.2" customHeight="1" thickBot="1" x14ac:dyDescent="0.35">
      <c r="A15" s="7">
        <v>45210</v>
      </c>
      <c r="B15" s="28"/>
      <c r="C15" s="30"/>
      <c r="D15" s="186"/>
      <c r="E15" s="43">
        <f t="shared" si="2"/>
        <v>9.0860000000002241</v>
      </c>
      <c r="F15" s="51">
        <f t="shared" si="3"/>
        <v>0</v>
      </c>
      <c r="G15" s="9">
        <f>0.68-H15</f>
        <v>0.12</v>
      </c>
      <c r="H15" s="10">
        <v>0.56000000000000005</v>
      </c>
      <c r="I15" s="161">
        <f t="shared" si="4"/>
        <v>3.6199999999999988</v>
      </c>
      <c r="J15" s="8"/>
      <c r="K15" s="11"/>
      <c r="L15" s="12"/>
      <c r="M15" s="51">
        <f>H15</f>
        <v>0.56000000000000005</v>
      </c>
      <c r="N15" s="24">
        <v>0.34899999999999998</v>
      </c>
      <c r="O15" s="47">
        <f t="shared" si="5"/>
        <v>1.3999999999999959</v>
      </c>
      <c r="P15" s="48"/>
      <c r="Q15" s="47">
        <f t="shared" si="1"/>
        <v>14.106000000000218</v>
      </c>
      <c r="R15" s="165">
        <f t="shared" si="6"/>
        <v>0.68</v>
      </c>
      <c r="S15" s="160">
        <v>409.31899999999996</v>
      </c>
      <c r="T15" s="86">
        <v>1039183.7</v>
      </c>
      <c r="U15" s="86">
        <f>2256219.01+767000</f>
        <v>3023219.01</v>
      </c>
      <c r="V15" s="80"/>
      <c r="W15" s="388">
        <v>2920000</v>
      </c>
      <c r="X15" s="79"/>
      <c r="Y15" s="58">
        <v>14128782.9</v>
      </c>
      <c r="Z15" s="87">
        <f>1384844.18+813000</f>
        <v>2197844.1799999997</v>
      </c>
      <c r="AA15" s="86"/>
      <c r="AB15" s="80"/>
      <c r="AC15" s="58"/>
      <c r="AD15" s="87">
        <v>89545.5</v>
      </c>
      <c r="AE15" s="271"/>
      <c r="AF15" s="14"/>
      <c r="AG15" s="58"/>
      <c r="AH15" s="128"/>
      <c r="AI15" s="120"/>
      <c r="AJ15" s="208"/>
      <c r="AK15" s="91"/>
      <c r="AL15" s="239"/>
      <c r="AM15" s="21"/>
      <c r="AN15" s="21"/>
    </row>
    <row r="16" spans="1:40" ht="13.2" customHeight="1" thickBot="1" x14ac:dyDescent="0.35">
      <c r="A16" s="7">
        <v>45211</v>
      </c>
      <c r="B16" s="28">
        <v>75.599999999999994</v>
      </c>
      <c r="C16" s="30"/>
      <c r="D16" s="186">
        <f>'09.2023'!AI34+'09.2023'!AI35+'09.2023'!AI37+'09.2023'!AI36+20.44+20.78</f>
        <v>179.62</v>
      </c>
      <c r="E16" s="43">
        <f t="shared" si="2"/>
        <v>113.10600000000022</v>
      </c>
      <c r="F16" s="51">
        <f t="shared" si="3"/>
        <v>0</v>
      </c>
      <c r="G16" s="9">
        <f>0.51-H16</f>
        <v>0.2</v>
      </c>
      <c r="H16" s="10">
        <v>0.31</v>
      </c>
      <c r="I16" s="161">
        <f t="shared" si="4"/>
        <v>3.1099999999999985</v>
      </c>
      <c r="J16" s="8"/>
      <c r="K16" s="11"/>
      <c r="L16" s="12"/>
      <c r="M16" s="51">
        <f t="shared" si="0"/>
        <v>0.31</v>
      </c>
      <c r="N16" s="24">
        <v>0.38100000000000001</v>
      </c>
      <c r="O16" s="47">
        <f t="shared" si="5"/>
        <v>1.328999999999996</v>
      </c>
      <c r="P16" s="48"/>
      <c r="Q16" s="47">
        <f t="shared" si="1"/>
        <v>117.54500000000021</v>
      </c>
      <c r="R16" s="165">
        <f t="shared" si="6"/>
        <v>76.11</v>
      </c>
      <c r="S16" s="160">
        <f>AI5+AI7+AI8+AI9+AI11+AI13+AI16</f>
        <v>341.63299999999998</v>
      </c>
      <c r="T16" s="86">
        <v>1039183.7</v>
      </c>
      <c r="U16" s="407">
        <f>U15-AI16*M78+144000</f>
        <v>1008532.7319999998</v>
      </c>
      <c r="V16" s="80"/>
      <c r="W16" s="461">
        <f>2920000-(20.44+20.78)*M52</f>
        <v>1415470</v>
      </c>
      <c r="X16" s="85"/>
      <c r="Y16" s="58">
        <v>14128782.9</v>
      </c>
      <c r="Z16" s="87">
        <f>1384844.18+813000</f>
        <v>2197844.1799999997</v>
      </c>
      <c r="AA16" s="86"/>
      <c r="AB16" s="80"/>
      <c r="AC16" s="58"/>
      <c r="AD16" s="87">
        <v>89545.5</v>
      </c>
      <c r="AE16" s="55"/>
      <c r="AF16" s="14"/>
      <c r="AG16" s="58"/>
      <c r="AH16" s="128" t="s">
        <v>48</v>
      </c>
      <c r="AI16" s="120">
        <v>70.713999999999999</v>
      </c>
      <c r="AJ16" s="103" t="s">
        <v>459</v>
      </c>
      <c r="AK16" s="91" t="s">
        <v>460</v>
      </c>
      <c r="AL16" s="239"/>
      <c r="AM16" s="21"/>
      <c r="AN16" s="21"/>
    </row>
    <row r="17" spans="1:40" s="1" customFormat="1" ht="13.2" customHeight="1" thickBot="1" x14ac:dyDescent="0.35">
      <c r="A17" s="7">
        <v>45212</v>
      </c>
      <c r="B17" s="28">
        <f>82.17-1.73</f>
        <v>80.44</v>
      </c>
      <c r="C17" s="30"/>
      <c r="D17" s="186">
        <f>AI7+AI5</f>
        <v>133.52799999999999</v>
      </c>
      <c r="E17" s="43">
        <f t="shared" si="2"/>
        <v>166.19400000000022</v>
      </c>
      <c r="F17" s="51">
        <f t="shared" si="3"/>
        <v>0</v>
      </c>
      <c r="G17" s="9">
        <f>0.71-H17</f>
        <v>0.71</v>
      </c>
      <c r="H17" s="10"/>
      <c r="I17" s="161">
        <f t="shared" si="4"/>
        <v>2.3999999999999986</v>
      </c>
      <c r="J17" s="4"/>
      <c r="K17" s="5"/>
      <c r="L17" s="6"/>
      <c r="M17" s="51">
        <f t="shared" si="0"/>
        <v>0</v>
      </c>
      <c r="N17" s="24">
        <v>0.37</v>
      </c>
      <c r="O17" s="47">
        <f t="shared" si="5"/>
        <v>0.95899999999999597</v>
      </c>
      <c r="P17" s="49"/>
      <c r="Q17" s="47">
        <f t="shared" si="1"/>
        <v>169.55300000000022</v>
      </c>
      <c r="R17" s="165">
        <f t="shared" si="6"/>
        <v>81.149999999999991</v>
      </c>
      <c r="S17" s="160">
        <f>AI8+AI9+AI11+AI13+AI16+AI17</f>
        <v>244.15499999999997</v>
      </c>
      <c r="T17" s="59">
        <f>T16-AI17*M46+31000</f>
        <v>580.19999999995343</v>
      </c>
      <c r="U17" s="86">
        <f>U16</f>
        <v>1008532.7319999998</v>
      </c>
      <c r="V17" s="80"/>
      <c r="W17" s="87">
        <f>W16</f>
        <v>1415470</v>
      </c>
      <c r="X17" s="79"/>
      <c r="Y17" s="58">
        <f>Y16</f>
        <v>14128782.9</v>
      </c>
      <c r="Z17" s="87">
        <f>Z16</f>
        <v>2197844.1799999997</v>
      </c>
      <c r="AA17" s="86"/>
      <c r="AB17" s="80"/>
      <c r="AC17" s="58"/>
      <c r="AD17" s="87">
        <v>0</v>
      </c>
      <c r="AE17" s="55"/>
      <c r="AF17" s="14"/>
      <c r="AG17" s="58"/>
      <c r="AH17" s="445" t="s">
        <v>43</v>
      </c>
      <c r="AI17" s="126">
        <v>36.049999999999997</v>
      </c>
      <c r="AJ17" s="464" t="s">
        <v>461</v>
      </c>
      <c r="AK17" s="91">
        <v>77381895</v>
      </c>
      <c r="AL17" s="130"/>
      <c r="AM17" s="99"/>
      <c r="AN17" s="27"/>
    </row>
    <row r="18" spans="1:40" ht="13.2" customHeight="1" thickBot="1" x14ac:dyDescent="0.35">
      <c r="A18" s="3">
        <v>45213</v>
      </c>
      <c r="B18" s="28">
        <f>3+7.6</f>
        <v>10.6</v>
      </c>
      <c r="C18" s="30"/>
      <c r="D18" s="186"/>
      <c r="E18" s="43">
        <f t="shared" si="2"/>
        <v>155.59400000000022</v>
      </c>
      <c r="F18" s="51">
        <f t="shared" si="3"/>
        <v>0</v>
      </c>
      <c r="G18" s="9"/>
      <c r="H18" s="10"/>
      <c r="I18" s="161">
        <f t="shared" si="4"/>
        <v>2.3999999999999986</v>
      </c>
      <c r="J18" s="8"/>
      <c r="K18" s="11"/>
      <c r="L18" s="12"/>
      <c r="M18" s="51">
        <f t="shared" si="0"/>
        <v>0</v>
      </c>
      <c r="N18" s="24"/>
      <c r="O18" s="47">
        <f t="shared" si="5"/>
        <v>0.95899999999999597</v>
      </c>
      <c r="P18" s="48"/>
      <c r="Q18" s="47">
        <f t="shared" si="1"/>
        <v>158.95300000000023</v>
      </c>
      <c r="R18" s="165">
        <f t="shared" si="6"/>
        <v>10.6</v>
      </c>
      <c r="S18" s="160">
        <v>244.15499999999997</v>
      </c>
      <c r="T18" s="86">
        <v>580.19999999995343</v>
      </c>
      <c r="U18" s="86">
        <v>1008532.7319999998</v>
      </c>
      <c r="V18" s="80"/>
      <c r="W18" s="388">
        <v>1415470</v>
      </c>
      <c r="X18" s="79"/>
      <c r="Y18" s="58">
        <v>14128782.9</v>
      </c>
      <c r="Z18" s="87">
        <v>2197844.1799999997</v>
      </c>
      <c r="AA18" s="86"/>
      <c r="AB18" s="80"/>
      <c r="AC18" s="58"/>
      <c r="AD18" s="87">
        <v>0</v>
      </c>
      <c r="AE18" s="55"/>
      <c r="AF18" s="14"/>
      <c r="AG18" s="58"/>
      <c r="AH18" s="123" t="s">
        <v>49</v>
      </c>
      <c r="AI18" s="122">
        <v>37.590000000000003</v>
      </c>
      <c r="AJ18" s="416" t="s">
        <v>462</v>
      </c>
      <c r="AK18" s="91">
        <v>55205215</v>
      </c>
      <c r="AL18" s="239"/>
      <c r="AM18" s="21"/>
      <c r="AN18" s="21"/>
    </row>
    <row r="19" spans="1:40" ht="13.2" customHeight="1" thickBot="1" x14ac:dyDescent="0.35">
      <c r="A19" s="3">
        <v>45214</v>
      </c>
      <c r="B19" s="28"/>
      <c r="C19" s="30"/>
      <c r="D19" s="186"/>
      <c r="E19" s="43">
        <f t="shared" si="2"/>
        <v>155.59400000000022</v>
      </c>
      <c r="F19" s="51">
        <f t="shared" si="3"/>
        <v>0</v>
      </c>
      <c r="G19" s="9"/>
      <c r="H19" s="10"/>
      <c r="I19" s="161">
        <f t="shared" si="4"/>
        <v>2.3999999999999986</v>
      </c>
      <c r="J19" s="8"/>
      <c r="K19" s="11"/>
      <c r="L19" s="12"/>
      <c r="M19" s="51">
        <f t="shared" si="0"/>
        <v>0</v>
      </c>
      <c r="N19" s="24"/>
      <c r="O19" s="47">
        <f t="shared" si="5"/>
        <v>0.95899999999999597</v>
      </c>
      <c r="P19" s="48"/>
      <c r="Q19" s="47">
        <f t="shared" si="1"/>
        <v>158.95300000000023</v>
      </c>
      <c r="R19" s="165">
        <f t="shared" si="6"/>
        <v>0</v>
      </c>
      <c r="S19" s="160">
        <v>244.15499999999997</v>
      </c>
      <c r="T19" s="86">
        <v>580.19999999995343</v>
      </c>
      <c r="U19" s="86">
        <v>1008532.7319999998</v>
      </c>
      <c r="V19" s="288"/>
      <c r="W19" s="388">
        <v>1415470</v>
      </c>
      <c r="X19" s="79"/>
      <c r="Y19" s="58">
        <v>14128782.9</v>
      </c>
      <c r="Z19" s="87">
        <v>2197844.1799999997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123" t="s">
        <v>49</v>
      </c>
      <c r="AI19" s="122">
        <v>33.1</v>
      </c>
      <c r="AJ19" s="103" t="s">
        <v>463</v>
      </c>
      <c r="AK19" s="228">
        <v>50843077</v>
      </c>
      <c r="AL19" s="239"/>
      <c r="AM19" s="21"/>
      <c r="AN19" s="21"/>
    </row>
    <row r="20" spans="1:40" ht="13.2" customHeight="1" thickBot="1" x14ac:dyDescent="0.35">
      <c r="A20" s="7">
        <v>45215</v>
      </c>
      <c r="B20" s="28">
        <v>50.6</v>
      </c>
      <c r="C20" s="30">
        <v>3.9380000000000002</v>
      </c>
      <c r="D20" s="186">
        <f>AI13+18.83</f>
        <v>52.070999999999998</v>
      </c>
      <c r="E20" s="43">
        <f t="shared" si="2"/>
        <v>153.12700000000024</v>
      </c>
      <c r="F20" s="51">
        <f t="shared" si="3"/>
        <v>3.9380000000000002</v>
      </c>
      <c r="G20" s="9">
        <f>3.338-H20</f>
        <v>2.552</v>
      </c>
      <c r="H20" s="10">
        <v>0.78600000000000003</v>
      </c>
      <c r="I20" s="161">
        <f t="shared" si="4"/>
        <v>2.9999999999999991</v>
      </c>
      <c r="J20" s="8"/>
      <c r="K20" s="11"/>
      <c r="L20" s="12"/>
      <c r="M20" s="51">
        <f t="shared" si="0"/>
        <v>0.78600000000000003</v>
      </c>
      <c r="N20" s="24">
        <v>0.30599999999999999</v>
      </c>
      <c r="O20" s="47">
        <f t="shared" si="5"/>
        <v>1.4389999999999961</v>
      </c>
      <c r="P20" s="48"/>
      <c r="Q20" s="47">
        <f t="shared" si="1"/>
        <v>157.56600000000023</v>
      </c>
      <c r="R20" s="165">
        <f t="shared" si="6"/>
        <v>53.938000000000002</v>
      </c>
      <c r="S20" s="160">
        <f>AI8+AI9+AI11+AI16+AI17+AI18+AI20+AI21+AI19</f>
        <v>415.00400000000002</v>
      </c>
      <c r="T20" s="86">
        <v>580.19999999995343</v>
      </c>
      <c r="U20" s="86">
        <v>1008532.7319999998</v>
      </c>
      <c r="V20" s="288"/>
      <c r="W20" s="461">
        <f>1415470-18.83*M52</f>
        <v>728175.00000000012</v>
      </c>
      <c r="X20" s="79"/>
      <c r="Y20" s="59">
        <f>14128782.9-(AI20+AI21)*M57</f>
        <v>10006722.9</v>
      </c>
      <c r="Z20" s="107">
        <f>2197844.18-(AI18+AI19)*M77</f>
        <v>39890.550000000279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27" t="s">
        <v>464</v>
      </c>
      <c r="AI20" s="126">
        <v>100.4</v>
      </c>
      <c r="AJ20" s="103" t="s">
        <v>465</v>
      </c>
      <c r="AK20" s="228" t="s">
        <v>466</v>
      </c>
      <c r="AL20" s="21"/>
      <c r="AM20" s="21"/>
      <c r="AN20" s="21"/>
    </row>
    <row r="21" spans="1:40" ht="13.2" customHeight="1" thickBot="1" x14ac:dyDescent="0.35">
      <c r="A21" s="7">
        <v>45216</v>
      </c>
      <c r="B21" s="28">
        <v>50.19</v>
      </c>
      <c r="C21" s="28">
        <v>8.984</v>
      </c>
      <c r="D21" s="186">
        <f>20.28+18.68+15.9+0.11</f>
        <v>54.97</v>
      </c>
      <c r="E21" s="43">
        <f t="shared" si="2"/>
        <v>148.92300000000023</v>
      </c>
      <c r="F21" s="51">
        <f t="shared" si="3"/>
        <v>8.984</v>
      </c>
      <c r="G21" s="9">
        <f>8.544</f>
        <v>8.5440000000000005</v>
      </c>
      <c r="H21" s="10"/>
      <c r="I21" s="161">
        <f t="shared" si="4"/>
        <v>3.4399999999999977</v>
      </c>
      <c r="J21" s="8"/>
      <c r="K21" s="11"/>
      <c r="L21" s="12"/>
      <c r="M21" s="51">
        <f t="shared" si="0"/>
        <v>0</v>
      </c>
      <c r="N21" s="24">
        <v>0.28899999999999998</v>
      </c>
      <c r="O21" s="47">
        <f t="shared" si="5"/>
        <v>1.1499999999999961</v>
      </c>
      <c r="P21" s="48"/>
      <c r="Q21" s="47">
        <f t="shared" si="1"/>
        <v>153.51300000000023</v>
      </c>
      <c r="R21" s="165">
        <f t="shared" si="6"/>
        <v>58.733999999999995</v>
      </c>
      <c r="S21" s="160">
        <v>415.00400000000002</v>
      </c>
      <c r="T21" s="86">
        <v>580.19999999995343</v>
      </c>
      <c r="U21" s="82">
        <v>1008532.7319999998</v>
      </c>
      <c r="V21" s="288"/>
      <c r="W21" s="388">
        <f>728175+1263000</f>
        <v>1991175</v>
      </c>
      <c r="X21" s="79"/>
      <c r="Y21" s="58">
        <v>10006722.9</v>
      </c>
      <c r="Z21" s="87">
        <f>Z20</f>
        <v>39890.550000000279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127" t="s">
        <v>464</v>
      </c>
      <c r="AI21" s="122">
        <v>33</v>
      </c>
      <c r="AJ21" s="414" t="s">
        <v>467</v>
      </c>
      <c r="AK21" s="91">
        <v>58248519</v>
      </c>
      <c r="AL21" s="21"/>
      <c r="AM21" s="21"/>
      <c r="AN21" s="21"/>
    </row>
    <row r="22" spans="1:40" ht="13.2" customHeight="1" thickBot="1" x14ac:dyDescent="0.35">
      <c r="A22" s="7">
        <v>45217</v>
      </c>
      <c r="B22" s="28">
        <v>30.757000000000001</v>
      </c>
      <c r="C22" s="146">
        <v>1.43</v>
      </c>
      <c r="D22" s="186">
        <f>AI16</f>
        <v>70.713999999999999</v>
      </c>
      <c r="E22" s="43">
        <f t="shared" si="2"/>
        <v>187.45000000000022</v>
      </c>
      <c r="F22" s="51">
        <f t="shared" si="3"/>
        <v>1.43</v>
      </c>
      <c r="G22" s="9">
        <f>0.92-H22</f>
        <v>0.46</v>
      </c>
      <c r="H22" s="10">
        <v>0.46</v>
      </c>
      <c r="I22" s="161">
        <f t="shared" si="4"/>
        <v>3.9499999999999975</v>
      </c>
      <c r="J22" s="8"/>
      <c r="K22" s="11"/>
      <c r="L22" s="12"/>
      <c r="M22" s="51">
        <f t="shared" si="0"/>
        <v>0.46</v>
      </c>
      <c r="N22" s="24">
        <v>0.31900000000000001</v>
      </c>
      <c r="O22" s="47">
        <f t="shared" si="5"/>
        <v>1.2909999999999962</v>
      </c>
      <c r="P22" s="48"/>
      <c r="Q22" s="47">
        <f t="shared" si="1"/>
        <v>192.6910000000002</v>
      </c>
      <c r="R22" s="165">
        <f t="shared" si="6"/>
        <v>31.677000000000003</v>
      </c>
      <c r="S22" s="160">
        <f>AI8+AI9+AI11+AI17+AI18+AI19+AI20+AI21+AI22</f>
        <v>375.63299999999998</v>
      </c>
      <c r="T22" s="86">
        <v>580.20000000000005</v>
      </c>
      <c r="U22" s="407">
        <f>1008532.73-AI22*M78</f>
        <v>51724.968999999925</v>
      </c>
      <c r="V22" s="426"/>
      <c r="W22" s="461">
        <f>W21-M52*D21</f>
        <v>-15230</v>
      </c>
      <c r="X22" s="79"/>
      <c r="Y22" s="58">
        <v>10006722.9</v>
      </c>
      <c r="Z22" s="87">
        <v>39890.550000000003</v>
      </c>
      <c r="AA22" s="287"/>
      <c r="AB22" s="428"/>
      <c r="AC22" s="59">
        <f>965650-AI19*M71</f>
        <v>138150</v>
      </c>
      <c r="AD22" s="427">
        <v>0</v>
      </c>
      <c r="AE22" s="55"/>
      <c r="AF22" s="14"/>
      <c r="AG22" s="58">
        <v>57820.000000000116</v>
      </c>
      <c r="AH22" s="128" t="s">
        <v>48</v>
      </c>
      <c r="AI22" s="120">
        <v>31.343</v>
      </c>
      <c r="AJ22" s="103" t="s">
        <v>471</v>
      </c>
      <c r="AK22" s="91">
        <v>50810613</v>
      </c>
      <c r="AL22" s="21"/>
      <c r="AM22" s="21"/>
      <c r="AN22" s="21"/>
    </row>
    <row r="23" spans="1:40" ht="13.2" customHeight="1" thickBot="1" x14ac:dyDescent="0.35">
      <c r="A23" s="7">
        <v>45218</v>
      </c>
      <c r="B23" s="28">
        <f>38.53-0.09</f>
        <v>38.44</v>
      </c>
      <c r="C23" s="30">
        <v>1.605</v>
      </c>
      <c r="D23" s="186"/>
      <c r="E23" s="43">
        <f t="shared" si="2"/>
        <v>147.40500000000023</v>
      </c>
      <c r="F23" s="51">
        <f t="shared" si="3"/>
        <v>1.605</v>
      </c>
      <c r="G23" s="9">
        <f>2.055-H23</f>
        <v>1.2600000000000002</v>
      </c>
      <c r="H23" s="10">
        <v>0.79500000000000004</v>
      </c>
      <c r="I23" s="161">
        <f t="shared" si="4"/>
        <v>3.4999999999999982</v>
      </c>
      <c r="J23" s="8"/>
      <c r="K23" s="11"/>
      <c r="L23" s="12"/>
      <c r="M23" s="51">
        <f t="shared" si="0"/>
        <v>0.79500000000000004</v>
      </c>
      <c r="N23" s="24">
        <v>0.61299999999999999</v>
      </c>
      <c r="O23" s="47">
        <f t="shared" si="5"/>
        <v>1.4729999999999963</v>
      </c>
      <c r="P23" s="48"/>
      <c r="Q23" s="47">
        <f t="shared" si="1"/>
        <v>152.37800000000021</v>
      </c>
      <c r="R23" s="165">
        <f t="shared" si="6"/>
        <v>40.494999999999997</v>
      </c>
      <c r="S23" s="160">
        <v>375.63299999999998</v>
      </c>
      <c r="T23" s="86">
        <v>580.20000000000005</v>
      </c>
      <c r="U23" s="82">
        <v>51724.968999999925</v>
      </c>
      <c r="V23" s="86"/>
      <c r="W23" s="388">
        <v>-15230</v>
      </c>
      <c r="X23" s="79"/>
      <c r="Y23" s="58">
        <v>10006722.9</v>
      </c>
      <c r="Z23" s="87">
        <v>39890.550000000003</v>
      </c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445"/>
      <c r="AI23" s="126"/>
      <c r="AJ23" s="103"/>
      <c r="AK23" s="21"/>
      <c r="AL23" s="91"/>
      <c r="AM23" s="21"/>
      <c r="AN23" s="21"/>
    </row>
    <row r="24" spans="1:40" ht="13.2" customHeight="1" thickBot="1" x14ac:dyDescent="0.35">
      <c r="A24" s="7">
        <v>45219</v>
      </c>
      <c r="B24" s="28">
        <v>47.14</v>
      </c>
      <c r="C24" s="30">
        <v>1.93</v>
      </c>
      <c r="D24" s="186">
        <f>AI17+AI11+21.22</f>
        <v>90.72</v>
      </c>
      <c r="E24" s="43">
        <f t="shared" si="2"/>
        <v>189.05500000000023</v>
      </c>
      <c r="F24" s="51">
        <f t="shared" si="3"/>
        <v>1.93</v>
      </c>
      <c r="G24" s="9">
        <f>2.54</f>
        <v>2.54</v>
      </c>
      <c r="H24" s="10"/>
      <c r="I24" s="161">
        <f t="shared" si="4"/>
        <v>2.8899999999999979</v>
      </c>
      <c r="J24" s="8"/>
      <c r="K24" s="11"/>
      <c r="L24" s="12"/>
      <c r="M24" s="51">
        <f t="shared" si="0"/>
        <v>0</v>
      </c>
      <c r="N24" s="24">
        <v>0.21299999999999999</v>
      </c>
      <c r="O24" s="47">
        <f t="shared" si="5"/>
        <v>1.2599999999999962</v>
      </c>
      <c r="P24" s="48"/>
      <c r="Q24" s="47">
        <f t="shared" si="1"/>
        <v>193.20500000000021</v>
      </c>
      <c r="R24" s="165">
        <f t="shared" si="6"/>
        <v>49.68</v>
      </c>
      <c r="S24" s="160">
        <f>AI22+AI21+AI20+AI19+AI18+AI9+AI8</f>
        <v>306.13299999999998</v>
      </c>
      <c r="T24" s="86">
        <v>580.20000000000005</v>
      </c>
      <c r="U24" s="82">
        <v>51724.968999999925</v>
      </c>
      <c r="V24" s="86"/>
      <c r="W24" s="388">
        <v>0</v>
      </c>
      <c r="X24" s="430"/>
      <c r="Y24" s="58">
        <v>10006722.9</v>
      </c>
      <c r="Z24" s="87">
        <v>39890.550000000003</v>
      </c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127"/>
      <c r="AI24" s="122"/>
      <c r="AJ24" s="103"/>
      <c r="AK24" s="91"/>
      <c r="AL24" s="21"/>
      <c r="AM24" s="21"/>
      <c r="AN24" s="21"/>
    </row>
    <row r="25" spans="1:40" ht="13.2" customHeight="1" thickBot="1" x14ac:dyDescent="0.35">
      <c r="A25" s="3">
        <v>45220</v>
      </c>
      <c r="B25" s="28"/>
      <c r="C25" s="30"/>
      <c r="D25" s="186"/>
      <c r="E25" s="43">
        <f t="shared" si="2"/>
        <v>189.05500000000023</v>
      </c>
      <c r="F25" s="51">
        <f t="shared" si="3"/>
        <v>0</v>
      </c>
      <c r="G25" s="219"/>
      <c r="H25" s="10"/>
      <c r="I25" s="161">
        <f t="shared" si="4"/>
        <v>2.8899999999999979</v>
      </c>
      <c r="J25" s="8"/>
      <c r="K25" s="11"/>
      <c r="L25" s="12"/>
      <c r="M25" s="51">
        <f t="shared" si="0"/>
        <v>0</v>
      </c>
      <c r="N25" s="24"/>
      <c r="O25" s="47">
        <f t="shared" si="5"/>
        <v>1.2599999999999962</v>
      </c>
      <c r="P25" s="48"/>
      <c r="Q25" s="47">
        <f t="shared" si="1"/>
        <v>193.20500000000021</v>
      </c>
      <c r="R25" s="165">
        <f t="shared" si="6"/>
        <v>0</v>
      </c>
      <c r="S25" s="160">
        <v>306.13299999999998</v>
      </c>
      <c r="T25" s="212">
        <v>580.20000000000005</v>
      </c>
      <c r="U25" s="82">
        <v>51724.968999999925</v>
      </c>
      <c r="V25" s="86"/>
      <c r="W25" s="388">
        <v>0</v>
      </c>
      <c r="X25" s="94"/>
      <c r="Y25" s="58">
        <v>10006722.9</v>
      </c>
      <c r="Z25" s="87">
        <v>39890.550000000003</v>
      </c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384"/>
      <c r="AI25" s="121"/>
      <c r="AJ25" s="103"/>
      <c r="AK25" s="91"/>
      <c r="AL25" s="438"/>
      <c r="AM25" s="21"/>
      <c r="AN25" s="21"/>
    </row>
    <row r="26" spans="1:40" ht="12" customHeight="1" thickBot="1" x14ac:dyDescent="0.35">
      <c r="A26" s="3">
        <v>45221</v>
      </c>
      <c r="B26" s="28">
        <v>2.85</v>
      </c>
      <c r="C26" s="30"/>
      <c r="D26" s="186">
        <f>AI18+AI19+AI20+22.64</f>
        <v>193.73000000000002</v>
      </c>
      <c r="E26" s="43">
        <f>E25+D26-B26-C26</f>
        <v>379.93500000000023</v>
      </c>
      <c r="F26" s="51">
        <f t="shared" si="3"/>
        <v>0</v>
      </c>
      <c r="G26" s="9"/>
      <c r="H26" s="10"/>
      <c r="I26" s="161">
        <f t="shared" si="4"/>
        <v>2.8899999999999979</v>
      </c>
      <c r="J26" s="8"/>
      <c r="K26" s="11"/>
      <c r="L26" s="12"/>
      <c r="M26" s="51">
        <f t="shared" si="0"/>
        <v>0</v>
      </c>
      <c r="N26" s="24"/>
      <c r="O26" s="47">
        <f t="shared" si="5"/>
        <v>1.2599999999999962</v>
      </c>
      <c r="P26" s="48"/>
      <c r="Q26" s="47">
        <f t="shared" si="1"/>
        <v>384.08500000000021</v>
      </c>
      <c r="R26" s="165">
        <f t="shared" si="6"/>
        <v>2.85</v>
      </c>
      <c r="S26" s="160">
        <f>AI22+AI21+AI9+AI8</f>
        <v>135.04300000000001</v>
      </c>
      <c r="T26" s="212">
        <v>580.20000000000005</v>
      </c>
      <c r="U26" s="82">
        <v>51724.968999999925</v>
      </c>
      <c r="V26" s="86"/>
      <c r="W26" s="388">
        <f>(21.22+22.64)*M52</f>
        <v>1600890</v>
      </c>
      <c r="X26" s="437"/>
      <c r="Y26" s="58">
        <v>10006722.9</v>
      </c>
      <c r="Z26" s="87">
        <v>39890.550000000003</v>
      </c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/>
      <c r="AI26" s="122"/>
      <c r="AJ26" s="208"/>
      <c r="AK26" s="91"/>
      <c r="AL26" s="21"/>
      <c r="AM26" s="21"/>
      <c r="AN26" s="21"/>
    </row>
    <row r="27" spans="1:40" ht="13.2" customHeight="1" thickBot="1" x14ac:dyDescent="0.35">
      <c r="A27" s="7">
        <v>45222</v>
      </c>
      <c r="B27" s="28">
        <v>32.869999999999997</v>
      </c>
      <c r="C27" s="28">
        <v>3.798</v>
      </c>
      <c r="D27" s="186">
        <f>AI8+AI9+21.92</f>
        <v>92.61999999999999</v>
      </c>
      <c r="E27" s="43">
        <f>E26+D27-B27-C27</f>
        <v>435.88700000000023</v>
      </c>
      <c r="F27" s="51">
        <f t="shared" si="3"/>
        <v>3.798</v>
      </c>
      <c r="G27" s="9">
        <f>2.988-H27</f>
        <v>2.4420000000000002</v>
      </c>
      <c r="H27" s="10">
        <v>0.54600000000000004</v>
      </c>
      <c r="I27" s="161">
        <f t="shared" si="4"/>
        <v>3.6999999999999975</v>
      </c>
      <c r="J27" s="8"/>
      <c r="K27" s="11"/>
      <c r="L27" s="12"/>
      <c r="M27" s="51">
        <f t="shared" si="0"/>
        <v>0.54600000000000004</v>
      </c>
      <c r="N27" s="24">
        <v>0.24</v>
      </c>
      <c r="O27" s="47">
        <f t="shared" si="5"/>
        <v>1.5659999999999963</v>
      </c>
      <c r="P27" s="48"/>
      <c r="Q27" s="47">
        <f t="shared" si="1"/>
        <v>441.15300000000019</v>
      </c>
      <c r="R27" s="165">
        <f t="shared" si="6"/>
        <v>35.857999999999997</v>
      </c>
      <c r="S27" s="160">
        <f>AI22+AI21</f>
        <v>64.343000000000004</v>
      </c>
      <c r="T27" s="212">
        <v>580.20000000000005</v>
      </c>
      <c r="U27" s="82">
        <f>51724.97+2211000</f>
        <v>2262724.9700000002</v>
      </c>
      <c r="V27" s="87"/>
      <c r="W27" s="388">
        <f>21.92*M52</f>
        <v>800080.00000000012</v>
      </c>
      <c r="X27" s="94"/>
      <c r="Y27" s="58">
        <v>10006722.9</v>
      </c>
      <c r="Z27" s="87">
        <f>39890.55+1442000</f>
        <v>1481890.55</v>
      </c>
      <c r="AA27" s="86"/>
      <c r="AB27" s="80"/>
      <c r="AC27" s="58">
        <v>0</v>
      </c>
      <c r="AD27" s="87"/>
      <c r="AE27" s="55"/>
      <c r="AF27" s="14"/>
      <c r="AG27" s="58"/>
      <c r="AH27" s="384"/>
      <c r="AI27" s="122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7">
        <v>45223</v>
      </c>
      <c r="B28" s="28">
        <v>9.4</v>
      </c>
      <c r="C28" s="30">
        <v>2.16</v>
      </c>
      <c r="D28" s="186">
        <f>AI21+22.26</f>
        <v>55.260000000000005</v>
      </c>
      <c r="E28" s="43">
        <f t="shared" si="2"/>
        <v>479.58700000000022</v>
      </c>
      <c r="F28" s="51">
        <f t="shared" si="3"/>
        <v>2.16</v>
      </c>
      <c r="G28" s="9">
        <f>2.19-H28</f>
        <v>2.19</v>
      </c>
      <c r="H28" s="10"/>
      <c r="I28" s="161">
        <f t="shared" si="4"/>
        <v>3.6699999999999977</v>
      </c>
      <c r="J28" s="8"/>
      <c r="K28" s="11"/>
      <c r="L28" s="12"/>
      <c r="M28" s="51">
        <f t="shared" si="0"/>
        <v>0</v>
      </c>
      <c r="N28" s="24">
        <v>0.30199999999999999</v>
      </c>
      <c r="O28" s="47">
        <f t="shared" si="5"/>
        <v>1.2639999999999962</v>
      </c>
      <c r="P28" s="48"/>
      <c r="Q28" s="47">
        <f t="shared" si="1"/>
        <v>484.52100000000024</v>
      </c>
      <c r="R28" s="165">
        <f t="shared" si="6"/>
        <v>11.59</v>
      </c>
      <c r="S28" s="160">
        <f>AI22</f>
        <v>31.343</v>
      </c>
      <c r="T28" s="212">
        <v>580.20000000000005</v>
      </c>
      <c r="U28" s="82">
        <v>2262724.9700000002</v>
      </c>
      <c r="V28" s="86"/>
      <c r="W28" s="388">
        <f>22.26*M52</f>
        <v>812490</v>
      </c>
      <c r="X28" s="437"/>
      <c r="Y28" s="58">
        <v>10006722.9</v>
      </c>
      <c r="Z28" s="87">
        <v>1481890.55</v>
      </c>
      <c r="AA28" s="86"/>
      <c r="AB28" s="80"/>
      <c r="AC28" s="58">
        <v>0</v>
      </c>
      <c r="AD28" s="87"/>
      <c r="AE28" s="55"/>
      <c r="AF28" s="93"/>
      <c r="AG28" s="58"/>
      <c r="AH28" s="384"/>
      <c r="AI28" s="385"/>
      <c r="AJ28" s="356"/>
      <c r="AK28" s="91"/>
      <c r="AL28" s="21"/>
      <c r="AM28" s="21"/>
      <c r="AN28" s="21"/>
    </row>
    <row r="29" spans="1:40" ht="13.2" customHeight="1" outlineLevel="1" thickBot="1" x14ac:dyDescent="0.35">
      <c r="A29" s="7">
        <v>45224</v>
      </c>
      <c r="B29" s="28">
        <v>26.97</v>
      </c>
      <c r="C29" s="30">
        <v>1.6819999999999999</v>
      </c>
      <c r="D29" s="186">
        <f>AI22</f>
        <v>31.343</v>
      </c>
      <c r="E29" s="43">
        <f t="shared" si="2"/>
        <v>482.27800000000025</v>
      </c>
      <c r="F29" s="51">
        <f t="shared" si="3"/>
        <v>1.6819999999999999</v>
      </c>
      <c r="G29" s="9">
        <f>2.212-H29</f>
        <v>1.58</v>
      </c>
      <c r="H29" s="10">
        <v>0.63200000000000001</v>
      </c>
      <c r="I29" s="161">
        <f t="shared" si="4"/>
        <v>3.1399999999999975</v>
      </c>
      <c r="J29" s="8"/>
      <c r="K29" s="11"/>
      <c r="L29" s="12"/>
      <c r="M29" s="51">
        <f t="shared" si="0"/>
        <v>0.63200000000000001</v>
      </c>
      <c r="N29" s="24">
        <v>0.25600000000000001</v>
      </c>
      <c r="O29" s="47">
        <f t="shared" si="5"/>
        <v>1.6399999999999963</v>
      </c>
      <c r="P29" s="48"/>
      <c r="Q29" s="47">
        <f t="shared" si="1"/>
        <v>487.05800000000022</v>
      </c>
      <c r="R29" s="165">
        <f t="shared" si="6"/>
        <v>29.181999999999999</v>
      </c>
      <c r="S29" s="160">
        <v>0</v>
      </c>
      <c r="T29" s="86">
        <v>580.20000000000005</v>
      </c>
      <c r="U29" s="86">
        <v>2262724.9700000002</v>
      </c>
      <c r="V29" s="294"/>
      <c r="W29" s="66">
        <v>812490</v>
      </c>
      <c r="X29" s="94"/>
      <c r="Y29" s="58">
        <v>10006722.9</v>
      </c>
      <c r="Z29" s="86">
        <v>1481890.55</v>
      </c>
      <c r="AA29" s="86"/>
      <c r="AB29" s="129"/>
      <c r="AC29" s="58">
        <v>0</v>
      </c>
      <c r="AD29" s="87"/>
      <c r="AE29" s="56"/>
      <c r="AF29" s="14"/>
      <c r="AG29" s="58"/>
      <c r="AH29" s="384"/>
      <c r="AI29" s="385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45225</v>
      </c>
      <c r="B30" s="28">
        <v>16.86</v>
      </c>
      <c r="C30" s="146">
        <v>3.95</v>
      </c>
      <c r="D30" s="186"/>
      <c r="E30" s="43">
        <f t="shared" si="2"/>
        <v>461.46800000000025</v>
      </c>
      <c r="F30" s="51">
        <f t="shared" si="3"/>
        <v>3.95</v>
      </c>
      <c r="G30" s="30">
        <f>3.55</f>
        <v>3.55</v>
      </c>
      <c r="H30" s="24"/>
      <c r="I30" s="161">
        <f t="shared" si="4"/>
        <v>3.5399999999999983</v>
      </c>
      <c r="J30" s="28"/>
      <c r="K30" s="26"/>
      <c r="L30" s="53"/>
      <c r="M30" s="51">
        <f t="shared" si="0"/>
        <v>0</v>
      </c>
      <c r="N30" s="24">
        <v>0.28100000000000003</v>
      </c>
      <c r="O30" s="47">
        <f t="shared" si="5"/>
        <v>1.3589999999999964</v>
      </c>
      <c r="P30" s="54"/>
      <c r="Q30" s="47">
        <f t="shared" si="1"/>
        <v>466.36700000000025</v>
      </c>
      <c r="R30" s="165">
        <f t="shared" si="6"/>
        <v>20.41</v>
      </c>
      <c r="S30" s="160">
        <v>0</v>
      </c>
      <c r="T30" s="86">
        <f>580.2+1039000</f>
        <v>1039580.2</v>
      </c>
      <c r="U30" s="86">
        <v>2262724.9700000002</v>
      </c>
      <c r="V30" s="294"/>
      <c r="W30" s="66">
        <v>0</v>
      </c>
      <c r="X30" s="94"/>
      <c r="Y30" s="58">
        <v>10006722.9</v>
      </c>
      <c r="Z30" s="86">
        <v>1481890.55</v>
      </c>
      <c r="AA30" s="86"/>
      <c r="AB30" s="129"/>
      <c r="AC30" s="58">
        <v>0</v>
      </c>
      <c r="AD30" s="87"/>
      <c r="AE30" s="191"/>
      <c r="AF30" s="14"/>
      <c r="AG30" s="58"/>
      <c r="AH30" s="384"/>
      <c r="AI30" s="122"/>
      <c r="AJ30" s="103"/>
      <c r="AK30" s="91"/>
    </row>
    <row r="31" spans="1:40" s="21" customFormat="1" ht="13.2" customHeight="1" outlineLevel="1" thickBot="1" x14ac:dyDescent="0.35">
      <c r="A31" s="7">
        <v>45226</v>
      </c>
      <c r="B31" s="28">
        <v>61.756999999999998</v>
      </c>
      <c r="C31" s="30">
        <v>1.7849999999999999</v>
      </c>
      <c r="D31" s="186"/>
      <c r="E31" s="43">
        <f t="shared" si="2"/>
        <v>397.92600000000022</v>
      </c>
      <c r="F31" s="51">
        <f t="shared" si="3"/>
        <v>1.7849999999999999</v>
      </c>
      <c r="G31" s="68">
        <f>1.145-H31</f>
        <v>0.6</v>
      </c>
      <c r="H31" s="69">
        <v>0.54500000000000004</v>
      </c>
      <c r="I31" s="161">
        <f t="shared" si="4"/>
        <v>4.1799999999999988</v>
      </c>
      <c r="J31" s="67"/>
      <c r="K31" s="70"/>
      <c r="L31" s="71"/>
      <c r="M31" s="51">
        <f t="shared" si="0"/>
        <v>0.54500000000000004</v>
      </c>
      <c r="N31" s="24">
        <v>0.245</v>
      </c>
      <c r="O31" s="47">
        <f t="shared" si="5"/>
        <v>1.6589999999999963</v>
      </c>
      <c r="P31" s="72"/>
      <c r="Q31" s="47">
        <f t="shared" si="1"/>
        <v>403.76500000000021</v>
      </c>
      <c r="R31" s="165">
        <f t="shared" si="6"/>
        <v>62.902000000000001</v>
      </c>
      <c r="S31" s="160">
        <v>0</v>
      </c>
      <c r="T31" s="86">
        <v>1039580.2</v>
      </c>
      <c r="U31" s="86">
        <v>2262724.9700000002</v>
      </c>
      <c r="V31" s="87"/>
      <c r="W31" s="153">
        <v>0</v>
      </c>
      <c r="X31" s="94"/>
      <c r="Y31" s="58">
        <v>10006722.9</v>
      </c>
      <c r="Z31" s="86">
        <v>1481890.55</v>
      </c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3">
        <v>45227</v>
      </c>
      <c r="B32" s="28"/>
      <c r="C32" s="30"/>
      <c r="D32" s="186"/>
      <c r="E32" s="43">
        <f t="shared" si="2"/>
        <v>397.92600000000022</v>
      </c>
      <c r="F32" s="51">
        <f t="shared" si="3"/>
        <v>0</v>
      </c>
      <c r="G32" s="62"/>
      <c r="H32" s="62"/>
      <c r="I32" s="161">
        <f t="shared" si="4"/>
        <v>4.1799999999999988</v>
      </c>
      <c r="J32" s="62"/>
      <c r="K32" s="64"/>
      <c r="L32" s="13"/>
      <c r="M32" s="51">
        <f t="shared" si="0"/>
        <v>0</v>
      </c>
      <c r="N32" s="24"/>
      <c r="O32" s="47">
        <f t="shared" si="5"/>
        <v>1.6589999999999963</v>
      </c>
      <c r="P32" s="65"/>
      <c r="Q32" s="47">
        <f t="shared" si="1"/>
        <v>403.76500000000021</v>
      </c>
      <c r="R32" s="165">
        <f t="shared" si="6"/>
        <v>0</v>
      </c>
      <c r="S32" s="160">
        <v>0</v>
      </c>
      <c r="T32" s="86">
        <v>1039580.2</v>
      </c>
      <c r="U32" s="86">
        <v>2262724.9700000002</v>
      </c>
      <c r="V32" s="87"/>
      <c r="W32" s="153">
        <v>0</v>
      </c>
      <c r="X32" s="94"/>
      <c r="Y32" s="58">
        <v>10006722.9</v>
      </c>
      <c r="Z32" s="86">
        <v>1481890.55</v>
      </c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  <c r="AM32" s="21"/>
    </row>
    <row r="33" spans="1:39" ht="13.2" customHeight="1" outlineLevel="1" thickBot="1" x14ac:dyDescent="0.35">
      <c r="A33" s="3">
        <v>45228</v>
      </c>
      <c r="B33" s="28"/>
      <c r="C33" s="9"/>
      <c r="D33" s="186"/>
      <c r="E33" s="43">
        <f t="shared" si="2"/>
        <v>397.92600000000022</v>
      </c>
      <c r="F33" s="51">
        <f t="shared" si="3"/>
        <v>0</v>
      </c>
      <c r="G33" s="62"/>
      <c r="H33" s="62"/>
      <c r="I33" s="161">
        <f t="shared" si="4"/>
        <v>4.1799999999999988</v>
      </c>
      <c r="J33" s="62"/>
      <c r="K33" s="64"/>
      <c r="L33" s="13"/>
      <c r="M33" s="51">
        <f t="shared" si="0"/>
        <v>0</v>
      </c>
      <c r="N33" s="24"/>
      <c r="O33" s="47">
        <f t="shared" si="5"/>
        <v>1.6589999999999963</v>
      </c>
      <c r="P33" s="65"/>
      <c r="Q33" s="47">
        <f t="shared" si="1"/>
        <v>403.76500000000021</v>
      </c>
      <c r="R33" s="165">
        <f>B33+G33+H33+J33</f>
        <v>0</v>
      </c>
      <c r="S33" s="160">
        <f>AI33+AI34+AI35</f>
        <v>111.83</v>
      </c>
      <c r="T33" s="86">
        <v>1039580.2</v>
      </c>
      <c r="U33" s="86">
        <v>2262724.9700000002</v>
      </c>
      <c r="V33" s="87"/>
      <c r="W33" s="153"/>
      <c r="X33" s="94"/>
      <c r="Y33" s="88">
        <f>Y32-AI33*M54-(AI34+AI35)*M55</f>
        <v>6552828.9000000004</v>
      </c>
      <c r="Z33" s="86">
        <v>1481890.55</v>
      </c>
      <c r="AA33" s="86"/>
      <c r="AB33" s="80"/>
      <c r="AC33" s="58"/>
      <c r="AD33" s="87"/>
      <c r="AE33" s="57"/>
      <c r="AF33" s="131"/>
      <c r="AG33" s="58"/>
      <c r="AH33" s="384" t="s">
        <v>323</v>
      </c>
      <c r="AI33" s="120">
        <v>35.979999999999997</v>
      </c>
      <c r="AJ33" s="99" t="s">
        <v>476</v>
      </c>
      <c r="AK33" s="99">
        <v>54617493</v>
      </c>
      <c r="AL33" s="21"/>
      <c r="AM33" s="21"/>
    </row>
    <row r="34" spans="1:39" ht="13.2" customHeight="1" outlineLevel="1" thickBot="1" x14ac:dyDescent="0.35">
      <c r="A34" s="7">
        <v>45229</v>
      </c>
      <c r="B34" s="62">
        <v>30.43</v>
      </c>
      <c r="C34" s="30">
        <v>1.04</v>
      </c>
      <c r="D34" s="92"/>
      <c r="E34" s="43">
        <f t="shared" si="2"/>
        <v>366.45600000000019</v>
      </c>
      <c r="F34" s="51">
        <f t="shared" si="3"/>
        <v>1.04</v>
      </c>
      <c r="G34" s="62">
        <f>0.64</f>
        <v>0.64</v>
      </c>
      <c r="H34" s="62"/>
      <c r="I34" s="161">
        <f t="shared" si="4"/>
        <v>4.5799999999999992</v>
      </c>
      <c r="J34" s="44"/>
      <c r="K34" s="44"/>
      <c r="L34" s="44"/>
      <c r="M34" s="63">
        <f t="shared" si="0"/>
        <v>0</v>
      </c>
      <c r="N34" s="24">
        <v>0.22</v>
      </c>
      <c r="O34" s="47">
        <f t="shared" si="5"/>
        <v>1.4389999999999963</v>
      </c>
      <c r="P34" s="65">
        <v>0</v>
      </c>
      <c r="Q34" s="47">
        <f t="shared" si="1"/>
        <v>372.47500000000019</v>
      </c>
      <c r="R34" s="165">
        <f t="shared" si="6"/>
        <v>31.07</v>
      </c>
      <c r="S34" s="160">
        <f>AI33+AI34+AI35</f>
        <v>111.83</v>
      </c>
      <c r="T34" s="86">
        <v>1039580.2</v>
      </c>
      <c r="U34" s="86">
        <v>2262724.9700000002</v>
      </c>
      <c r="V34" s="87"/>
      <c r="W34" s="153"/>
      <c r="X34" s="94"/>
      <c r="Y34" s="58">
        <f>Y33</f>
        <v>6552828.9000000004</v>
      </c>
      <c r="Z34" s="86">
        <v>1481890.55</v>
      </c>
      <c r="AA34" s="86"/>
      <c r="AB34" s="129"/>
      <c r="AC34" s="58"/>
      <c r="AD34" s="87"/>
      <c r="AE34" s="57"/>
      <c r="AF34" s="87"/>
      <c r="AG34" s="58"/>
      <c r="AH34" s="384" t="s">
        <v>323</v>
      </c>
      <c r="AI34" s="476">
        <v>38.35</v>
      </c>
      <c r="AJ34" s="99">
        <v>75671150</v>
      </c>
      <c r="AK34" s="21">
        <v>55202683</v>
      </c>
      <c r="AL34" s="21"/>
      <c r="AM34" s="21"/>
    </row>
    <row r="35" spans="1:39" ht="15" outlineLevel="1" thickBot="1" x14ac:dyDescent="0.35">
      <c r="A35" s="7">
        <v>45230</v>
      </c>
      <c r="B35" s="108">
        <v>20.82</v>
      </c>
      <c r="C35" s="19">
        <v>1.5509999999999999</v>
      </c>
      <c r="D35" s="92"/>
      <c r="E35" s="73">
        <f>E34+D35-B35-C35</f>
        <v>344.08500000000021</v>
      </c>
      <c r="F35" s="100">
        <f t="shared" si="3"/>
        <v>1.5509999999999999</v>
      </c>
      <c r="G35" s="108">
        <f>3.051-H35</f>
        <v>2.68</v>
      </c>
      <c r="H35" s="108">
        <v>0.371</v>
      </c>
      <c r="I35" s="161">
        <f>I34+F35-G35-H35</f>
        <v>3.0799999999999992</v>
      </c>
      <c r="J35" s="18"/>
      <c r="K35" s="74"/>
      <c r="L35" s="75"/>
      <c r="M35" s="109">
        <f t="shared" si="0"/>
        <v>0.371</v>
      </c>
      <c r="N35" s="24">
        <v>0.41399999999999998</v>
      </c>
      <c r="O35" s="50">
        <f>O34+M35-N35</f>
        <v>1.3959999999999964</v>
      </c>
      <c r="P35" s="76"/>
      <c r="Q35" s="50">
        <f t="shared" si="1"/>
        <v>348.56100000000021</v>
      </c>
      <c r="R35" s="166">
        <f t="shared" si="6"/>
        <v>23.870999999999999</v>
      </c>
      <c r="S35" s="160">
        <f>AI33+AI34+AI35+AI36+AI37</f>
        <v>286.83000000000004</v>
      </c>
      <c r="T35" s="86">
        <v>1039580.2</v>
      </c>
      <c r="U35" s="86">
        <v>2262724.9700000002</v>
      </c>
      <c r="V35" s="87"/>
      <c r="W35" s="153"/>
      <c r="X35" s="94"/>
      <c r="Y35" s="88">
        <f>6552828.9-AI36*M56-AI37*M58</f>
        <v>1164928.9000000004</v>
      </c>
      <c r="Z35" s="86">
        <v>1481890.55</v>
      </c>
      <c r="AA35" s="86"/>
      <c r="AB35" s="129"/>
      <c r="AC35" s="58"/>
      <c r="AD35" s="87"/>
      <c r="AE35" s="57"/>
      <c r="AF35" s="87"/>
      <c r="AG35" s="58"/>
      <c r="AH35" s="384" t="s">
        <v>323</v>
      </c>
      <c r="AI35" s="476">
        <v>37.5</v>
      </c>
      <c r="AJ35" s="99">
        <v>75671149</v>
      </c>
      <c r="AK35" s="2">
        <v>76615103</v>
      </c>
      <c r="AL35" s="21"/>
    </row>
    <row r="36" spans="1:39" ht="15" thickBot="1" x14ac:dyDescent="0.35">
      <c r="A36" s="36" t="s">
        <v>12</v>
      </c>
      <c r="B36" s="37">
        <f>SUM(B5:B35)</f>
        <v>938.88399999999979</v>
      </c>
      <c r="C36" s="37">
        <f>SUM(C5:C35)</f>
        <v>46.017000000000003</v>
      </c>
      <c r="D36" s="37">
        <f>SUM(D5:D35)</f>
        <v>1243.0140000000001</v>
      </c>
      <c r="E36" s="115">
        <f>INDEX(E5:E35,COUNTA(E5:E35))-6.686</f>
        <v>337.39900000000023</v>
      </c>
      <c r="F36" s="37">
        <f>SUM(F5:F35)</f>
        <v>46.017000000000003</v>
      </c>
      <c r="G36" s="37">
        <f>SUM(G5:G35)</f>
        <v>38.375999999999998</v>
      </c>
      <c r="H36" s="37">
        <f>SUM(H5:H35)</f>
        <v>9.4209999999999994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9.4209999999999994</v>
      </c>
      <c r="N36" s="37">
        <f>SUM(N5:N35)</f>
        <v>8.7749999999999986</v>
      </c>
      <c r="O36" s="41"/>
      <c r="P36" s="40">
        <f>B36+G36+H36+J36</f>
        <v>986.68099999999981</v>
      </c>
      <c r="Q36" s="41"/>
      <c r="R36" s="167">
        <f>SUM(R5:R35)</f>
        <v>986.68100000000015</v>
      </c>
      <c r="S36" s="114">
        <f>INDEX(S5:S35,COUNTA(S5:S35))</f>
        <v>286.83000000000004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 t="s">
        <v>323</v>
      </c>
      <c r="AI36" s="122">
        <v>103.6</v>
      </c>
      <c r="AJ36" s="2" t="s">
        <v>477</v>
      </c>
      <c r="AK36" s="229" t="s">
        <v>478</v>
      </c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H37" s="384" t="s">
        <v>323</v>
      </c>
      <c r="AI37" s="122">
        <v>71.400000000000006</v>
      </c>
      <c r="AJ37" s="77" t="s">
        <v>479</v>
      </c>
      <c r="AK37" s="229" t="s">
        <v>480</v>
      </c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337.39900000000023</v>
      </c>
      <c r="AA38" s="111"/>
      <c r="AB38" s="111"/>
      <c r="AC38" s="111"/>
      <c r="AD38" s="112"/>
      <c r="AH38" s="113"/>
    </row>
    <row r="39" spans="1:39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286.83000000000004</v>
      </c>
      <c r="AA39" s="111"/>
      <c r="AB39" s="111"/>
      <c r="AC39" s="111"/>
      <c r="AD39" s="112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N81</f>
        <v>173.32784867354727</v>
      </c>
      <c r="AA40" s="111"/>
      <c r="AB40" s="111"/>
      <c r="AC40" s="111"/>
      <c r="AD40" s="112"/>
      <c r="AH40" s="113"/>
      <c r="AI40" s="122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797.55684867354751</v>
      </c>
      <c r="AA41" s="111"/>
      <c r="AB41" s="111"/>
      <c r="AC41" s="111"/>
      <c r="AD41" s="112"/>
      <c r="AH41" s="113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9" s="315" customFormat="1" x14ac:dyDescent="0.3">
      <c r="C43" s="338"/>
      <c r="D43" s="98"/>
      <c r="E43" s="691" t="s">
        <v>18</v>
      </c>
      <c r="F43" s="692"/>
      <c r="G43" s="693"/>
      <c r="H43" s="650" t="s">
        <v>394</v>
      </c>
      <c r="I43" s="651"/>
      <c r="J43" s="124"/>
      <c r="K43" s="440"/>
      <c r="L43" s="145"/>
      <c r="M43" s="240">
        <v>31374</v>
      </c>
      <c r="N43" s="342"/>
      <c r="O43" s="444" t="s">
        <v>351</v>
      </c>
      <c r="P43" s="138"/>
      <c r="Q43" s="307" t="s">
        <v>352</v>
      </c>
      <c r="U43" s="319"/>
      <c r="V43" s="320"/>
      <c r="W43" s="321"/>
      <c r="X43" s="322"/>
      <c r="Y43" s="322"/>
      <c r="Z43" s="323"/>
      <c r="AA43" s="324"/>
      <c r="AB43" s="324"/>
      <c r="AC43" s="324"/>
      <c r="AD43" s="324"/>
      <c r="AG43" s="325"/>
      <c r="AH43" s="326"/>
      <c r="AI43" s="325"/>
      <c r="AJ43" s="325"/>
      <c r="AK43" s="325"/>
      <c r="AL43" s="324"/>
    </row>
    <row r="44" spans="1:39" s="315" customFormat="1" x14ac:dyDescent="0.3">
      <c r="C44" s="338"/>
      <c r="D44" s="98"/>
      <c r="E44" s="691" t="s">
        <v>18</v>
      </c>
      <c r="F44" s="692"/>
      <c r="G44" s="693"/>
      <c r="H44" s="650" t="s">
        <v>395</v>
      </c>
      <c r="I44" s="651"/>
      <c r="J44" s="124"/>
      <c r="K44" s="440"/>
      <c r="L44" s="145"/>
      <c r="M44" s="240">
        <v>32874</v>
      </c>
      <c r="N44" s="342"/>
      <c r="O44" s="444"/>
      <c r="P44" s="138"/>
      <c r="Q44" s="307"/>
      <c r="R44" s="307" t="s">
        <v>353</v>
      </c>
      <c r="S44" s="307" t="s">
        <v>354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9" s="315" customFormat="1" x14ac:dyDescent="0.3">
      <c r="D45" s="242"/>
      <c r="E45" s="672" t="s">
        <v>18</v>
      </c>
      <c r="F45" s="673"/>
      <c r="G45" s="674"/>
      <c r="H45" s="677" t="s">
        <v>468</v>
      </c>
      <c r="I45" s="644"/>
      <c r="J45" s="243"/>
      <c r="K45" s="244"/>
      <c r="L45" s="245"/>
      <c r="M45" s="286">
        <v>37074</v>
      </c>
      <c r="N45" s="328">
        <f>T30/M45</f>
        <v>28.040680800561038</v>
      </c>
      <c r="O45" s="248"/>
      <c r="P45" s="249"/>
      <c r="Q45" s="319" t="s">
        <v>470</v>
      </c>
      <c r="R45" s="319" t="s">
        <v>469</v>
      </c>
      <c r="S45" s="462"/>
      <c r="T45" s="319"/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9" s="315" customFormat="1" x14ac:dyDescent="0.3">
      <c r="C46" s="338"/>
      <c r="D46" s="98"/>
      <c r="E46" s="691" t="s">
        <v>18</v>
      </c>
      <c r="F46" s="692"/>
      <c r="G46" s="693"/>
      <c r="H46" s="650" t="s">
        <v>415</v>
      </c>
      <c r="I46" s="651"/>
      <c r="J46" s="124"/>
      <c r="K46" s="460"/>
      <c r="L46" s="145"/>
      <c r="M46" s="240">
        <v>29670</v>
      </c>
      <c r="N46" s="342"/>
      <c r="O46" s="444"/>
      <c r="P46" s="138"/>
      <c r="Q46" s="307" t="s">
        <v>416</v>
      </c>
      <c r="R46" s="307" t="s">
        <v>417</v>
      </c>
      <c r="S46" s="307"/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9" s="315" customFormat="1" x14ac:dyDescent="0.3">
      <c r="C47" s="338"/>
      <c r="D47" s="98"/>
      <c r="E47" s="688" t="s">
        <v>323</v>
      </c>
      <c r="F47" s="689"/>
      <c r="G47" s="690"/>
      <c r="H47" s="697" t="s">
        <v>378</v>
      </c>
      <c r="I47" s="698"/>
      <c r="J47" s="124"/>
      <c r="K47" s="440"/>
      <c r="L47" s="145"/>
      <c r="M47" s="240">
        <v>28000</v>
      </c>
      <c r="N47" s="342"/>
      <c r="O47" s="379"/>
      <c r="P47" s="138"/>
      <c r="Q47" s="406" t="s">
        <v>335</v>
      </c>
      <c r="R47" s="343"/>
      <c r="S47" s="343"/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9" s="315" customFormat="1" x14ac:dyDescent="0.3">
      <c r="C48" s="338"/>
      <c r="D48" s="98"/>
      <c r="E48" s="688" t="s">
        <v>429</v>
      </c>
      <c r="F48" s="689"/>
      <c r="G48" s="690"/>
      <c r="H48" s="697" t="s">
        <v>388</v>
      </c>
      <c r="I48" s="698"/>
      <c r="J48" s="124"/>
      <c r="K48" s="440"/>
      <c r="L48" s="145"/>
      <c r="M48" s="240">
        <v>28400</v>
      </c>
      <c r="N48" s="342"/>
      <c r="O48" s="444"/>
      <c r="P48" s="138"/>
      <c r="Q48" s="406" t="s">
        <v>335</v>
      </c>
      <c r="R48" s="343"/>
      <c r="S48" s="343"/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x14ac:dyDescent="0.3">
      <c r="C49" s="338"/>
      <c r="D49" s="98"/>
      <c r="E49" s="688" t="s">
        <v>323</v>
      </c>
      <c r="F49" s="689"/>
      <c r="G49" s="690"/>
      <c r="H49" s="697" t="s">
        <v>387</v>
      </c>
      <c r="I49" s="698"/>
      <c r="J49" s="124"/>
      <c r="K49" s="440"/>
      <c r="L49" s="145"/>
      <c r="M49" s="240">
        <v>28500</v>
      </c>
      <c r="N49" s="378"/>
      <c r="O49" s="444"/>
      <c r="P49" s="138"/>
      <c r="Q49" s="406" t="s">
        <v>335</v>
      </c>
      <c r="R49" s="343"/>
      <c r="S49" s="343"/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x14ac:dyDescent="0.3">
      <c r="C50" s="338"/>
      <c r="D50" s="98"/>
      <c r="E50" s="688" t="s">
        <v>430</v>
      </c>
      <c r="F50" s="689"/>
      <c r="G50" s="690"/>
      <c r="H50" s="697" t="s">
        <v>389</v>
      </c>
      <c r="I50" s="698"/>
      <c r="J50" s="124"/>
      <c r="K50" s="440"/>
      <c r="L50" s="145"/>
      <c r="M50" s="240">
        <v>29000</v>
      </c>
      <c r="N50" s="342"/>
      <c r="O50" s="444"/>
      <c r="P50" s="138"/>
      <c r="Q50" s="406" t="s">
        <v>335</v>
      </c>
      <c r="R50" s="343"/>
      <c r="S50" s="343"/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x14ac:dyDescent="0.3">
      <c r="C51" s="338"/>
      <c r="D51" s="98"/>
      <c r="E51" s="688" t="s">
        <v>323</v>
      </c>
      <c r="F51" s="689"/>
      <c r="G51" s="690"/>
      <c r="H51" s="697" t="s">
        <v>399</v>
      </c>
      <c r="I51" s="698"/>
      <c r="J51" s="124"/>
      <c r="K51" s="440"/>
      <c r="L51" s="145"/>
      <c r="M51" s="240">
        <v>30200</v>
      </c>
      <c r="N51" s="378"/>
      <c r="O51" s="423"/>
      <c r="P51" s="138"/>
      <c r="Q51" s="406" t="s">
        <v>335</v>
      </c>
      <c r="R51" s="343"/>
      <c r="S51" s="343"/>
      <c r="T51" s="343"/>
      <c r="U51" s="319"/>
      <c r="V51" s="320"/>
      <c r="W51" s="321"/>
      <c r="X51" s="322"/>
      <c r="Y51" s="322"/>
      <c r="Z51" s="323"/>
      <c r="AA51" s="324"/>
      <c r="AB51" s="324"/>
      <c r="AC51" s="324"/>
      <c r="AD51" s="324"/>
      <c r="AG51" s="325"/>
      <c r="AH51" s="326"/>
      <c r="AI51" s="325"/>
      <c r="AJ51" s="325"/>
      <c r="AK51" s="325"/>
      <c r="AL51" s="324"/>
    </row>
    <row r="52" spans="3:38" s="315" customFormat="1" x14ac:dyDescent="0.3">
      <c r="C52" s="338"/>
      <c r="D52" s="98"/>
      <c r="E52" s="688" t="s">
        <v>229</v>
      </c>
      <c r="F52" s="689"/>
      <c r="G52" s="690"/>
      <c r="H52" s="650" t="s">
        <v>415</v>
      </c>
      <c r="I52" s="651"/>
      <c r="J52" s="124"/>
      <c r="K52" s="459"/>
      <c r="L52" s="145"/>
      <c r="M52" s="240">
        <v>36500</v>
      </c>
      <c r="N52" s="378"/>
      <c r="O52" s="379"/>
      <c r="P52" s="138"/>
      <c r="Q52" s="406"/>
      <c r="R52" s="343"/>
      <c r="S52" s="343"/>
      <c r="T52" s="343"/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G52" s="325"/>
      <c r="AH52" s="326"/>
      <c r="AI52" s="325"/>
      <c r="AJ52" s="325"/>
      <c r="AK52" s="325"/>
      <c r="AL52" s="324"/>
    </row>
    <row r="53" spans="3:38" s="315" customFormat="1" x14ac:dyDescent="0.3">
      <c r="C53" s="338"/>
      <c r="D53" s="98"/>
      <c r="E53" s="688" t="s">
        <v>323</v>
      </c>
      <c r="F53" s="689"/>
      <c r="G53" s="690"/>
      <c r="H53" s="697" t="s">
        <v>451</v>
      </c>
      <c r="I53" s="698"/>
      <c r="J53" s="124"/>
      <c r="K53" s="458"/>
      <c r="L53" s="145"/>
      <c r="M53" s="240">
        <v>29800</v>
      </c>
      <c r="N53" s="342">
        <v>36</v>
      </c>
      <c r="O53" s="423" t="s">
        <v>308</v>
      </c>
      <c r="P53" s="138"/>
      <c r="Q53" s="406" t="s">
        <v>439</v>
      </c>
      <c r="R53" s="343"/>
      <c r="S53" s="343"/>
      <c r="T53" s="343"/>
      <c r="U53" s="319"/>
      <c r="V53" s="320"/>
      <c r="W53" s="321"/>
      <c r="X53" s="322"/>
      <c r="Y53" s="322"/>
      <c r="Z53" s="323"/>
      <c r="AA53" s="324"/>
      <c r="AB53" s="324"/>
      <c r="AC53" s="324"/>
      <c r="AD53" s="324"/>
      <c r="AG53" s="325"/>
      <c r="AH53" s="326"/>
      <c r="AI53" s="325"/>
      <c r="AJ53" s="325"/>
      <c r="AK53" s="325"/>
      <c r="AL53" s="324"/>
    </row>
    <row r="54" spans="3:38" s="315" customFormat="1" x14ac:dyDescent="0.3">
      <c r="C54" s="338"/>
      <c r="D54" s="98"/>
      <c r="E54" s="688" t="s">
        <v>323</v>
      </c>
      <c r="F54" s="689"/>
      <c r="G54" s="690"/>
      <c r="H54" s="697" t="s">
        <v>452</v>
      </c>
      <c r="I54" s="698"/>
      <c r="J54" s="124"/>
      <c r="K54" s="458"/>
      <c r="L54" s="145"/>
      <c r="M54" s="240">
        <v>29800</v>
      </c>
      <c r="N54" s="342"/>
      <c r="O54" s="423" t="s">
        <v>48</v>
      </c>
      <c r="P54" s="138"/>
      <c r="Q54" s="381" t="s">
        <v>335</v>
      </c>
      <c r="R54" s="343"/>
      <c r="S54" s="343"/>
      <c r="T54" s="343"/>
      <c r="U54" s="319"/>
      <c r="V54" s="320"/>
      <c r="W54" s="321"/>
      <c r="X54" s="322"/>
      <c r="Y54" s="322"/>
      <c r="Z54" s="323"/>
      <c r="AA54" s="324"/>
      <c r="AB54" s="324"/>
      <c r="AC54" s="324"/>
      <c r="AD54" s="324"/>
      <c r="AG54" s="325"/>
      <c r="AH54" s="326"/>
      <c r="AI54" s="325"/>
      <c r="AJ54" s="325"/>
      <c r="AK54" s="325"/>
      <c r="AL54" s="324"/>
    </row>
    <row r="55" spans="3:38" s="315" customFormat="1" x14ac:dyDescent="0.3">
      <c r="C55" s="338"/>
      <c r="D55" s="98"/>
      <c r="E55" s="688" t="s">
        <v>323</v>
      </c>
      <c r="F55" s="689"/>
      <c r="G55" s="690"/>
      <c r="H55" s="697" t="s">
        <v>450</v>
      </c>
      <c r="I55" s="698"/>
      <c r="J55" s="124"/>
      <c r="K55" s="456"/>
      <c r="L55" s="145"/>
      <c r="M55" s="240">
        <v>31400</v>
      </c>
      <c r="N55" s="342"/>
      <c r="O55" s="423"/>
      <c r="P55" s="138"/>
      <c r="Q55" s="434" t="s">
        <v>414</v>
      </c>
      <c r="R55" s="343"/>
      <c r="S55" s="343"/>
      <c r="T55" s="343"/>
      <c r="U55" s="319"/>
      <c r="V55" s="320"/>
      <c r="W55" s="321"/>
      <c r="X55" s="322"/>
      <c r="Y55" s="322"/>
      <c r="Z55" s="323"/>
      <c r="AA55" s="324"/>
      <c r="AB55" s="324"/>
      <c r="AC55" s="324"/>
      <c r="AD55" s="324"/>
      <c r="AG55" s="325"/>
      <c r="AH55" s="326"/>
      <c r="AI55" s="325"/>
      <c r="AJ55" s="325"/>
      <c r="AK55" s="325"/>
      <c r="AL55" s="324"/>
    </row>
    <row r="56" spans="3:38" s="315" customFormat="1" x14ac:dyDescent="0.3">
      <c r="C56" s="338"/>
      <c r="D56" s="98"/>
      <c r="E56" s="688" t="s">
        <v>323</v>
      </c>
      <c r="F56" s="689"/>
      <c r="G56" s="690"/>
      <c r="H56" s="697" t="s">
        <v>442</v>
      </c>
      <c r="I56" s="698"/>
      <c r="J56" s="124"/>
      <c r="K56" s="455"/>
      <c r="L56" s="145"/>
      <c r="M56" s="240">
        <v>31400</v>
      </c>
      <c r="N56" s="342"/>
      <c r="O56" s="423">
        <v>108</v>
      </c>
      <c r="P56" s="138"/>
      <c r="Q56" s="406" t="s">
        <v>439</v>
      </c>
      <c r="R56" s="343"/>
      <c r="S56" s="343"/>
      <c r="T56" s="343"/>
      <c r="U56" s="319"/>
      <c r="V56" s="320"/>
      <c r="W56" s="321"/>
      <c r="X56" s="322"/>
      <c r="Y56" s="322"/>
      <c r="Z56" s="323"/>
      <c r="AA56" s="324"/>
      <c r="AB56" s="324"/>
      <c r="AC56" s="324"/>
      <c r="AD56" s="324"/>
      <c r="AG56" s="325"/>
      <c r="AH56" s="326"/>
      <c r="AI56" s="325"/>
      <c r="AJ56" s="325"/>
      <c r="AK56" s="325"/>
      <c r="AL56" s="324"/>
    </row>
    <row r="57" spans="3:38" s="315" customFormat="1" x14ac:dyDescent="0.3">
      <c r="C57" s="338"/>
      <c r="D57" s="98"/>
      <c r="E57" s="688" t="s">
        <v>323</v>
      </c>
      <c r="F57" s="689"/>
      <c r="G57" s="690"/>
      <c r="H57" s="697" t="s">
        <v>441</v>
      </c>
      <c r="I57" s="698"/>
      <c r="J57" s="124"/>
      <c r="K57" s="455"/>
      <c r="L57" s="145"/>
      <c r="M57" s="240">
        <v>30900</v>
      </c>
      <c r="N57" s="342"/>
      <c r="O57" s="423">
        <v>144</v>
      </c>
      <c r="P57" s="138"/>
      <c r="Q57" s="406" t="s">
        <v>440</v>
      </c>
      <c r="R57" s="343"/>
      <c r="S57" s="343"/>
      <c r="T57" s="343"/>
      <c r="U57" s="319"/>
      <c r="V57" s="320"/>
      <c r="W57" s="321"/>
      <c r="X57" s="322"/>
      <c r="Y57" s="322"/>
      <c r="Z57" s="323"/>
      <c r="AA57" s="324"/>
      <c r="AB57" s="324"/>
      <c r="AC57" s="324"/>
      <c r="AD57" s="324"/>
      <c r="AG57" s="325"/>
      <c r="AH57" s="326"/>
      <c r="AI57" s="325"/>
      <c r="AJ57" s="325"/>
      <c r="AK57" s="325"/>
      <c r="AL57" s="324"/>
    </row>
    <row r="58" spans="3:38" s="315" customFormat="1" x14ac:dyDescent="0.3">
      <c r="C58" s="338"/>
      <c r="D58" s="98"/>
      <c r="E58" s="688" t="s">
        <v>323</v>
      </c>
      <c r="F58" s="689"/>
      <c r="G58" s="690"/>
      <c r="H58" s="697" t="s">
        <v>438</v>
      </c>
      <c r="I58" s="698"/>
      <c r="J58" s="124"/>
      <c r="K58" s="455"/>
      <c r="L58" s="145"/>
      <c r="M58" s="240">
        <v>29900</v>
      </c>
      <c r="N58" s="342"/>
      <c r="O58" s="423">
        <v>72</v>
      </c>
      <c r="P58" s="138"/>
      <c r="Q58" s="406" t="s">
        <v>439</v>
      </c>
      <c r="R58" s="343"/>
      <c r="S58" s="343"/>
      <c r="T58" s="343"/>
      <c r="U58" s="319"/>
      <c r="V58" s="320"/>
      <c r="W58" s="321"/>
      <c r="X58" s="322"/>
      <c r="Y58" s="322"/>
      <c r="Z58" s="323"/>
      <c r="AA58" s="324"/>
      <c r="AB58" s="324"/>
      <c r="AC58" s="324"/>
      <c r="AD58" s="324"/>
      <c r="AG58" s="325"/>
      <c r="AH58" s="326"/>
      <c r="AI58" s="325"/>
      <c r="AJ58" s="325"/>
      <c r="AK58" s="325"/>
      <c r="AL58" s="324"/>
    </row>
    <row r="59" spans="3:38" s="315" customFormat="1" x14ac:dyDescent="0.3">
      <c r="C59" s="338"/>
      <c r="D59" s="98"/>
      <c r="E59" s="688" t="s">
        <v>456</v>
      </c>
      <c r="F59" s="689"/>
      <c r="G59" s="690"/>
      <c r="H59" s="697" t="s">
        <v>433</v>
      </c>
      <c r="I59" s="698"/>
      <c r="J59" s="124"/>
      <c r="K59" s="440"/>
      <c r="L59" s="145"/>
      <c r="M59" s="240">
        <v>29150</v>
      </c>
      <c r="N59" s="328"/>
      <c r="O59" s="423"/>
      <c r="P59" s="138"/>
      <c r="Q59" s="434" t="s">
        <v>414</v>
      </c>
      <c r="R59" s="343"/>
      <c r="S59" s="343"/>
      <c r="T59" s="343"/>
      <c r="U59" s="319"/>
      <c r="V59" s="320"/>
      <c r="W59" s="321"/>
      <c r="X59" s="322"/>
      <c r="Y59" s="322"/>
      <c r="Z59" s="323"/>
      <c r="AA59" s="324"/>
      <c r="AB59" s="324"/>
      <c r="AC59" s="324"/>
      <c r="AD59" s="324"/>
      <c r="AG59" s="325"/>
      <c r="AH59" s="326"/>
      <c r="AI59" s="325"/>
      <c r="AJ59" s="325"/>
      <c r="AK59" s="325"/>
      <c r="AL59" s="324"/>
    </row>
    <row r="60" spans="3:38" s="315" customFormat="1" x14ac:dyDescent="0.3">
      <c r="C60" s="338"/>
      <c r="D60" s="98"/>
      <c r="E60" s="688" t="s">
        <v>448</v>
      </c>
      <c r="F60" s="689"/>
      <c r="G60" s="690"/>
      <c r="H60" s="697" t="s">
        <v>425</v>
      </c>
      <c r="I60" s="698"/>
      <c r="J60" s="124"/>
      <c r="K60" s="440"/>
      <c r="L60" s="145"/>
      <c r="M60" s="240">
        <v>31250</v>
      </c>
      <c r="N60" s="342"/>
      <c r="O60" s="423">
        <v>34</v>
      </c>
      <c r="P60" s="138"/>
      <c r="Q60" s="434" t="s">
        <v>414</v>
      </c>
      <c r="R60" s="343"/>
      <c r="S60" s="343"/>
      <c r="T60" s="343"/>
      <c r="U60" s="319"/>
      <c r="V60" s="320"/>
      <c r="W60" s="321"/>
      <c r="X60" s="322"/>
      <c r="Y60" s="322"/>
      <c r="Z60" s="323"/>
      <c r="AA60" s="324"/>
      <c r="AB60" s="324"/>
      <c r="AC60" s="324"/>
      <c r="AD60" s="324"/>
      <c r="AG60" s="325"/>
      <c r="AH60" s="326"/>
      <c r="AI60" s="325"/>
      <c r="AJ60" s="325"/>
      <c r="AK60" s="325"/>
      <c r="AL60" s="324"/>
    </row>
    <row r="61" spans="3:38" s="315" customFormat="1" x14ac:dyDescent="0.3">
      <c r="C61" s="338"/>
      <c r="D61" s="98"/>
      <c r="E61" s="688" t="s">
        <v>455</v>
      </c>
      <c r="F61" s="689"/>
      <c r="G61" s="690"/>
      <c r="H61" s="697" t="s">
        <v>418</v>
      </c>
      <c r="I61" s="698"/>
      <c r="J61" s="124"/>
      <c r="K61" s="440"/>
      <c r="L61" s="145"/>
      <c r="M61" s="240">
        <v>32000</v>
      </c>
      <c r="N61" s="342"/>
      <c r="O61" s="423"/>
      <c r="P61" s="138"/>
      <c r="Q61" s="434" t="s">
        <v>414</v>
      </c>
      <c r="R61" s="343"/>
      <c r="S61" s="343"/>
      <c r="T61" s="343"/>
      <c r="U61" s="319"/>
      <c r="V61" s="320"/>
      <c r="W61" s="321"/>
      <c r="X61" s="322"/>
      <c r="Y61" s="322"/>
      <c r="Z61" s="323"/>
      <c r="AA61" s="324"/>
      <c r="AB61" s="324"/>
      <c r="AC61" s="324"/>
      <c r="AD61" s="324"/>
      <c r="AG61" s="325"/>
      <c r="AH61" s="326"/>
      <c r="AI61" s="325"/>
      <c r="AJ61" s="325"/>
      <c r="AK61" s="325"/>
      <c r="AL61" s="324"/>
    </row>
    <row r="62" spans="3:38" s="315" customFormat="1" x14ac:dyDescent="0.3">
      <c r="C62" s="338"/>
      <c r="D62" s="98"/>
      <c r="E62" s="688" t="s">
        <v>447</v>
      </c>
      <c r="F62" s="689"/>
      <c r="G62" s="690"/>
      <c r="H62" s="697" t="s">
        <v>435</v>
      </c>
      <c r="I62" s="698"/>
      <c r="J62" s="124"/>
      <c r="K62" s="440"/>
      <c r="L62" s="145"/>
      <c r="M62" s="240">
        <v>32600</v>
      </c>
      <c r="N62" s="342"/>
      <c r="O62" s="423">
        <v>34</v>
      </c>
      <c r="P62" s="138"/>
      <c r="Q62" s="434" t="s">
        <v>414</v>
      </c>
      <c r="R62" s="343"/>
      <c r="S62" s="343"/>
      <c r="T62" s="343"/>
      <c r="U62" s="319"/>
      <c r="V62" s="320"/>
      <c r="W62" s="321"/>
      <c r="X62" s="322"/>
      <c r="Y62" s="322"/>
      <c r="Z62" s="323"/>
      <c r="AA62" s="324"/>
      <c r="AB62" s="324"/>
      <c r="AC62" s="324"/>
      <c r="AD62" s="324"/>
      <c r="AG62" s="325"/>
      <c r="AH62" s="326"/>
      <c r="AI62" s="325"/>
      <c r="AJ62" s="325"/>
      <c r="AK62" s="325"/>
      <c r="AL62" s="324"/>
    </row>
    <row r="63" spans="3:38" s="315" customFormat="1" x14ac:dyDescent="0.3">
      <c r="C63" s="338"/>
      <c r="D63" s="98"/>
      <c r="E63" s="688" t="s">
        <v>446</v>
      </c>
      <c r="F63" s="689"/>
      <c r="G63" s="690"/>
      <c r="H63" s="697" t="s">
        <v>436</v>
      </c>
      <c r="I63" s="698"/>
      <c r="J63" s="124"/>
      <c r="K63" s="440"/>
      <c r="L63" s="145"/>
      <c r="M63" s="240">
        <v>35250</v>
      </c>
      <c r="N63" s="342"/>
      <c r="O63" s="423">
        <v>68</v>
      </c>
      <c r="P63" s="138"/>
      <c r="Q63" s="434" t="s">
        <v>414</v>
      </c>
      <c r="R63" s="343"/>
      <c r="S63" s="343"/>
      <c r="T63" s="343"/>
      <c r="U63" s="319"/>
      <c r="V63" s="320"/>
      <c r="W63" s="321"/>
      <c r="X63" s="322"/>
      <c r="Y63" s="322"/>
      <c r="Z63" s="323"/>
      <c r="AA63" s="324"/>
      <c r="AB63" s="324"/>
      <c r="AC63" s="324"/>
      <c r="AD63" s="324"/>
      <c r="AG63" s="325"/>
      <c r="AH63" s="326"/>
      <c r="AI63" s="325"/>
      <c r="AJ63" s="325"/>
      <c r="AK63" s="325"/>
      <c r="AL63" s="324"/>
    </row>
    <row r="64" spans="3:38" s="315" customFormat="1" x14ac:dyDescent="0.3">
      <c r="C64" s="338"/>
      <c r="D64" s="98"/>
      <c r="E64" s="688" t="s">
        <v>392</v>
      </c>
      <c r="F64" s="689"/>
      <c r="G64" s="690"/>
      <c r="H64" s="697" t="s">
        <v>325</v>
      </c>
      <c r="I64" s="703"/>
      <c r="J64" s="124"/>
      <c r="K64" s="440"/>
      <c r="L64" s="145"/>
      <c r="M64" s="240">
        <v>23400</v>
      </c>
      <c r="N64" s="342"/>
      <c r="O64" s="444" t="s">
        <v>324</v>
      </c>
      <c r="P64" s="138"/>
      <c r="Q64" s="381" t="s">
        <v>326</v>
      </c>
      <c r="R64" s="343"/>
      <c r="S64" s="343"/>
      <c r="T64" s="343"/>
      <c r="U64" s="319"/>
      <c r="V64" s="320"/>
      <c r="W64" s="321"/>
      <c r="X64" s="322"/>
      <c r="Y64" s="322"/>
      <c r="Z64" s="323"/>
      <c r="AA64" s="324"/>
      <c r="AB64" s="324"/>
      <c r="AC64" s="324"/>
      <c r="AD64" s="324"/>
      <c r="AG64" s="325"/>
      <c r="AH64" s="326"/>
      <c r="AI64" s="325"/>
      <c r="AJ64" s="325"/>
      <c r="AK64" s="325"/>
      <c r="AL64" s="324"/>
    </row>
    <row r="65" spans="3:38" s="315" customFormat="1" x14ac:dyDescent="0.3">
      <c r="C65" s="338"/>
      <c r="D65" s="98"/>
      <c r="E65" s="688" t="s">
        <v>408</v>
      </c>
      <c r="F65" s="689"/>
      <c r="G65" s="690"/>
      <c r="H65" s="697" t="s">
        <v>327</v>
      </c>
      <c r="I65" s="698"/>
      <c r="J65" s="124"/>
      <c r="K65" s="440"/>
      <c r="L65" s="145"/>
      <c r="M65" s="240">
        <v>23200</v>
      </c>
      <c r="N65" s="342"/>
      <c r="O65" s="444" t="s">
        <v>49</v>
      </c>
      <c r="P65" s="138"/>
      <c r="Q65" s="381" t="s">
        <v>326</v>
      </c>
      <c r="R65" s="343"/>
      <c r="S65" s="343"/>
      <c r="T65" s="343"/>
      <c r="U65" s="319"/>
      <c r="V65" s="320"/>
      <c r="W65" s="321"/>
      <c r="X65" s="322"/>
      <c r="Y65" s="322"/>
      <c r="Z65" s="323"/>
      <c r="AA65" s="324"/>
      <c r="AB65" s="324"/>
      <c r="AC65" s="324"/>
      <c r="AD65" s="324"/>
      <c r="AG65" s="325"/>
      <c r="AH65" s="326"/>
      <c r="AI65" s="325"/>
      <c r="AJ65" s="325"/>
      <c r="AK65" s="325"/>
      <c r="AL65" s="324"/>
    </row>
    <row r="66" spans="3:38" s="315" customFormat="1" x14ac:dyDescent="0.3">
      <c r="C66" s="338"/>
      <c r="D66" s="98"/>
      <c r="E66" s="688" t="s">
        <v>323</v>
      </c>
      <c r="F66" s="689"/>
      <c r="G66" s="690"/>
      <c r="H66" s="697" t="s">
        <v>334</v>
      </c>
      <c r="I66" s="698"/>
      <c r="J66" s="124"/>
      <c r="K66" s="440"/>
      <c r="L66" s="145"/>
      <c r="M66" s="240">
        <v>22700</v>
      </c>
      <c r="N66" s="328"/>
      <c r="O66" s="444" t="s">
        <v>308</v>
      </c>
      <c r="P66" s="138"/>
      <c r="Q66" s="381" t="s">
        <v>335</v>
      </c>
      <c r="R66" s="343"/>
      <c r="S66" s="343"/>
      <c r="T66" s="343"/>
      <c r="U66" s="319"/>
      <c r="V66" s="320"/>
      <c r="W66" s="321"/>
      <c r="X66" s="322"/>
      <c r="Y66" s="322"/>
      <c r="Z66" s="323"/>
      <c r="AA66" s="324"/>
      <c r="AB66" s="324"/>
      <c r="AC66" s="324"/>
      <c r="AD66" s="324"/>
      <c r="AG66" s="325"/>
      <c r="AH66" s="326"/>
      <c r="AI66" s="325"/>
      <c r="AJ66" s="325"/>
      <c r="AK66" s="325"/>
      <c r="AL66" s="324"/>
    </row>
    <row r="67" spans="3:38" s="315" customFormat="1" x14ac:dyDescent="0.3">
      <c r="C67" s="338"/>
      <c r="D67" s="98"/>
      <c r="E67" s="688" t="s">
        <v>323</v>
      </c>
      <c r="F67" s="689"/>
      <c r="G67" s="690"/>
      <c r="H67" s="697" t="s">
        <v>338</v>
      </c>
      <c r="I67" s="698"/>
      <c r="J67" s="124"/>
      <c r="K67" s="440"/>
      <c r="L67" s="145"/>
      <c r="M67" s="240">
        <v>23100</v>
      </c>
      <c r="N67" s="328"/>
      <c r="O67" s="444" t="s">
        <v>308</v>
      </c>
      <c r="P67" s="138"/>
      <c r="Q67" s="381" t="s">
        <v>335</v>
      </c>
      <c r="R67" s="343"/>
      <c r="S67" s="343"/>
      <c r="T67" s="343"/>
      <c r="U67" s="319"/>
      <c r="V67" s="320"/>
      <c r="W67" s="321"/>
      <c r="X67" s="322"/>
      <c r="Y67" s="322"/>
      <c r="Z67" s="323"/>
      <c r="AA67" s="324"/>
      <c r="AB67" s="324"/>
      <c r="AC67" s="324"/>
      <c r="AD67" s="324"/>
      <c r="AG67" s="325"/>
      <c r="AH67" s="326"/>
      <c r="AI67" s="325"/>
      <c r="AJ67" s="325"/>
      <c r="AK67" s="325"/>
      <c r="AL67" s="324"/>
    </row>
    <row r="68" spans="3:38" s="315" customFormat="1" x14ac:dyDescent="0.3">
      <c r="C68" s="338"/>
      <c r="D68" s="98"/>
      <c r="E68" s="688" t="s">
        <v>323</v>
      </c>
      <c r="F68" s="689"/>
      <c r="G68" s="690"/>
      <c r="H68" s="697" t="s">
        <v>341</v>
      </c>
      <c r="I68" s="698"/>
      <c r="J68" s="124"/>
      <c r="K68" s="440"/>
      <c r="L68" s="145"/>
      <c r="M68" s="240">
        <v>23150</v>
      </c>
      <c r="N68" s="328"/>
      <c r="O68" s="444" t="s">
        <v>308</v>
      </c>
      <c r="P68" s="138"/>
      <c r="Q68" s="381" t="s">
        <v>335</v>
      </c>
      <c r="R68" s="343"/>
      <c r="S68" s="343"/>
      <c r="T68" s="343"/>
      <c r="U68" s="319"/>
      <c r="V68" s="320"/>
      <c r="W68" s="321"/>
      <c r="X68" s="322"/>
      <c r="Y68" s="322"/>
      <c r="Z68" s="323"/>
      <c r="AA68" s="324"/>
      <c r="AB68" s="324"/>
      <c r="AC68" s="324"/>
      <c r="AD68" s="324"/>
      <c r="AG68" s="325"/>
      <c r="AH68" s="326"/>
      <c r="AI68" s="325"/>
      <c r="AJ68" s="325"/>
      <c r="AK68" s="325"/>
      <c r="AL68" s="324"/>
    </row>
    <row r="69" spans="3:38" s="315" customFormat="1" x14ac:dyDescent="0.3">
      <c r="C69" s="338"/>
      <c r="D69" s="98"/>
      <c r="E69" s="688" t="s">
        <v>323</v>
      </c>
      <c r="F69" s="689"/>
      <c r="G69" s="690"/>
      <c r="H69" s="697" t="s">
        <v>344</v>
      </c>
      <c r="I69" s="698"/>
      <c r="J69" s="124"/>
      <c r="K69" s="440"/>
      <c r="L69" s="145"/>
      <c r="M69" s="240">
        <v>23150</v>
      </c>
      <c r="N69" s="328"/>
      <c r="O69" s="444" t="s">
        <v>308</v>
      </c>
      <c r="P69" s="138"/>
      <c r="Q69" s="381" t="s">
        <v>335</v>
      </c>
      <c r="R69" s="343"/>
      <c r="S69" s="343"/>
      <c r="T69" s="343"/>
      <c r="U69" s="319"/>
      <c r="V69" s="320"/>
      <c r="W69" s="321"/>
      <c r="X69" s="322"/>
      <c r="Y69" s="322"/>
      <c r="Z69" s="323"/>
      <c r="AA69" s="324"/>
      <c r="AB69" s="324"/>
      <c r="AC69" s="324"/>
      <c r="AD69" s="324"/>
      <c r="AG69" s="325"/>
      <c r="AH69" s="326"/>
      <c r="AI69" s="325"/>
      <c r="AJ69" s="325"/>
      <c r="AK69" s="325"/>
      <c r="AL69" s="324"/>
    </row>
    <row r="70" spans="3:38" s="315" customFormat="1" x14ac:dyDescent="0.3">
      <c r="C70" s="338"/>
      <c r="D70" s="98"/>
      <c r="E70" s="688" t="s">
        <v>14</v>
      </c>
      <c r="F70" s="689"/>
      <c r="G70" s="690"/>
      <c r="H70" s="650" t="s">
        <v>336</v>
      </c>
      <c r="I70" s="651"/>
      <c r="J70" s="124"/>
      <c r="K70" s="440"/>
      <c r="L70" s="145"/>
      <c r="M70" s="240">
        <v>24750</v>
      </c>
      <c r="N70" s="342"/>
      <c r="O70" s="444" t="s">
        <v>49</v>
      </c>
      <c r="P70" s="138"/>
      <c r="Q70" s="381" t="s">
        <v>326</v>
      </c>
      <c r="R70" s="164"/>
      <c r="S70" s="343"/>
      <c r="T70" s="343"/>
      <c r="U70" s="319"/>
      <c r="V70" s="320"/>
      <c r="W70" s="321"/>
      <c r="X70" s="322"/>
      <c r="Y70" s="322"/>
      <c r="Z70" s="323"/>
      <c r="AA70" s="324"/>
      <c r="AB70" s="324"/>
      <c r="AC70" s="324"/>
      <c r="AD70" s="324"/>
      <c r="AG70" s="325"/>
      <c r="AH70" s="326"/>
      <c r="AI70" s="325"/>
      <c r="AJ70" s="325"/>
      <c r="AK70" s="325"/>
      <c r="AL70" s="324"/>
    </row>
    <row r="71" spans="3:38" s="315" customFormat="1" x14ac:dyDescent="0.3">
      <c r="C71" s="338"/>
      <c r="D71" s="98"/>
      <c r="E71" s="688" t="s">
        <v>406</v>
      </c>
      <c r="F71" s="689"/>
      <c r="G71" s="690"/>
      <c r="H71" s="650" t="s">
        <v>337</v>
      </c>
      <c r="I71" s="651"/>
      <c r="J71" s="124"/>
      <c r="K71" s="440"/>
      <c r="L71" s="145"/>
      <c r="M71" s="240">
        <v>25000</v>
      </c>
      <c r="N71" s="342"/>
      <c r="O71" s="444" t="s">
        <v>49</v>
      </c>
      <c r="P71" s="138"/>
      <c r="Q71" s="381" t="s">
        <v>326</v>
      </c>
      <c r="R71" s="164"/>
      <c r="S71" s="343"/>
      <c r="T71" s="343"/>
      <c r="U71" s="319"/>
      <c r="V71" s="320"/>
      <c r="W71" s="321"/>
      <c r="X71" s="322"/>
      <c r="Y71" s="322"/>
      <c r="Z71" s="323"/>
      <c r="AA71" s="324"/>
      <c r="AB71" s="324"/>
      <c r="AC71" s="324"/>
      <c r="AD71" s="324"/>
      <c r="AG71" s="325"/>
      <c r="AH71" s="326"/>
      <c r="AI71" s="325"/>
      <c r="AJ71" s="325"/>
      <c r="AK71" s="325"/>
      <c r="AL71" s="324"/>
    </row>
    <row r="72" spans="3:38" s="315" customFormat="1" x14ac:dyDescent="0.3">
      <c r="C72" s="338"/>
      <c r="D72" s="98"/>
      <c r="E72" s="688" t="s">
        <v>320</v>
      </c>
      <c r="F72" s="689"/>
      <c r="G72" s="690"/>
      <c r="H72" s="650" t="s">
        <v>321</v>
      </c>
      <c r="I72" s="651"/>
      <c r="J72" s="124"/>
      <c r="K72" s="440"/>
      <c r="L72" s="145"/>
      <c r="M72" s="240">
        <v>23600</v>
      </c>
      <c r="N72" s="342"/>
      <c r="O72" s="444" t="s">
        <v>308</v>
      </c>
      <c r="P72" s="138"/>
      <c r="Q72" s="379" t="s">
        <v>359</v>
      </c>
      <c r="R72" s="164"/>
      <c r="S72" s="343"/>
      <c r="T72" s="343"/>
      <c r="U72" s="319"/>
      <c r="V72" s="320"/>
      <c r="W72" s="321"/>
      <c r="X72" s="322"/>
      <c r="Y72" s="322"/>
      <c r="Z72" s="323"/>
      <c r="AA72" s="324"/>
      <c r="AB72" s="324"/>
      <c r="AC72" s="324"/>
      <c r="AD72" s="324"/>
      <c r="AG72" s="325"/>
      <c r="AH72" s="326"/>
      <c r="AI72" s="325"/>
      <c r="AJ72" s="325"/>
      <c r="AK72" s="325"/>
      <c r="AL72" s="324"/>
    </row>
    <row r="73" spans="3:38" s="315" customFormat="1" x14ac:dyDescent="0.3">
      <c r="C73" s="338"/>
      <c r="D73" s="98"/>
      <c r="E73" s="688" t="s">
        <v>360</v>
      </c>
      <c r="F73" s="689"/>
      <c r="G73" s="690"/>
      <c r="H73" s="697" t="s">
        <v>411</v>
      </c>
      <c r="I73" s="698"/>
      <c r="J73" s="124"/>
      <c r="K73" s="440"/>
      <c r="L73" s="145"/>
      <c r="M73" s="240">
        <v>42500</v>
      </c>
      <c r="N73" s="342"/>
      <c r="O73" s="444"/>
      <c r="P73" s="138"/>
      <c r="Q73" s="164"/>
      <c r="R73" s="164"/>
      <c r="S73" s="343"/>
      <c r="T73" s="343"/>
      <c r="U73" s="319"/>
      <c r="V73" s="320"/>
      <c r="W73" s="321"/>
      <c r="X73" s="322"/>
      <c r="Y73" s="322"/>
      <c r="Z73" s="323"/>
      <c r="AA73" s="324"/>
      <c r="AB73" s="324"/>
      <c r="AC73" s="324"/>
      <c r="AD73" s="324"/>
      <c r="AG73" s="325"/>
      <c r="AH73" s="326"/>
      <c r="AI73" s="325"/>
      <c r="AJ73" s="325"/>
      <c r="AK73" s="325"/>
      <c r="AL73" s="324"/>
    </row>
    <row r="74" spans="3:38" s="315" customFormat="1" x14ac:dyDescent="0.3">
      <c r="C74" s="338"/>
      <c r="D74" s="98"/>
      <c r="E74" s="688" t="s">
        <v>229</v>
      </c>
      <c r="F74" s="689"/>
      <c r="G74" s="690"/>
      <c r="H74" s="697" t="s">
        <v>412</v>
      </c>
      <c r="I74" s="698"/>
      <c r="J74" s="124"/>
      <c r="K74" s="440"/>
      <c r="L74" s="145"/>
      <c r="M74" s="240">
        <v>33500</v>
      </c>
      <c r="N74" s="378"/>
      <c r="O74" s="379" t="s">
        <v>413</v>
      </c>
      <c r="P74" s="138"/>
      <c r="Q74" s="164"/>
      <c r="R74" s="431" t="s">
        <v>343</v>
      </c>
      <c r="S74" s="343"/>
      <c r="T74" s="343"/>
      <c r="U74" s="319"/>
      <c r="V74" s="320"/>
      <c r="W74" s="321"/>
      <c r="X74" s="322"/>
      <c r="Y74" s="322"/>
      <c r="Z74" s="323"/>
      <c r="AA74" s="324"/>
      <c r="AB74" s="324"/>
      <c r="AC74" s="324"/>
      <c r="AD74" s="324"/>
      <c r="AG74" s="325"/>
      <c r="AH74" s="326"/>
      <c r="AI74" s="325"/>
      <c r="AJ74" s="325"/>
      <c r="AK74" s="325"/>
      <c r="AL74" s="324"/>
    </row>
    <row r="75" spans="3:38" s="315" customFormat="1" x14ac:dyDescent="0.3">
      <c r="C75" s="338"/>
      <c r="D75" s="259" t="s">
        <v>28</v>
      </c>
      <c r="E75" s="672" t="s">
        <v>60</v>
      </c>
      <c r="F75" s="673"/>
      <c r="G75" s="674"/>
      <c r="H75" s="677" t="s">
        <v>468</v>
      </c>
      <c r="I75" s="644"/>
      <c r="J75" s="124"/>
      <c r="K75" s="465"/>
      <c r="L75" s="145"/>
      <c r="M75" s="240">
        <f>25275+8989</f>
        <v>34264</v>
      </c>
      <c r="N75" s="342">
        <f>Z27/M75</f>
        <v>43.249198867616158</v>
      </c>
      <c r="O75" s="379"/>
      <c r="P75" s="138"/>
      <c r="Q75" s="319" t="s">
        <v>470</v>
      </c>
      <c r="R75" s="319" t="s">
        <v>472</v>
      </c>
      <c r="S75" s="319" t="s">
        <v>473</v>
      </c>
      <c r="T75" s="343"/>
      <c r="U75" s="319"/>
      <c r="V75" s="320"/>
      <c r="W75" s="321"/>
      <c r="X75" s="322"/>
      <c r="Y75" s="322"/>
      <c r="Z75" s="323"/>
      <c r="AA75" s="324"/>
      <c r="AB75" s="324"/>
      <c r="AC75" s="324"/>
      <c r="AD75" s="324"/>
      <c r="AG75" s="325"/>
      <c r="AH75" s="326"/>
      <c r="AI75" s="325"/>
      <c r="AJ75" s="325"/>
      <c r="AK75" s="325"/>
      <c r="AL75" s="324"/>
    </row>
    <row r="76" spans="3:38" s="315" customFormat="1" x14ac:dyDescent="0.3">
      <c r="C76" s="338"/>
      <c r="D76" s="259" t="s">
        <v>21</v>
      </c>
      <c r="E76" s="672" t="s">
        <v>60</v>
      </c>
      <c r="F76" s="673"/>
      <c r="G76" s="674"/>
      <c r="H76" s="677" t="s">
        <v>468</v>
      </c>
      <c r="I76" s="644"/>
      <c r="J76" s="124"/>
      <c r="K76" s="465"/>
      <c r="L76" s="145"/>
      <c r="M76" s="240">
        <f>25275+8989</f>
        <v>34264</v>
      </c>
      <c r="N76" s="342">
        <f>U27/M76</f>
        <v>66.037969005370073</v>
      </c>
      <c r="O76" s="379"/>
      <c r="P76" s="138"/>
      <c r="Q76" s="319" t="s">
        <v>475</v>
      </c>
      <c r="R76" s="319" t="s">
        <v>469</v>
      </c>
      <c r="S76" s="319" t="s">
        <v>474</v>
      </c>
      <c r="T76" s="343"/>
      <c r="U76" s="319"/>
      <c r="V76" s="320"/>
      <c r="W76" s="321"/>
      <c r="X76" s="322"/>
      <c r="Y76" s="322"/>
      <c r="Z76" s="323"/>
      <c r="AA76" s="324"/>
      <c r="AB76" s="324"/>
      <c r="AC76" s="324"/>
      <c r="AD76" s="324"/>
      <c r="AG76" s="325"/>
      <c r="AH76" s="326"/>
      <c r="AI76" s="325"/>
      <c r="AJ76" s="325"/>
      <c r="AK76" s="325"/>
      <c r="AL76" s="324"/>
    </row>
    <row r="77" spans="3:38" s="315" customFormat="1" x14ac:dyDescent="0.3">
      <c r="C77" s="338"/>
      <c r="D77" s="211" t="s">
        <v>28</v>
      </c>
      <c r="E77" s="691" t="s">
        <v>60</v>
      </c>
      <c r="F77" s="692"/>
      <c r="G77" s="693"/>
      <c r="H77" s="552" t="s">
        <v>415</v>
      </c>
      <c r="I77" s="694"/>
      <c r="J77" s="124"/>
      <c r="K77" s="460"/>
      <c r="L77" s="145"/>
      <c r="M77" s="240">
        <f>21538+8989</f>
        <v>30527</v>
      </c>
      <c r="N77" s="342"/>
      <c r="O77" s="379"/>
      <c r="P77" s="138"/>
      <c r="Q77" s="307" t="s">
        <v>458</v>
      </c>
      <c r="R77" s="307" t="s">
        <v>424</v>
      </c>
      <c r="S77" s="307" t="s">
        <v>422</v>
      </c>
      <c r="T77" s="343"/>
      <c r="U77" s="319"/>
      <c r="V77" s="320"/>
      <c r="W77" s="321"/>
      <c r="X77" s="322"/>
      <c r="Y77" s="322"/>
      <c r="Z77" s="323"/>
      <c r="AA77" s="324"/>
      <c r="AB77" s="324"/>
      <c r="AC77" s="324"/>
      <c r="AD77" s="324"/>
      <c r="AG77" s="325"/>
      <c r="AH77" s="326"/>
      <c r="AI77" s="325"/>
      <c r="AJ77" s="325"/>
      <c r="AK77" s="325"/>
      <c r="AL77" s="324"/>
    </row>
    <row r="78" spans="3:38" s="315" customFormat="1" x14ac:dyDescent="0.3">
      <c r="C78" s="338"/>
      <c r="D78" s="211" t="s">
        <v>21</v>
      </c>
      <c r="E78" s="691" t="s">
        <v>60</v>
      </c>
      <c r="F78" s="692"/>
      <c r="G78" s="693"/>
      <c r="H78" s="552" t="s">
        <v>415</v>
      </c>
      <c r="I78" s="694"/>
      <c r="J78" s="124"/>
      <c r="K78" s="460"/>
      <c r="L78" s="145"/>
      <c r="M78" s="240">
        <f>21538+8989</f>
        <v>30527</v>
      </c>
      <c r="N78" s="342"/>
      <c r="O78" s="379"/>
      <c r="P78" s="138"/>
      <c r="Q78" s="307" t="s">
        <v>419</v>
      </c>
      <c r="R78" s="307" t="s">
        <v>420</v>
      </c>
      <c r="S78" s="307" t="s">
        <v>421</v>
      </c>
      <c r="T78" s="343"/>
      <c r="U78" s="319"/>
      <c r="V78" s="320"/>
      <c r="W78" s="321"/>
      <c r="X78" s="322"/>
      <c r="Y78" s="322"/>
      <c r="Z78" s="323"/>
      <c r="AA78" s="324"/>
      <c r="AB78" s="324"/>
      <c r="AC78" s="324"/>
      <c r="AD78" s="324"/>
      <c r="AG78" s="325"/>
      <c r="AH78" s="326"/>
      <c r="AI78" s="325"/>
      <c r="AJ78" s="325"/>
      <c r="AK78" s="325"/>
      <c r="AL78" s="324"/>
    </row>
    <row r="79" spans="3:38" s="315" customFormat="1" x14ac:dyDescent="0.3">
      <c r="C79" s="338"/>
      <c r="D79" s="211" t="s">
        <v>28</v>
      </c>
      <c r="E79" s="691" t="s">
        <v>60</v>
      </c>
      <c r="F79" s="692"/>
      <c r="G79" s="693"/>
      <c r="H79" s="552" t="s">
        <v>356</v>
      </c>
      <c r="I79" s="694"/>
      <c r="J79" s="124"/>
      <c r="K79" s="440"/>
      <c r="L79" s="145"/>
      <c r="M79" s="240">
        <f>21843+8989</f>
        <v>30832</v>
      </c>
      <c r="N79" s="342"/>
      <c r="O79" s="444" t="s">
        <v>29</v>
      </c>
      <c r="P79" s="138"/>
      <c r="Q79" s="307" t="s">
        <v>364</v>
      </c>
      <c r="R79" s="307" t="s">
        <v>365</v>
      </c>
      <c r="S79" s="307" t="s">
        <v>428</v>
      </c>
      <c r="T79" s="343"/>
      <c r="U79" s="319"/>
      <c r="V79" s="320"/>
      <c r="W79" s="321"/>
      <c r="X79" s="322"/>
      <c r="Y79" s="322"/>
      <c r="Z79" s="323"/>
      <c r="AA79" s="324"/>
      <c r="AB79" s="324"/>
      <c r="AC79" s="324"/>
      <c r="AD79" s="324"/>
      <c r="AG79" s="325"/>
      <c r="AH79" s="326"/>
      <c r="AI79" s="325"/>
      <c r="AJ79" s="325"/>
      <c r="AK79" s="325"/>
      <c r="AL79" s="324"/>
    </row>
    <row r="80" spans="3:38" s="315" customFormat="1" ht="15" thickBot="1" x14ac:dyDescent="0.35">
      <c r="C80" s="338"/>
      <c r="D80" s="211" t="s">
        <v>21</v>
      </c>
      <c r="E80" s="691" t="s">
        <v>60</v>
      </c>
      <c r="F80" s="692"/>
      <c r="G80" s="693"/>
      <c r="H80" s="552" t="s">
        <v>356</v>
      </c>
      <c r="I80" s="694"/>
      <c r="J80" s="124"/>
      <c r="K80" s="440"/>
      <c r="L80" s="145"/>
      <c r="M80" s="240">
        <f>21843+8989</f>
        <v>30832</v>
      </c>
      <c r="N80" s="342"/>
      <c r="O80" s="444" t="s">
        <v>40</v>
      </c>
      <c r="P80" s="138"/>
      <c r="Q80" s="307" t="s">
        <v>361</v>
      </c>
      <c r="R80" s="307" t="s">
        <v>397</v>
      </c>
      <c r="S80" s="307" t="s">
        <v>363</v>
      </c>
      <c r="T80" s="343"/>
      <c r="U80" s="319"/>
      <c r="V80" s="320"/>
      <c r="W80" s="321"/>
      <c r="X80" s="322"/>
      <c r="Y80" s="322"/>
      <c r="Z80" s="323"/>
      <c r="AA80" s="324"/>
      <c r="AB80" s="324"/>
      <c r="AC80" s="324"/>
      <c r="AD80" s="324"/>
      <c r="AG80" s="325"/>
      <c r="AH80" s="326"/>
      <c r="AI80" s="325"/>
      <c r="AJ80" s="325"/>
      <c r="AK80" s="325"/>
      <c r="AL80" s="324"/>
    </row>
    <row r="81" spans="5:30" ht="13.95" customHeight="1" thickBot="1" x14ac:dyDescent="0.35">
      <c r="E81" s="634"/>
      <c r="F81" s="635"/>
      <c r="G81" s="636"/>
      <c r="H81" s="637"/>
      <c r="I81" s="638"/>
      <c r="J81" s="141"/>
      <c r="K81" s="141"/>
      <c r="L81" s="142"/>
      <c r="M81" s="424" t="s">
        <v>33</v>
      </c>
      <c r="N81" s="425">
        <f>SUBTOTAL(109,N43:N80)</f>
        <v>173.32784867354727</v>
      </c>
      <c r="O81" s="150"/>
      <c r="T81" s="181"/>
      <c r="U81" s="181"/>
      <c r="V81" s="177"/>
      <c r="W81" s="178"/>
      <c r="X81" s="178"/>
      <c r="Y81" s="178"/>
      <c r="Z81" s="180"/>
      <c r="AA81" s="90"/>
      <c r="AB81" s="90"/>
      <c r="AC81" s="21"/>
      <c r="AD81" s="21"/>
    </row>
    <row r="82" spans="5:30" x14ac:dyDescent="0.3">
      <c r="E82" s="359" t="s">
        <v>116</v>
      </c>
      <c r="O82" s="139"/>
      <c r="V82" s="178"/>
      <c r="W82" s="178"/>
      <c r="X82" s="178"/>
      <c r="Y82" s="178"/>
      <c r="Z82" s="180"/>
      <c r="AA82" s="21"/>
      <c r="AB82" s="21"/>
      <c r="AC82" s="21"/>
      <c r="AD82" s="21"/>
    </row>
    <row r="83" spans="5:30" hidden="1" x14ac:dyDescent="0.3">
      <c r="E83" s="1" t="s">
        <v>57</v>
      </c>
      <c r="O83" s="1"/>
      <c r="P83" s="1"/>
      <c r="Q83" s="1"/>
      <c r="R83" s="224"/>
      <c r="V83" s="178"/>
      <c r="W83" s="178"/>
      <c r="X83" s="178"/>
      <c r="Y83" s="178"/>
      <c r="Z83" s="178"/>
      <c r="AA83" s="21"/>
      <c r="AB83" s="21"/>
      <c r="AC83" s="21"/>
      <c r="AD83" s="21"/>
    </row>
    <row r="84" spans="5:30" x14ac:dyDescent="0.3">
      <c r="E84" s="359" t="s">
        <v>379</v>
      </c>
      <c r="O84" s="1"/>
      <c r="P84" s="1"/>
      <c r="Q84" s="1"/>
      <c r="R84" s="224"/>
      <c r="V84" s="178"/>
      <c r="W84" s="178"/>
      <c r="X84" s="178"/>
      <c r="Y84" s="178"/>
      <c r="Z84" s="178"/>
      <c r="AA84" s="21"/>
      <c r="AB84" s="21"/>
      <c r="AC84" s="21"/>
      <c r="AD84" s="21"/>
    </row>
    <row r="85" spans="5:30" hidden="1" x14ac:dyDescent="0.3">
      <c r="E85" s="1" t="s">
        <v>288</v>
      </c>
      <c r="O85" s="1"/>
      <c r="P85" s="1"/>
      <c r="Q85" s="1"/>
      <c r="R85" s="224"/>
      <c r="V85" s="178"/>
      <c r="W85" s="178"/>
      <c r="X85" s="178"/>
      <c r="Y85" s="178"/>
      <c r="Z85" s="178"/>
      <c r="AA85" s="21"/>
      <c r="AB85" s="21"/>
      <c r="AC85" s="21"/>
      <c r="AD85" s="21"/>
    </row>
    <row r="86" spans="5:30" hidden="1" x14ac:dyDescent="0.3">
      <c r="E86" s="1" t="s">
        <v>287</v>
      </c>
    </row>
    <row r="87" spans="5:30" x14ac:dyDescent="0.3">
      <c r="E87" s="359" t="s">
        <v>339</v>
      </c>
    </row>
    <row r="88" spans="5:30" x14ac:dyDescent="0.3">
      <c r="E88" s="359" t="s">
        <v>290</v>
      </c>
    </row>
    <row r="89" spans="5:30" hidden="1" x14ac:dyDescent="0.3">
      <c r="E89" s="1" t="s">
        <v>289</v>
      </c>
      <c r="V89" s="175"/>
      <c r="W89" s="175"/>
      <c r="X89" s="175"/>
      <c r="Y89" s="175"/>
      <c r="Z89" s="175"/>
      <c r="AA89" s="21"/>
      <c r="AB89" s="21"/>
      <c r="AC89" s="21"/>
      <c r="AD89" s="21"/>
    </row>
    <row r="90" spans="5:30" x14ac:dyDescent="0.3">
      <c r="E90" s="1" t="s">
        <v>291</v>
      </c>
    </row>
    <row r="91" spans="5:30" x14ac:dyDescent="0.3">
      <c r="E91" s="1" t="s">
        <v>292</v>
      </c>
    </row>
  </sheetData>
  <mergeCells count="113">
    <mergeCell ref="E81:G81"/>
    <mergeCell ref="H81:I81"/>
    <mergeCell ref="E78:G78"/>
    <mergeCell ref="H78:I78"/>
    <mergeCell ref="E79:G79"/>
    <mergeCell ref="H79:I79"/>
    <mergeCell ref="E80:G80"/>
    <mergeCell ref="H80:I80"/>
    <mergeCell ref="E71:G71"/>
    <mergeCell ref="H71:I71"/>
    <mergeCell ref="E72:G72"/>
    <mergeCell ref="H72:I72"/>
    <mergeCell ref="E73:G73"/>
    <mergeCell ref="H73:I73"/>
    <mergeCell ref="E74:G74"/>
    <mergeCell ref="H74:I74"/>
    <mergeCell ref="E77:G77"/>
    <mergeCell ref="H77:I77"/>
    <mergeCell ref="E75:G75"/>
    <mergeCell ref="H75:I75"/>
    <mergeCell ref="E76:G76"/>
    <mergeCell ref="H76:I76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61:G61"/>
    <mergeCell ref="H61:I61"/>
    <mergeCell ref="E62:G62"/>
    <mergeCell ref="H62:I62"/>
    <mergeCell ref="E63:G63"/>
    <mergeCell ref="H63:I63"/>
    <mergeCell ref="E64:G64"/>
    <mergeCell ref="H64:I64"/>
    <mergeCell ref="E65:G65"/>
    <mergeCell ref="H65:I65"/>
    <mergeCell ref="E50:G50"/>
    <mergeCell ref="H50:I50"/>
    <mergeCell ref="E51:G51"/>
    <mergeCell ref="H51:I51"/>
    <mergeCell ref="E59:G59"/>
    <mergeCell ref="H59:I59"/>
    <mergeCell ref="E60:G60"/>
    <mergeCell ref="H60:I60"/>
    <mergeCell ref="E56:G56"/>
    <mergeCell ref="H56:I56"/>
    <mergeCell ref="E57:G57"/>
    <mergeCell ref="H57:I57"/>
    <mergeCell ref="E58:G58"/>
    <mergeCell ref="H58:I58"/>
    <mergeCell ref="H55:I55"/>
    <mergeCell ref="E55:G55"/>
    <mergeCell ref="E53:G53"/>
    <mergeCell ref="E54:G54"/>
    <mergeCell ref="H53:I53"/>
    <mergeCell ref="H54:I54"/>
    <mergeCell ref="E52:G52"/>
    <mergeCell ref="H52:I52"/>
    <mergeCell ref="E44:G44"/>
    <mergeCell ref="H44:I44"/>
    <mergeCell ref="E46:G46"/>
    <mergeCell ref="H46:I46"/>
    <mergeCell ref="E47:G47"/>
    <mergeCell ref="H47:I47"/>
    <mergeCell ref="E48:G48"/>
    <mergeCell ref="H48:I48"/>
    <mergeCell ref="E49:G49"/>
    <mergeCell ref="H49:I49"/>
    <mergeCell ref="E45:G45"/>
    <mergeCell ref="H45:I45"/>
    <mergeCell ref="E43:G43"/>
    <mergeCell ref="H43:I43"/>
    <mergeCell ref="AF3:AF4"/>
    <mergeCell ref="AG3:AG4"/>
    <mergeCell ref="T38:V38"/>
    <mergeCell ref="T39:V39"/>
    <mergeCell ref="T40:V40"/>
    <mergeCell ref="U41:Y41"/>
    <mergeCell ref="Z3:Z4"/>
    <mergeCell ref="AA3:AA4"/>
    <mergeCell ref="AB3:AB4"/>
    <mergeCell ref="AC3:AC4"/>
    <mergeCell ref="AD3:AD4"/>
    <mergeCell ref="AE3:AE4"/>
    <mergeCell ref="T3:T4"/>
    <mergeCell ref="U3:U4"/>
    <mergeCell ref="V3:V4"/>
    <mergeCell ref="W3:W4"/>
    <mergeCell ref="X3:X4"/>
    <mergeCell ref="Y3:Y4"/>
    <mergeCell ref="Q1:Q4"/>
    <mergeCell ref="R1:R4"/>
    <mergeCell ref="S1:S3"/>
    <mergeCell ref="T1:V2"/>
    <mergeCell ref="W1:AG2"/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</mergeCells>
  <pageMargins left="0.7" right="0.17" top="0.72" bottom="0.34" header="0.77" footer="0.3"/>
  <pageSetup paperSize="9" scale="41" fitToWidth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8"/>
  <sheetViews>
    <sheetView zoomScaleNormal="100" workbookViewId="0">
      <pane ySplit="4" topLeftCell="A29" activePane="bottomLeft" state="frozen"/>
      <selection pane="bottomLeft" activeCell="R48" sqref="R48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9.44140625" style="20" hidden="1" customWidth="1"/>
    <col min="24" max="24" width="10.6640625" style="20" hidden="1" customWidth="1"/>
    <col min="25" max="26" width="10.6640625" style="20" customWidth="1"/>
    <col min="27" max="28" width="9.6640625" style="2" hidden="1" customWidth="1"/>
    <col min="29" max="29" width="10.6640625" style="2" hidden="1" customWidth="1"/>
    <col min="30" max="30" width="10.33203125" style="2" hidden="1" customWidth="1"/>
    <col min="31" max="32" width="0.109375" style="2" customWidth="1"/>
    <col min="33" max="33" width="9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482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468" t="s">
        <v>10</v>
      </c>
      <c r="K4" s="469" t="s">
        <v>2</v>
      </c>
      <c r="L4" s="470" t="s">
        <v>9</v>
      </c>
      <c r="M4" s="468" t="s">
        <v>10</v>
      </c>
      <c r="N4" s="469" t="s">
        <v>2</v>
      </c>
      <c r="O4" s="470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45231</v>
      </c>
      <c r="B5" s="28">
        <v>29.06</v>
      </c>
      <c r="C5" s="30">
        <v>2.75</v>
      </c>
      <c r="D5" s="22"/>
      <c r="E5" s="42">
        <f>'10.2023'!E35-B5-C5+D5</f>
        <v>312.2750000000002</v>
      </c>
      <c r="F5" s="51">
        <f>C5</f>
        <v>2.75</v>
      </c>
      <c r="G5" s="9">
        <f>2.33-H5</f>
        <v>2.33</v>
      </c>
      <c r="H5" s="10"/>
      <c r="I5" s="161">
        <f>'10.2023'!I35+F5-G5-H5</f>
        <v>3.4999999999999991</v>
      </c>
      <c r="J5" s="8"/>
      <c r="K5" s="11"/>
      <c r="L5" s="25"/>
      <c r="M5" s="51">
        <f t="shared" ref="M5:M35" si="0">H5</f>
        <v>0</v>
      </c>
      <c r="N5" s="24">
        <v>0.20699999999999999</v>
      </c>
      <c r="O5" s="47">
        <f>'10.2023'!O35+M5-N5</f>
        <v>1.1889999999999963</v>
      </c>
      <c r="P5" s="46">
        <v>0</v>
      </c>
      <c r="Q5" s="45">
        <f t="shared" ref="Q5:Q35" si="1">E5+I5+L5+O5</f>
        <v>316.96400000000023</v>
      </c>
      <c r="R5" s="165">
        <f>B5+G5+H5+J5</f>
        <v>31.39</v>
      </c>
      <c r="S5" s="159">
        <f>'10.2023'!AI33+'10.2023'!AI34+'10.2023'!AI35+'10.2023'!AI36+'10.2023'!AI37+'11.2023'!AI5</f>
        <v>325.29900000000004</v>
      </c>
      <c r="T5" s="58">
        <f>'10.2023'!T35</f>
        <v>1039580.2</v>
      </c>
      <c r="U5" s="58">
        <f>'10.2023'!U35</f>
        <v>2262724.9700000002</v>
      </c>
      <c r="V5" s="58">
        <f>'10.2023'!V35</f>
        <v>0</v>
      </c>
      <c r="W5" s="58">
        <f>'10.2023'!W35</f>
        <v>0</v>
      </c>
      <c r="X5" s="58">
        <f>'10.2023'!X35</f>
        <v>0</v>
      </c>
      <c r="Y5" s="58">
        <f>'10.2023'!Y35</f>
        <v>1164928.9000000004</v>
      </c>
      <c r="Z5" s="107">
        <f>'10.2023'!Z35-AI5*M80</f>
        <v>84311.780000000028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/>
      <c r="AH5" s="123" t="s">
        <v>49</v>
      </c>
      <c r="AI5" s="122">
        <v>38.469000000000001</v>
      </c>
      <c r="AJ5" s="77" t="s">
        <v>481</v>
      </c>
      <c r="AK5" s="229">
        <v>76642909</v>
      </c>
      <c r="AL5" s="21"/>
      <c r="AM5" s="21"/>
    </row>
    <row r="6" spans="1:40" ht="13.2" customHeight="1" thickBot="1" x14ac:dyDescent="0.35">
      <c r="A6" s="7">
        <v>45232</v>
      </c>
      <c r="B6" s="28">
        <v>11.67</v>
      </c>
      <c r="C6" s="30">
        <v>1.526</v>
      </c>
      <c r="D6" s="22"/>
      <c r="E6" s="43">
        <f t="shared" ref="E6:E34" si="2">E5+D6-B6-C6</f>
        <v>299.07900000000018</v>
      </c>
      <c r="F6" s="51">
        <f t="shared" ref="F6:F35" si="3">C6</f>
        <v>1.526</v>
      </c>
      <c r="G6" s="9">
        <f>0.766-H6</f>
        <v>7.999999999999996E-2</v>
      </c>
      <c r="H6" s="10">
        <v>0.68600000000000005</v>
      </c>
      <c r="I6" s="161">
        <f t="shared" ref="I6:I34" si="4">I5+F6-G6-H6</f>
        <v>4.2599999999999989</v>
      </c>
      <c r="J6" s="8"/>
      <c r="K6" s="11"/>
      <c r="L6" s="12"/>
      <c r="M6" s="51">
        <f t="shared" si="0"/>
        <v>0.68600000000000005</v>
      </c>
      <c r="N6" s="24">
        <v>0.25</v>
      </c>
      <c r="O6" s="47">
        <f t="shared" ref="O6:O34" si="5">O5+M6-N6</f>
        <v>1.6249999999999964</v>
      </c>
      <c r="P6" s="48"/>
      <c r="Q6" s="47">
        <f t="shared" si="1"/>
        <v>304.96400000000017</v>
      </c>
      <c r="R6" s="165">
        <f t="shared" ref="R6:R35" si="6">B6+G6+H6+J6</f>
        <v>12.436</v>
      </c>
      <c r="S6" s="159">
        <f>S5+AI6</f>
        <v>362.84900000000005</v>
      </c>
      <c r="T6" s="59">
        <f>1039580.2-AI6*M48+2854000</f>
        <v>2501451.5</v>
      </c>
      <c r="U6" s="58">
        <f>U5+2261000</f>
        <v>4523724.9700000007</v>
      </c>
      <c r="V6" s="58">
        <v>0</v>
      </c>
      <c r="W6" s="87">
        <v>0</v>
      </c>
      <c r="X6" s="58">
        <v>0</v>
      </c>
      <c r="Y6" s="58">
        <v>1164928.9000000004</v>
      </c>
      <c r="Z6" s="87">
        <f>Z5+1109000</f>
        <v>1193311.78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/>
      <c r="AH6" s="445" t="s">
        <v>43</v>
      </c>
      <c r="AI6" s="126">
        <v>37.549999999999997</v>
      </c>
      <c r="AJ6" s="349" t="s">
        <v>483</v>
      </c>
      <c r="AK6" s="21">
        <v>54642574</v>
      </c>
      <c r="AL6" s="21"/>
      <c r="AM6" s="21"/>
    </row>
    <row r="7" spans="1:40" ht="13.2" customHeight="1" thickBot="1" x14ac:dyDescent="0.35">
      <c r="A7" s="7">
        <v>45233</v>
      </c>
      <c r="B7" s="28">
        <v>43.89</v>
      </c>
      <c r="C7" s="30">
        <v>1.1120000000000001</v>
      </c>
      <c r="D7" s="22"/>
      <c r="E7" s="43">
        <f t="shared" si="2"/>
        <v>254.0770000000002</v>
      </c>
      <c r="F7" s="51">
        <f t="shared" si="3"/>
        <v>1.1120000000000001</v>
      </c>
      <c r="G7" s="9">
        <f>1.452-H7</f>
        <v>1.0619999999999998</v>
      </c>
      <c r="H7" s="10">
        <v>0.39</v>
      </c>
      <c r="I7" s="161">
        <f t="shared" si="4"/>
        <v>3.9199999999999986</v>
      </c>
      <c r="J7" s="8"/>
      <c r="K7" s="11"/>
      <c r="L7" s="12"/>
      <c r="M7" s="51">
        <f t="shared" si="0"/>
        <v>0.39</v>
      </c>
      <c r="N7" s="24">
        <v>0.48</v>
      </c>
      <c r="O7" s="47">
        <f t="shared" si="5"/>
        <v>1.5349999999999966</v>
      </c>
      <c r="P7" s="48"/>
      <c r="Q7" s="47">
        <f t="shared" si="1"/>
        <v>259.53200000000015</v>
      </c>
      <c r="R7" s="165">
        <f t="shared" si="6"/>
        <v>45.341999999999999</v>
      </c>
      <c r="S7" s="159">
        <f>S6</f>
        <v>362.84900000000005</v>
      </c>
      <c r="T7" s="58">
        <v>2501451.5</v>
      </c>
      <c r="U7" s="58">
        <v>4523724.9700000007</v>
      </c>
      <c r="V7" s="58">
        <v>0</v>
      </c>
      <c r="W7" s="87">
        <v>0</v>
      </c>
      <c r="X7" s="58">
        <v>0</v>
      </c>
      <c r="Y7" s="58">
        <v>1164928.9000000004</v>
      </c>
      <c r="Z7" s="87">
        <v>1193311.78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/>
      <c r="AH7" s="128"/>
      <c r="AI7" s="120"/>
      <c r="AJ7" s="99"/>
      <c r="AK7" s="21"/>
      <c r="AL7" s="120"/>
      <c r="AM7" s="21"/>
    </row>
    <row r="8" spans="1:40" ht="12.75" customHeight="1" thickBot="1" x14ac:dyDescent="0.35">
      <c r="A8" s="3">
        <v>45234</v>
      </c>
      <c r="B8" s="28">
        <f>2.88-0.06</f>
        <v>2.82</v>
      </c>
      <c r="C8" s="30"/>
      <c r="D8" s="186"/>
      <c r="E8" s="43">
        <f t="shared" si="2"/>
        <v>251.2570000000002</v>
      </c>
      <c r="F8" s="51">
        <f t="shared" si="3"/>
        <v>0</v>
      </c>
      <c r="G8" s="9"/>
      <c r="H8" s="10"/>
      <c r="I8" s="161">
        <f t="shared" si="4"/>
        <v>3.9199999999999986</v>
      </c>
      <c r="J8" s="8"/>
      <c r="K8" s="11"/>
      <c r="L8" s="12"/>
      <c r="M8" s="51">
        <f t="shared" si="0"/>
        <v>0</v>
      </c>
      <c r="N8" s="24"/>
      <c r="O8" s="47">
        <f t="shared" si="5"/>
        <v>1.5349999999999966</v>
      </c>
      <c r="P8" s="48"/>
      <c r="Q8" s="47">
        <f t="shared" si="1"/>
        <v>256.71200000000022</v>
      </c>
      <c r="R8" s="165">
        <f t="shared" si="6"/>
        <v>2.82</v>
      </c>
      <c r="S8" s="159">
        <f>S6</f>
        <v>362.84900000000005</v>
      </c>
      <c r="T8" s="58">
        <v>2501451.5</v>
      </c>
      <c r="U8" s="58">
        <v>4523724.9700000007</v>
      </c>
      <c r="V8" s="58">
        <v>0</v>
      </c>
      <c r="W8" s="87">
        <v>0</v>
      </c>
      <c r="X8" s="58">
        <v>0</v>
      </c>
      <c r="Y8" s="58">
        <v>1164928.9000000004</v>
      </c>
      <c r="Z8" s="87">
        <v>1193311.78</v>
      </c>
      <c r="AA8" s="58"/>
      <c r="AB8" s="58">
        <v>0</v>
      </c>
      <c r="AC8" s="59" t="e">
        <f>1800000-#REF!*M74</f>
        <v>#REF!</v>
      </c>
      <c r="AD8" s="314">
        <f>891000-AI8*M73</f>
        <v>-794697.74999999977</v>
      </c>
      <c r="AE8" s="58"/>
      <c r="AF8" s="58"/>
      <c r="AG8" s="58"/>
      <c r="AH8" s="128" t="s">
        <v>48</v>
      </c>
      <c r="AI8" s="120">
        <f>36.186+31.923</f>
        <v>68.108999999999995</v>
      </c>
      <c r="AJ8" s="99" t="s">
        <v>484</v>
      </c>
      <c r="AK8" s="21" t="s">
        <v>485</v>
      </c>
      <c r="AL8" s="239"/>
      <c r="AM8" s="21"/>
    </row>
    <row r="9" spans="1:40" ht="13.2" customHeight="1" thickBot="1" x14ac:dyDescent="0.35">
      <c r="A9" s="3">
        <v>45235</v>
      </c>
      <c r="B9" s="28"/>
      <c r="C9" s="30"/>
      <c r="D9" s="186"/>
      <c r="E9" s="43">
        <f t="shared" si="2"/>
        <v>251.2570000000002</v>
      </c>
      <c r="F9" s="51">
        <f t="shared" si="3"/>
        <v>0</v>
      </c>
      <c r="G9" s="9"/>
      <c r="H9" s="10"/>
      <c r="I9" s="161">
        <f t="shared" si="4"/>
        <v>3.9199999999999986</v>
      </c>
      <c r="J9" s="8"/>
      <c r="K9" s="11"/>
      <c r="L9" s="12"/>
      <c r="M9" s="51">
        <f t="shared" si="0"/>
        <v>0</v>
      </c>
      <c r="N9" s="24"/>
      <c r="O9" s="47">
        <f t="shared" si="5"/>
        <v>1.5349999999999966</v>
      </c>
      <c r="P9" s="48"/>
      <c r="Q9" s="47">
        <f t="shared" si="1"/>
        <v>256.71200000000022</v>
      </c>
      <c r="R9" s="165">
        <f t="shared" si="6"/>
        <v>0</v>
      </c>
      <c r="S9" s="159">
        <f>S6</f>
        <v>362.84900000000005</v>
      </c>
      <c r="T9" s="58">
        <v>2501451.5</v>
      </c>
      <c r="U9" s="58">
        <v>4523724.9700000007</v>
      </c>
      <c r="V9" s="58">
        <v>0</v>
      </c>
      <c r="W9" s="87">
        <v>0</v>
      </c>
      <c r="X9" s="58">
        <v>0</v>
      </c>
      <c r="Y9" s="58">
        <v>1164928.9000000004</v>
      </c>
      <c r="Z9" s="87">
        <v>1193311.78</v>
      </c>
      <c r="AA9" s="87"/>
      <c r="AB9" s="80">
        <v>0</v>
      </c>
      <c r="AC9" s="58"/>
      <c r="AD9" s="87">
        <v>89545.5</v>
      </c>
      <c r="AE9" s="55"/>
      <c r="AF9" s="14"/>
      <c r="AG9" s="58"/>
      <c r="AH9" s="384"/>
      <c r="AI9" s="122"/>
      <c r="AJ9" s="99"/>
      <c r="AK9" s="255"/>
      <c r="AL9" s="99"/>
      <c r="AM9" s="21"/>
      <c r="AN9" s="21"/>
    </row>
    <row r="10" spans="1:40" s="1" customFormat="1" ht="13.2" customHeight="1" thickBot="1" x14ac:dyDescent="0.35">
      <c r="A10" s="3">
        <v>45236</v>
      </c>
      <c r="B10" s="28"/>
      <c r="C10" s="30"/>
      <c r="D10" s="186"/>
      <c r="E10" s="43">
        <f t="shared" si="2"/>
        <v>251.2570000000002</v>
      </c>
      <c r="F10" s="51">
        <f t="shared" si="3"/>
        <v>0</v>
      </c>
      <c r="G10" s="30"/>
      <c r="H10" s="10"/>
      <c r="I10" s="161">
        <f t="shared" si="4"/>
        <v>3.9199999999999986</v>
      </c>
      <c r="J10" s="8"/>
      <c r="K10" s="11"/>
      <c r="L10" s="12"/>
      <c r="M10" s="51">
        <f t="shared" si="0"/>
        <v>0</v>
      </c>
      <c r="N10" s="24"/>
      <c r="O10" s="47">
        <f t="shared" si="5"/>
        <v>1.5349999999999966</v>
      </c>
      <c r="P10" s="48"/>
      <c r="Q10" s="47">
        <f t="shared" si="1"/>
        <v>256.71200000000022</v>
      </c>
      <c r="R10" s="165">
        <f t="shared" si="6"/>
        <v>0</v>
      </c>
      <c r="S10" s="159">
        <f>S6</f>
        <v>362.84900000000005</v>
      </c>
      <c r="T10" s="58">
        <v>2501451.5</v>
      </c>
      <c r="U10" s="58">
        <v>4523724.9700000007</v>
      </c>
      <c r="V10" s="58">
        <v>0</v>
      </c>
      <c r="W10" s="87">
        <v>0</v>
      </c>
      <c r="X10" s="58">
        <v>0</v>
      </c>
      <c r="Y10" s="58">
        <v>1164928.9000000004</v>
      </c>
      <c r="Z10" s="87">
        <v>1193311.78</v>
      </c>
      <c r="AA10" s="87"/>
      <c r="AB10" s="80">
        <v>0</v>
      </c>
      <c r="AC10" s="58"/>
      <c r="AD10" s="87">
        <v>89545.5</v>
      </c>
      <c r="AE10" s="55"/>
      <c r="AF10" s="14"/>
      <c r="AG10" s="58"/>
      <c r="AH10" s="27"/>
      <c r="AI10" s="27"/>
      <c r="AJ10" s="27"/>
      <c r="AK10" s="27"/>
      <c r="AL10" s="239"/>
      <c r="AM10" s="27"/>
      <c r="AN10" s="27"/>
    </row>
    <row r="11" spans="1:40" ht="13.2" customHeight="1" thickBot="1" x14ac:dyDescent="0.35">
      <c r="A11" s="7">
        <v>45237</v>
      </c>
      <c r="B11" s="28">
        <v>37.89</v>
      </c>
      <c r="C11" s="30">
        <v>1.2929999999999999</v>
      </c>
      <c r="D11" s="186">
        <f>AI5+AI6+'10.2023'!AI37</f>
        <v>147.41900000000001</v>
      </c>
      <c r="E11" s="43">
        <f>E10+D11-B11-C11</f>
        <v>359.49300000000022</v>
      </c>
      <c r="F11" s="51">
        <f t="shared" si="3"/>
        <v>1.2929999999999999</v>
      </c>
      <c r="G11" s="9">
        <f>1.313-H11</f>
        <v>0.73</v>
      </c>
      <c r="H11" s="10">
        <v>0.58299999999999996</v>
      </c>
      <c r="I11" s="161">
        <f>I10+F11-G11-H11</f>
        <v>3.8999999999999986</v>
      </c>
      <c r="J11" s="8"/>
      <c r="K11" s="11"/>
      <c r="L11" s="12"/>
      <c r="M11" s="51">
        <f t="shared" si="0"/>
        <v>0.58299999999999996</v>
      </c>
      <c r="N11" s="24">
        <v>0.32100000000000001</v>
      </c>
      <c r="O11" s="47">
        <f t="shared" si="5"/>
        <v>1.7969999999999968</v>
      </c>
      <c r="P11" s="48"/>
      <c r="Q11" s="47">
        <f t="shared" si="1"/>
        <v>365.19000000000017</v>
      </c>
      <c r="R11" s="165">
        <f>B11+G11+H11+J11</f>
        <v>39.202999999999996</v>
      </c>
      <c r="S11" s="160">
        <f>'10.2023'!AI34+'10.2023'!AI35+'10.2023'!AI36+'10.2023'!AI33+AI8</f>
        <v>283.53899999999999</v>
      </c>
      <c r="T11" s="58">
        <v>2501451.5</v>
      </c>
      <c r="U11" s="407">
        <f>U6-AI8*M81</f>
        <v>2049325.0000000009</v>
      </c>
      <c r="V11" s="212">
        <v>0</v>
      </c>
      <c r="W11" s="87">
        <v>0</v>
      </c>
      <c r="X11" s="79">
        <v>0</v>
      </c>
      <c r="Y11" s="58">
        <v>1164928.9000000004</v>
      </c>
      <c r="Z11" s="87">
        <v>1193311.78</v>
      </c>
      <c r="AA11" s="87"/>
      <c r="AB11" s="80">
        <v>0</v>
      </c>
      <c r="AC11" s="58"/>
      <c r="AD11" s="87">
        <v>89545.5</v>
      </c>
      <c r="AE11" s="55"/>
      <c r="AF11" s="14"/>
      <c r="AG11" s="58"/>
      <c r="AH11" s="384"/>
      <c r="AI11" s="122"/>
      <c r="AJ11" s="99"/>
      <c r="AK11" s="91"/>
      <c r="AL11" s="21"/>
      <c r="AM11" s="21"/>
      <c r="AN11" s="21"/>
    </row>
    <row r="12" spans="1:40" ht="13.2" customHeight="1" thickBot="1" x14ac:dyDescent="0.35">
      <c r="A12" s="7">
        <v>45238</v>
      </c>
      <c r="B12" s="28">
        <v>21.66</v>
      </c>
      <c r="C12" s="30">
        <v>0.92</v>
      </c>
      <c r="D12" s="186">
        <f>'10.2023'!AI36</f>
        <v>103.6</v>
      </c>
      <c r="E12" s="43">
        <f>E11+D12-B12-C12</f>
        <v>440.51300000000015</v>
      </c>
      <c r="F12" s="51">
        <f t="shared" si="3"/>
        <v>0.92</v>
      </c>
      <c r="G12" s="30">
        <v>0.74</v>
      </c>
      <c r="H12" s="24"/>
      <c r="I12" s="161">
        <f t="shared" si="4"/>
        <v>4.0799999999999983</v>
      </c>
      <c r="J12" s="8"/>
      <c r="K12" s="11"/>
      <c r="L12" s="12"/>
      <c r="M12" s="51">
        <f t="shared" si="0"/>
        <v>0</v>
      </c>
      <c r="N12" s="24">
        <v>0.32700000000000001</v>
      </c>
      <c r="O12" s="47">
        <f t="shared" si="5"/>
        <v>1.4699999999999969</v>
      </c>
      <c r="P12" s="48"/>
      <c r="Q12" s="47">
        <f t="shared" si="1"/>
        <v>446.0630000000001</v>
      </c>
      <c r="R12" s="165">
        <f>B12+G12+H12+J12</f>
        <v>22.4</v>
      </c>
      <c r="S12" s="160">
        <f>AI8+'10.2023'!AI34+'10.2023'!AI35+'10.2023'!AI33</f>
        <v>179.93899999999999</v>
      </c>
      <c r="T12" s="58">
        <v>2501451.5</v>
      </c>
      <c r="U12" s="86">
        <f>U11</f>
        <v>2049325.0000000009</v>
      </c>
      <c r="V12" s="212">
        <v>0</v>
      </c>
      <c r="W12" s="314">
        <v>0</v>
      </c>
      <c r="X12" s="79">
        <v>0</v>
      </c>
      <c r="Y12" s="58">
        <v>1164928.9000000004</v>
      </c>
      <c r="Z12" s="87">
        <v>1193311.78</v>
      </c>
      <c r="AA12" s="86"/>
      <c r="AB12" s="80">
        <v>0</v>
      </c>
      <c r="AC12" s="58"/>
      <c r="AD12" s="87">
        <v>89545.5</v>
      </c>
      <c r="AE12" s="55"/>
      <c r="AF12" s="14"/>
      <c r="AG12" s="58"/>
      <c r="AH12" s="445" t="s">
        <v>43</v>
      </c>
      <c r="AI12" s="486">
        <v>67</v>
      </c>
      <c r="AJ12" s="103" t="s">
        <v>487</v>
      </c>
      <c r="AK12" s="91" t="s">
        <v>489</v>
      </c>
      <c r="AL12" s="21"/>
      <c r="AM12" s="21"/>
      <c r="AN12" s="21"/>
    </row>
    <row r="13" spans="1:40" ht="13.2" customHeight="1" thickBot="1" x14ac:dyDescent="0.35">
      <c r="A13" s="7">
        <v>45239</v>
      </c>
      <c r="B13" s="28">
        <v>19.45</v>
      </c>
      <c r="C13" s="30">
        <v>2.5169999999999999</v>
      </c>
      <c r="D13" s="186">
        <f>'10.2023'!AI33+'10.2023'!AI34+'10.2023'!AI35</f>
        <v>111.83</v>
      </c>
      <c r="E13" s="43">
        <f t="shared" si="2"/>
        <v>530.37600000000009</v>
      </c>
      <c r="F13" s="51">
        <f t="shared" si="3"/>
        <v>2.5169999999999999</v>
      </c>
      <c r="G13" s="9">
        <f>2.847-H13</f>
        <v>2.54</v>
      </c>
      <c r="H13" s="10">
        <v>0.307</v>
      </c>
      <c r="I13" s="161">
        <f t="shared" si="4"/>
        <v>3.7499999999999978</v>
      </c>
      <c r="J13" s="8"/>
      <c r="K13" s="26"/>
      <c r="L13" s="12"/>
      <c r="M13" s="51">
        <f t="shared" si="0"/>
        <v>0.307</v>
      </c>
      <c r="N13" s="24">
        <v>0.20200000000000001</v>
      </c>
      <c r="O13" s="47">
        <f t="shared" si="5"/>
        <v>1.5749999999999968</v>
      </c>
      <c r="P13" s="48"/>
      <c r="Q13" s="47">
        <f t="shared" si="1"/>
        <v>535.70100000000014</v>
      </c>
      <c r="R13" s="165">
        <f t="shared" si="6"/>
        <v>22.296999999999997</v>
      </c>
      <c r="S13" s="160">
        <f>AI12+AI13+AI8</f>
        <v>207.49899999999997</v>
      </c>
      <c r="T13" s="88">
        <f>T6-AI12*M48</f>
        <v>17493.5</v>
      </c>
      <c r="U13" s="407">
        <f>U11-AI13*M81+291000</f>
        <v>-289603.69999999925</v>
      </c>
      <c r="V13" s="212">
        <v>0</v>
      </c>
      <c r="W13" s="87">
        <v>0</v>
      </c>
      <c r="X13" s="79">
        <v>0</v>
      </c>
      <c r="Y13" s="58">
        <v>1164928.9000000004</v>
      </c>
      <c r="Z13" s="87">
        <v>1193311.78</v>
      </c>
      <c r="AA13" s="86"/>
      <c r="AB13" s="80"/>
      <c r="AC13" s="58"/>
      <c r="AD13" s="87">
        <v>89545.5</v>
      </c>
      <c r="AE13" s="55" t="e">
        <f>D12*#REF!</f>
        <v>#REF!</v>
      </c>
      <c r="AF13" s="14"/>
      <c r="AG13" s="58"/>
      <c r="AH13" s="128" t="s">
        <v>48</v>
      </c>
      <c r="AI13" s="487">
        <f>36.646+35.744</f>
        <v>72.39</v>
      </c>
      <c r="AJ13" s="99" t="s">
        <v>488</v>
      </c>
      <c r="AK13" s="91" t="s">
        <v>490</v>
      </c>
      <c r="AL13" s="135"/>
      <c r="AM13" s="21"/>
      <c r="AN13" s="21"/>
    </row>
    <row r="14" spans="1:40" ht="13.2" customHeight="1" thickBot="1" x14ac:dyDescent="0.35">
      <c r="A14" s="7">
        <v>45240</v>
      </c>
      <c r="B14" s="28">
        <v>30.45</v>
      </c>
      <c r="C14" s="30">
        <v>2.4790000000000001</v>
      </c>
      <c r="D14" s="186">
        <f>AI8</f>
        <v>68.108999999999995</v>
      </c>
      <c r="E14" s="43">
        <f t="shared" si="2"/>
        <v>565.55600000000004</v>
      </c>
      <c r="F14" s="51">
        <f t="shared" si="3"/>
        <v>2.4790000000000001</v>
      </c>
      <c r="G14" s="30">
        <f>1.389-H14</f>
        <v>0.8</v>
      </c>
      <c r="H14" s="24">
        <v>0.58899999999999997</v>
      </c>
      <c r="I14" s="161">
        <f t="shared" si="4"/>
        <v>4.8399999999999981</v>
      </c>
      <c r="J14" s="8"/>
      <c r="K14" s="11"/>
      <c r="L14" s="12"/>
      <c r="M14" s="51">
        <f t="shared" si="0"/>
        <v>0.58899999999999997</v>
      </c>
      <c r="N14" s="24">
        <v>0.48499999999999999</v>
      </c>
      <c r="O14" s="47">
        <f t="shared" si="5"/>
        <v>1.6789999999999972</v>
      </c>
      <c r="P14" s="48"/>
      <c r="Q14" s="47">
        <f t="shared" si="1"/>
        <v>572.07500000000005</v>
      </c>
      <c r="R14" s="165">
        <f t="shared" si="6"/>
        <v>31.838999999999999</v>
      </c>
      <c r="S14" s="160">
        <f>AI12+AI13+AI14</f>
        <v>176.64</v>
      </c>
      <c r="T14" s="58">
        <v>17493.5</v>
      </c>
      <c r="U14" s="86">
        <v>-289603.69999999925</v>
      </c>
      <c r="V14" s="212">
        <v>0</v>
      </c>
      <c r="W14" s="388">
        <v>0</v>
      </c>
      <c r="X14" s="79">
        <v>0</v>
      </c>
      <c r="Y14" s="59">
        <f>1164928.9-AI14*M56</f>
        <v>54878.899999999907</v>
      </c>
      <c r="Z14" s="87">
        <v>1193311.78</v>
      </c>
      <c r="AA14" s="86"/>
      <c r="AB14" s="80"/>
      <c r="AC14" s="58"/>
      <c r="AD14" s="87">
        <v>89545.5</v>
      </c>
      <c r="AE14" s="55" t="e">
        <f>481844-19.55*#REF!</f>
        <v>#REF!</v>
      </c>
      <c r="AF14" s="14"/>
      <c r="AG14" s="58"/>
      <c r="AH14" s="127" t="s">
        <v>464</v>
      </c>
      <c r="AI14" s="126">
        <v>37.25</v>
      </c>
      <c r="AJ14" s="99" t="s">
        <v>492</v>
      </c>
      <c r="AK14" s="91">
        <v>77334092</v>
      </c>
      <c r="AL14" s="239"/>
      <c r="AM14" s="21"/>
      <c r="AN14" s="21"/>
    </row>
    <row r="15" spans="1:40" ht="13.2" customHeight="1" thickBot="1" x14ac:dyDescent="0.35">
      <c r="A15" s="3">
        <v>45241</v>
      </c>
      <c r="B15" s="28"/>
      <c r="C15" s="30"/>
      <c r="D15" s="186"/>
      <c r="E15" s="43">
        <f t="shared" si="2"/>
        <v>565.55600000000004</v>
      </c>
      <c r="F15" s="51">
        <f t="shared" si="3"/>
        <v>0</v>
      </c>
      <c r="G15" s="9"/>
      <c r="H15" s="10"/>
      <c r="I15" s="161">
        <f t="shared" si="4"/>
        <v>4.8399999999999981</v>
      </c>
      <c r="J15" s="8"/>
      <c r="K15" s="11"/>
      <c r="L15" s="12"/>
      <c r="M15" s="51">
        <f>H15</f>
        <v>0</v>
      </c>
      <c r="N15" s="24"/>
      <c r="O15" s="47">
        <f t="shared" si="5"/>
        <v>1.6789999999999972</v>
      </c>
      <c r="P15" s="48"/>
      <c r="Q15" s="47">
        <f t="shared" si="1"/>
        <v>572.07500000000005</v>
      </c>
      <c r="R15" s="165">
        <f t="shared" si="6"/>
        <v>0</v>
      </c>
      <c r="S15" s="160">
        <v>176.64</v>
      </c>
      <c r="T15" s="86">
        <v>17493.5</v>
      </c>
      <c r="U15" s="86">
        <v>-289603.69999999925</v>
      </c>
      <c r="V15" s="80">
        <v>0</v>
      </c>
      <c r="W15" s="388">
        <v>0</v>
      </c>
      <c r="X15" s="79">
        <v>0</v>
      </c>
      <c r="Y15" s="58">
        <v>54878.899999999907</v>
      </c>
      <c r="Z15" s="87">
        <v>1193311.78</v>
      </c>
      <c r="AA15" s="86"/>
      <c r="AB15" s="80"/>
      <c r="AC15" s="58"/>
      <c r="AD15" s="87">
        <v>89545.5</v>
      </c>
      <c r="AE15" s="271"/>
      <c r="AF15" s="14"/>
      <c r="AG15" s="58"/>
      <c r="AH15" s="128"/>
      <c r="AI15" s="120"/>
      <c r="AJ15" s="208"/>
      <c r="AK15" s="91"/>
      <c r="AL15" s="239"/>
      <c r="AM15" s="21"/>
      <c r="AN15" s="21"/>
    </row>
    <row r="16" spans="1:40" ht="13.2" customHeight="1" thickBot="1" x14ac:dyDescent="0.35">
      <c r="A16" s="3">
        <v>45242</v>
      </c>
      <c r="B16" s="28">
        <v>9.19</v>
      </c>
      <c r="C16" s="30"/>
      <c r="D16" s="186"/>
      <c r="E16" s="43">
        <f t="shared" si="2"/>
        <v>556.36599999999999</v>
      </c>
      <c r="F16" s="51">
        <f t="shared" si="3"/>
        <v>0</v>
      </c>
      <c r="G16" s="9"/>
      <c r="H16" s="10"/>
      <c r="I16" s="161">
        <f t="shared" si="4"/>
        <v>4.8399999999999981</v>
      </c>
      <c r="J16" s="8"/>
      <c r="K16" s="11"/>
      <c r="L16" s="12"/>
      <c r="M16" s="51">
        <f t="shared" si="0"/>
        <v>0</v>
      </c>
      <c r="N16" s="24"/>
      <c r="O16" s="47">
        <f t="shared" si="5"/>
        <v>1.6789999999999972</v>
      </c>
      <c r="P16" s="48"/>
      <c r="Q16" s="47">
        <f t="shared" si="1"/>
        <v>562.88499999999999</v>
      </c>
      <c r="R16" s="165">
        <f t="shared" si="6"/>
        <v>9.19</v>
      </c>
      <c r="S16" s="160">
        <v>176.64</v>
      </c>
      <c r="T16" s="86">
        <v>17493.5</v>
      </c>
      <c r="U16" s="86">
        <v>-289603.69999999925</v>
      </c>
      <c r="V16" s="80">
        <v>0</v>
      </c>
      <c r="W16" s="461">
        <v>0</v>
      </c>
      <c r="X16" s="85">
        <v>0</v>
      </c>
      <c r="Y16" s="58">
        <v>54878.899999999907</v>
      </c>
      <c r="Z16" s="87">
        <v>1193311.78</v>
      </c>
      <c r="AA16" s="86"/>
      <c r="AB16" s="80"/>
      <c r="AC16" s="58"/>
      <c r="AD16" s="87">
        <v>89545.5</v>
      </c>
      <c r="AE16" s="55"/>
      <c r="AF16" s="14"/>
      <c r="AG16" s="58"/>
      <c r="AH16" s="128"/>
      <c r="AI16" s="120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7">
        <v>45243</v>
      </c>
      <c r="B17" s="28">
        <v>20.49</v>
      </c>
      <c r="C17" s="30">
        <v>2.65</v>
      </c>
      <c r="D17" s="186"/>
      <c r="E17" s="43">
        <f t="shared" si="2"/>
        <v>533.226</v>
      </c>
      <c r="F17" s="51">
        <f t="shared" si="3"/>
        <v>2.65</v>
      </c>
      <c r="G17" s="9">
        <f>3.5-H17</f>
        <v>3.5</v>
      </c>
      <c r="H17" s="10"/>
      <c r="I17" s="161">
        <f t="shared" si="4"/>
        <v>3.9899999999999984</v>
      </c>
      <c r="J17" s="4"/>
      <c r="K17" s="5"/>
      <c r="L17" s="6"/>
      <c r="M17" s="51">
        <f t="shared" si="0"/>
        <v>0</v>
      </c>
      <c r="N17" s="24">
        <v>0.27400000000000002</v>
      </c>
      <c r="O17" s="47">
        <f t="shared" si="5"/>
        <v>1.4049999999999971</v>
      </c>
      <c r="P17" s="49"/>
      <c r="Q17" s="47">
        <f t="shared" si="1"/>
        <v>538.62099999999998</v>
      </c>
      <c r="R17" s="165">
        <f t="shared" si="6"/>
        <v>23.99</v>
      </c>
      <c r="S17" s="160">
        <v>176.64</v>
      </c>
      <c r="T17" s="58">
        <v>17493.5</v>
      </c>
      <c r="U17" s="86">
        <f>-289603.699999999+1489000</f>
        <v>1199396.300000001</v>
      </c>
      <c r="V17" s="80">
        <v>0</v>
      </c>
      <c r="W17" s="87">
        <v>0</v>
      </c>
      <c r="X17" s="79">
        <v>0</v>
      </c>
      <c r="Y17" s="58">
        <v>54878.899999999907</v>
      </c>
      <c r="Z17" s="87">
        <f>1193311.78+1422000</f>
        <v>2615311.7800000003</v>
      </c>
      <c r="AA17" s="86"/>
      <c r="AB17" s="80"/>
      <c r="AC17" s="58"/>
      <c r="AD17" s="87">
        <v>0</v>
      </c>
      <c r="AE17" s="55"/>
      <c r="AF17" s="14"/>
      <c r="AG17" s="58"/>
      <c r="AH17" s="445"/>
      <c r="AI17" s="126"/>
      <c r="AJ17" s="103"/>
      <c r="AK17" s="91"/>
      <c r="AL17" s="130"/>
      <c r="AM17" s="99"/>
      <c r="AN17" s="27"/>
    </row>
    <row r="18" spans="1:40" ht="13.2" customHeight="1" thickBot="1" x14ac:dyDescent="0.35">
      <c r="A18" s="7">
        <v>45244</v>
      </c>
      <c r="B18" s="28">
        <v>17.829999999999998</v>
      </c>
      <c r="C18" s="30">
        <v>8.093</v>
      </c>
      <c r="D18" s="186"/>
      <c r="E18" s="43">
        <f t="shared" si="2"/>
        <v>507.30299999999994</v>
      </c>
      <c r="F18" s="51">
        <f t="shared" si="3"/>
        <v>8.093</v>
      </c>
      <c r="G18" s="9">
        <f>8.383-H18</f>
        <v>8.0689999999999991</v>
      </c>
      <c r="H18" s="10">
        <v>0.314</v>
      </c>
      <c r="I18" s="161">
        <f t="shared" si="4"/>
        <v>3.6999999999999993</v>
      </c>
      <c r="J18" s="8"/>
      <c r="K18" s="11"/>
      <c r="L18" s="12"/>
      <c r="M18" s="51">
        <f t="shared" si="0"/>
        <v>0.314</v>
      </c>
      <c r="N18" s="24">
        <v>0.30199999999999999</v>
      </c>
      <c r="O18" s="47">
        <f t="shared" si="5"/>
        <v>1.4169999999999972</v>
      </c>
      <c r="P18" s="48"/>
      <c r="Q18" s="47">
        <f t="shared" si="1"/>
        <v>512.41999999999996</v>
      </c>
      <c r="R18" s="165">
        <f t="shared" si="6"/>
        <v>26.212999999999997</v>
      </c>
      <c r="S18" s="160">
        <f>S14</f>
        <v>176.64</v>
      </c>
      <c r="T18" s="86">
        <v>17493.5</v>
      </c>
      <c r="U18" s="86">
        <v>1199396.300000001</v>
      </c>
      <c r="V18" s="80">
        <v>0</v>
      </c>
      <c r="W18" s="388">
        <v>0</v>
      </c>
      <c r="X18" s="79">
        <v>0</v>
      </c>
      <c r="Y18" s="58">
        <v>54878.899999999907</v>
      </c>
      <c r="Z18" s="87">
        <v>2615311.7800000003</v>
      </c>
      <c r="AA18" s="86"/>
      <c r="AB18" s="80"/>
      <c r="AC18" s="58"/>
      <c r="AD18" s="87">
        <v>0</v>
      </c>
      <c r="AE18" s="55"/>
      <c r="AF18" s="14"/>
      <c r="AG18" s="58"/>
      <c r="AH18" s="123"/>
      <c r="AI18" s="122"/>
      <c r="AJ18" s="103"/>
      <c r="AK18" s="91"/>
      <c r="AL18" s="239"/>
      <c r="AM18" s="21"/>
      <c r="AN18" s="21"/>
    </row>
    <row r="19" spans="1:40" ht="13.2" customHeight="1" thickBot="1" x14ac:dyDescent="0.35">
      <c r="A19" s="7">
        <v>45245</v>
      </c>
      <c r="B19" s="28">
        <v>4.5999999999999996</v>
      </c>
      <c r="C19" s="30">
        <v>2.177</v>
      </c>
      <c r="D19" s="485">
        <v>33.65</v>
      </c>
      <c r="E19" s="43">
        <f t="shared" si="2"/>
        <v>534.17599999999993</v>
      </c>
      <c r="F19" s="51">
        <f t="shared" si="3"/>
        <v>2.177</v>
      </c>
      <c r="G19" s="9">
        <f>1.167-H19</f>
        <v>0.78</v>
      </c>
      <c r="H19" s="10">
        <v>0.38700000000000001</v>
      </c>
      <c r="I19" s="161">
        <f t="shared" si="4"/>
        <v>4.7099999999999991</v>
      </c>
      <c r="J19" s="8"/>
      <c r="K19" s="11"/>
      <c r="L19" s="12"/>
      <c r="M19" s="51">
        <f t="shared" si="0"/>
        <v>0.38700000000000001</v>
      </c>
      <c r="N19" s="24">
        <v>0.28999999999999998</v>
      </c>
      <c r="O19" s="47">
        <f t="shared" si="5"/>
        <v>1.5139999999999971</v>
      </c>
      <c r="P19" s="48"/>
      <c r="Q19" s="47">
        <f t="shared" si="1"/>
        <v>540.4</v>
      </c>
      <c r="R19" s="165">
        <f t="shared" si="6"/>
        <v>5.7669999999999995</v>
      </c>
      <c r="S19" s="160">
        <f>S15-33.65</f>
        <v>142.98999999999998</v>
      </c>
      <c r="T19" s="86">
        <v>17493.5</v>
      </c>
      <c r="U19" s="86">
        <v>1199396.300000001</v>
      </c>
      <c r="V19" s="80">
        <v>0</v>
      </c>
      <c r="W19" s="388">
        <v>0</v>
      </c>
      <c r="X19" s="79">
        <v>0</v>
      </c>
      <c r="Y19" s="58">
        <v>54878.899999999907</v>
      </c>
      <c r="Z19" s="87">
        <v>2615311.7800000003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123" t="s">
        <v>49</v>
      </c>
      <c r="AI19" s="122">
        <v>34.366999999999997</v>
      </c>
      <c r="AJ19" s="103" t="s">
        <v>500</v>
      </c>
      <c r="AK19" s="91">
        <v>50863240</v>
      </c>
      <c r="AL19" s="239"/>
      <c r="AM19" s="21"/>
      <c r="AN19" s="21"/>
    </row>
    <row r="20" spans="1:40" ht="13.2" customHeight="1" thickBot="1" x14ac:dyDescent="0.35">
      <c r="A20" s="7">
        <v>45246</v>
      </c>
      <c r="B20" s="28">
        <v>22.45</v>
      </c>
      <c r="C20" s="30">
        <v>0.51</v>
      </c>
      <c r="D20" s="485">
        <v>33.35</v>
      </c>
      <c r="E20" s="43">
        <f t="shared" si="2"/>
        <v>544.56599999999992</v>
      </c>
      <c r="F20" s="51">
        <f t="shared" si="3"/>
        <v>0.51</v>
      </c>
      <c r="G20" s="9">
        <f>0.85-H20</f>
        <v>0.54</v>
      </c>
      <c r="H20" s="10">
        <v>0.31</v>
      </c>
      <c r="I20" s="161">
        <f t="shared" si="4"/>
        <v>4.3699999999999992</v>
      </c>
      <c r="J20" s="8"/>
      <c r="K20" s="11"/>
      <c r="L20" s="12"/>
      <c r="M20" s="51">
        <f t="shared" si="0"/>
        <v>0.31</v>
      </c>
      <c r="N20" s="24">
        <v>0.247</v>
      </c>
      <c r="O20" s="47">
        <f t="shared" si="5"/>
        <v>1.5769999999999973</v>
      </c>
      <c r="P20" s="48"/>
      <c r="Q20" s="47">
        <f t="shared" si="1"/>
        <v>550.51299999999992</v>
      </c>
      <c r="R20" s="165">
        <f t="shared" si="6"/>
        <v>23.299999999999997</v>
      </c>
      <c r="S20" s="160">
        <f>AI13+AI14+AI19</f>
        <v>144.00700000000001</v>
      </c>
      <c r="T20" s="86">
        <v>17493.5</v>
      </c>
      <c r="U20" s="86">
        <v>1199396.300000001</v>
      </c>
      <c r="V20" s="288">
        <v>0</v>
      </c>
      <c r="W20" s="461">
        <v>0</v>
      </c>
      <c r="X20" s="79">
        <v>0</v>
      </c>
      <c r="Y20" s="58">
        <v>54878.899999999907</v>
      </c>
      <c r="Z20" s="107">
        <f>Z19-AI19*M80</f>
        <v>1366758.6700000004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27"/>
      <c r="AI20" s="126"/>
      <c r="AJ20" s="103"/>
      <c r="AK20" s="91"/>
      <c r="AL20" s="21"/>
      <c r="AM20" s="21"/>
      <c r="AN20" s="21"/>
    </row>
    <row r="21" spans="1:40" ht="13.2" customHeight="1" thickBot="1" x14ac:dyDescent="0.35">
      <c r="A21" s="7">
        <v>45247</v>
      </c>
      <c r="B21" s="28">
        <f>24.66-2.05</f>
        <v>22.61</v>
      </c>
      <c r="C21" s="28">
        <v>0.94199999999999995</v>
      </c>
      <c r="D21" s="186"/>
      <c r="E21" s="43">
        <f t="shared" si="2"/>
        <v>521.0139999999999</v>
      </c>
      <c r="F21" s="51">
        <f t="shared" si="3"/>
        <v>0.94199999999999995</v>
      </c>
      <c r="G21" s="9">
        <f>0.452-H21</f>
        <v>0.19</v>
      </c>
      <c r="H21" s="10">
        <v>0.26200000000000001</v>
      </c>
      <c r="I21" s="161">
        <f t="shared" si="4"/>
        <v>4.8599999999999994</v>
      </c>
      <c r="J21" s="8"/>
      <c r="K21" s="11"/>
      <c r="L21" s="12"/>
      <c r="M21" s="51">
        <f t="shared" si="0"/>
        <v>0.26200000000000001</v>
      </c>
      <c r="N21" s="24">
        <v>0.625</v>
      </c>
      <c r="O21" s="47">
        <f t="shared" si="5"/>
        <v>1.2139999999999973</v>
      </c>
      <c r="P21" s="48"/>
      <c r="Q21" s="47">
        <f t="shared" si="1"/>
        <v>527.08799999999985</v>
      </c>
      <c r="R21" s="165">
        <f t="shared" si="6"/>
        <v>23.062000000000001</v>
      </c>
      <c r="S21" s="160">
        <f>AI13+AI14+AI19+AI21</f>
        <v>174.52100000000002</v>
      </c>
      <c r="T21" s="86">
        <v>17493.5</v>
      </c>
      <c r="U21" s="407">
        <f>1199396.3-AI21*M81</f>
        <v>90822.680000000168</v>
      </c>
      <c r="V21" s="288">
        <v>0</v>
      </c>
      <c r="W21" s="388">
        <v>0</v>
      </c>
      <c r="X21" s="79">
        <v>0</v>
      </c>
      <c r="Y21" s="58">
        <v>54878.899999999907</v>
      </c>
      <c r="Z21" s="87">
        <v>1366758.6700000004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128" t="s">
        <v>48</v>
      </c>
      <c r="AI21" s="120">
        <v>30.513999999999999</v>
      </c>
      <c r="AJ21" s="103" t="s">
        <v>502</v>
      </c>
      <c r="AK21" s="91">
        <v>50853936</v>
      </c>
      <c r="AL21" s="21"/>
      <c r="AM21" s="21"/>
      <c r="AN21" s="21"/>
    </row>
    <row r="22" spans="1:40" ht="13.2" customHeight="1" thickBot="1" x14ac:dyDescent="0.35">
      <c r="A22" s="3">
        <v>45248</v>
      </c>
      <c r="B22" s="28">
        <v>5.48</v>
      </c>
      <c r="C22" s="146"/>
      <c r="D22" s="186"/>
      <c r="E22" s="43">
        <f t="shared" si="2"/>
        <v>515.53399999999988</v>
      </c>
      <c r="F22" s="51">
        <f t="shared" si="3"/>
        <v>0</v>
      </c>
      <c r="G22" s="9"/>
      <c r="H22" s="10"/>
      <c r="I22" s="161">
        <f t="shared" si="4"/>
        <v>4.8599999999999994</v>
      </c>
      <c r="J22" s="8"/>
      <c r="K22" s="11"/>
      <c r="L22" s="12"/>
      <c r="M22" s="51">
        <f t="shared" si="0"/>
        <v>0</v>
      </c>
      <c r="N22" s="24"/>
      <c r="O22" s="47">
        <f t="shared" si="5"/>
        <v>1.2139999999999973</v>
      </c>
      <c r="P22" s="48"/>
      <c r="Q22" s="47">
        <f t="shared" si="1"/>
        <v>521.60799999999983</v>
      </c>
      <c r="R22" s="165">
        <f t="shared" si="6"/>
        <v>5.48</v>
      </c>
      <c r="S22" s="160">
        <v>174.52100000000002</v>
      </c>
      <c r="T22" s="86">
        <v>17493.5</v>
      </c>
      <c r="U22" s="86">
        <v>90822.680000000168</v>
      </c>
      <c r="V22" s="426">
        <v>0</v>
      </c>
      <c r="W22" s="461">
        <v>0</v>
      </c>
      <c r="X22" s="79">
        <v>0</v>
      </c>
      <c r="Y22" s="58">
        <v>54878.899999999907</v>
      </c>
      <c r="Z22" s="87">
        <v>1366758.6700000004</v>
      </c>
      <c r="AA22" s="287"/>
      <c r="AB22" s="428"/>
      <c r="AC22" s="59">
        <f>965650-AI19*M74</f>
        <v>106475.00000000012</v>
      </c>
      <c r="AD22" s="427">
        <v>0</v>
      </c>
      <c r="AE22" s="55"/>
      <c r="AF22" s="14"/>
      <c r="AG22" s="58">
        <v>57820.000000000116</v>
      </c>
      <c r="AH22" s="128"/>
      <c r="AI22" s="120"/>
      <c r="AJ22" s="103"/>
      <c r="AK22" s="91"/>
      <c r="AL22" s="21"/>
      <c r="AM22" s="21"/>
      <c r="AN22" s="21"/>
    </row>
    <row r="23" spans="1:40" ht="13.2" customHeight="1" thickBot="1" x14ac:dyDescent="0.35">
      <c r="A23" s="3">
        <v>45249</v>
      </c>
      <c r="B23" s="28"/>
      <c r="C23" s="30"/>
      <c r="D23" s="186"/>
      <c r="E23" s="43">
        <f t="shared" si="2"/>
        <v>515.53399999999988</v>
      </c>
      <c r="F23" s="51">
        <f t="shared" si="3"/>
        <v>0</v>
      </c>
      <c r="G23" s="9"/>
      <c r="H23" s="10"/>
      <c r="I23" s="161">
        <f t="shared" si="4"/>
        <v>4.8599999999999994</v>
      </c>
      <c r="J23" s="8"/>
      <c r="K23" s="11"/>
      <c r="L23" s="12"/>
      <c r="M23" s="51">
        <f t="shared" si="0"/>
        <v>0</v>
      </c>
      <c r="N23" s="24"/>
      <c r="O23" s="47">
        <f t="shared" si="5"/>
        <v>1.2139999999999973</v>
      </c>
      <c r="P23" s="48"/>
      <c r="Q23" s="47">
        <f t="shared" si="1"/>
        <v>521.60799999999983</v>
      </c>
      <c r="R23" s="165">
        <f t="shared" si="6"/>
        <v>0</v>
      </c>
      <c r="S23" s="160">
        <v>174.52100000000002</v>
      </c>
      <c r="T23" s="86">
        <v>17493.5</v>
      </c>
      <c r="U23" s="82">
        <v>90822.680000000168</v>
      </c>
      <c r="V23" s="86">
        <v>0</v>
      </c>
      <c r="W23" s="388">
        <v>0</v>
      </c>
      <c r="X23" s="79">
        <v>0</v>
      </c>
      <c r="Y23" s="58">
        <v>54878.899999999907</v>
      </c>
      <c r="Z23" s="87">
        <v>1366758.6700000004</v>
      </c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445"/>
      <c r="AI23" s="126"/>
      <c r="AJ23" s="103"/>
      <c r="AK23" s="21"/>
      <c r="AL23" s="91"/>
      <c r="AM23" s="21"/>
      <c r="AN23" s="21"/>
    </row>
    <row r="24" spans="1:40" ht="13.2" customHeight="1" thickBot="1" x14ac:dyDescent="0.35">
      <c r="A24" s="7">
        <v>45250</v>
      </c>
      <c r="B24" s="28">
        <v>46.43</v>
      </c>
      <c r="C24" s="30">
        <v>1.522</v>
      </c>
      <c r="D24" s="485">
        <v>35.744</v>
      </c>
      <c r="E24" s="43">
        <f t="shared" si="2"/>
        <v>503.32599999999991</v>
      </c>
      <c r="F24" s="51">
        <f t="shared" si="3"/>
        <v>1.522</v>
      </c>
      <c r="G24" s="9">
        <f>2.262-H24</f>
        <v>1.6600000000000001</v>
      </c>
      <c r="H24" s="10">
        <v>0.60199999999999998</v>
      </c>
      <c r="I24" s="161">
        <f t="shared" si="4"/>
        <v>4.1199999999999992</v>
      </c>
      <c r="J24" s="8"/>
      <c r="K24" s="11"/>
      <c r="L24" s="12"/>
      <c r="M24" s="51">
        <f t="shared" si="0"/>
        <v>0.60199999999999998</v>
      </c>
      <c r="N24" s="24">
        <v>0.45500000000000002</v>
      </c>
      <c r="O24" s="47">
        <f t="shared" si="5"/>
        <v>1.3609999999999971</v>
      </c>
      <c r="P24" s="48"/>
      <c r="Q24" s="47">
        <f t="shared" si="1"/>
        <v>508.8069999999999</v>
      </c>
      <c r="R24" s="165">
        <f t="shared" si="6"/>
        <v>48.692</v>
      </c>
      <c r="S24" s="160">
        <f>AI21+AI19+AI14+D25</f>
        <v>138.77699999999999</v>
      </c>
      <c r="T24" s="86">
        <v>17493.5</v>
      </c>
      <c r="U24" s="82">
        <v>90822.680000000168</v>
      </c>
      <c r="V24" s="86">
        <v>0</v>
      </c>
      <c r="W24" s="388">
        <v>0</v>
      </c>
      <c r="X24" s="79">
        <v>0</v>
      </c>
      <c r="Y24" s="58">
        <v>54878.899999999907</v>
      </c>
      <c r="Z24" s="87">
        <v>1366758.6700000004</v>
      </c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127"/>
      <c r="AI24" s="122"/>
      <c r="AJ24" s="103"/>
      <c r="AK24" s="91"/>
      <c r="AL24" s="21"/>
      <c r="AM24" s="21"/>
      <c r="AN24" s="21"/>
    </row>
    <row r="25" spans="1:40" ht="13.2" customHeight="1" thickBot="1" x14ac:dyDescent="0.35">
      <c r="A25" s="7">
        <v>45251</v>
      </c>
      <c r="B25" s="28">
        <v>16.64</v>
      </c>
      <c r="C25" s="30">
        <v>3.21</v>
      </c>
      <c r="D25" s="485">
        <v>36.646000000000001</v>
      </c>
      <c r="E25" s="43">
        <f t="shared" si="2"/>
        <v>520.12199999999984</v>
      </c>
      <c r="F25" s="51">
        <f t="shared" si="3"/>
        <v>3.21</v>
      </c>
      <c r="G25" s="219">
        <f>3.63-H25</f>
        <v>3.13</v>
      </c>
      <c r="H25" s="10">
        <v>0.5</v>
      </c>
      <c r="I25" s="161">
        <f t="shared" si="4"/>
        <v>3.6999999999999993</v>
      </c>
      <c r="J25" s="8"/>
      <c r="K25" s="11"/>
      <c r="L25" s="12"/>
      <c r="M25" s="51">
        <f t="shared" si="0"/>
        <v>0.5</v>
      </c>
      <c r="N25" s="24">
        <v>0.317</v>
      </c>
      <c r="O25" s="47">
        <f t="shared" si="5"/>
        <v>1.5439999999999972</v>
      </c>
      <c r="P25" s="48"/>
      <c r="Q25" s="47">
        <f t="shared" si="1"/>
        <v>525.36599999999987</v>
      </c>
      <c r="R25" s="165">
        <f t="shared" si="6"/>
        <v>20.27</v>
      </c>
      <c r="S25" s="160">
        <f>AI14+AI19+AI21</f>
        <v>102.13099999999999</v>
      </c>
      <c r="T25" s="86">
        <v>17493.5</v>
      </c>
      <c r="U25" s="82">
        <v>90822.680000000168</v>
      </c>
      <c r="V25" s="86">
        <v>0</v>
      </c>
      <c r="W25" s="388">
        <v>0</v>
      </c>
      <c r="X25" s="79">
        <v>0</v>
      </c>
      <c r="Y25" s="58">
        <v>54878.899999999907</v>
      </c>
      <c r="Z25" s="87">
        <v>1366758.6700000004</v>
      </c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384"/>
      <c r="AI25" s="121"/>
      <c r="AJ25" s="103"/>
      <c r="AK25" s="91"/>
      <c r="AL25" s="438"/>
      <c r="AM25" s="21"/>
      <c r="AN25" s="21"/>
    </row>
    <row r="26" spans="1:40" ht="12" customHeight="1" thickBot="1" x14ac:dyDescent="0.35">
      <c r="A26" s="7">
        <v>45252</v>
      </c>
      <c r="B26" s="28">
        <v>34.9</v>
      </c>
      <c r="C26" s="30">
        <v>1.3</v>
      </c>
      <c r="D26" s="186">
        <f>AI14</f>
        <v>37.25</v>
      </c>
      <c r="E26" s="43">
        <f>E25+D26-B26-C26</f>
        <v>521.17199999999991</v>
      </c>
      <c r="F26" s="51">
        <f t="shared" si="3"/>
        <v>1.3</v>
      </c>
      <c r="G26" s="9">
        <f>0.3</f>
        <v>0.3</v>
      </c>
      <c r="H26" s="10"/>
      <c r="I26" s="161">
        <f t="shared" si="4"/>
        <v>4.6999999999999993</v>
      </c>
      <c r="J26" s="8"/>
      <c r="K26" s="11"/>
      <c r="L26" s="12"/>
      <c r="M26" s="51">
        <f t="shared" si="0"/>
        <v>0</v>
      </c>
      <c r="N26" s="24">
        <v>0.214</v>
      </c>
      <c r="O26" s="47">
        <f t="shared" si="5"/>
        <v>1.3299999999999972</v>
      </c>
      <c r="P26" s="48"/>
      <c r="Q26" s="47">
        <f t="shared" si="1"/>
        <v>527.202</v>
      </c>
      <c r="R26" s="165">
        <f t="shared" si="6"/>
        <v>35.199999999999996</v>
      </c>
      <c r="S26" s="160">
        <f>AI19+AI21</f>
        <v>64.881</v>
      </c>
      <c r="T26" s="86">
        <v>17493.5</v>
      </c>
      <c r="U26" s="82">
        <f>90822.68+2671000</f>
        <v>2761822.68</v>
      </c>
      <c r="V26" s="86">
        <v>0</v>
      </c>
      <c r="W26" s="388">
        <v>0</v>
      </c>
      <c r="X26" s="79">
        <v>0</v>
      </c>
      <c r="Y26" s="58">
        <v>54878.899999999907</v>
      </c>
      <c r="Z26" s="87">
        <f>1366758.67+1781000</f>
        <v>3147758.67</v>
      </c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/>
      <c r="AI26" s="122"/>
      <c r="AJ26" s="208"/>
      <c r="AK26" s="91"/>
      <c r="AL26" s="21"/>
      <c r="AM26" s="21"/>
      <c r="AN26" s="21"/>
    </row>
    <row r="27" spans="1:40" ht="13.2" customHeight="1" thickBot="1" x14ac:dyDescent="0.35">
      <c r="A27" s="7">
        <v>45253</v>
      </c>
      <c r="B27" s="28">
        <v>18.239999999999998</v>
      </c>
      <c r="C27" s="28">
        <v>1.6890000000000001</v>
      </c>
      <c r="D27" s="186">
        <f>AI19</f>
        <v>34.366999999999997</v>
      </c>
      <c r="E27" s="43">
        <f>E26+D27-B27-C27</f>
        <v>535.6099999999999</v>
      </c>
      <c r="F27" s="51">
        <f t="shared" si="3"/>
        <v>1.6890000000000001</v>
      </c>
      <c r="G27" s="9">
        <f>2.509-H27</f>
        <v>1.96</v>
      </c>
      <c r="H27" s="10">
        <v>0.54900000000000004</v>
      </c>
      <c r="I27" s="161">
        <f t="shared" si="4"/>
        <v>3.8799999999999994</v>
      </c>
      <c r="J27" s="8"/>
      <c r="K27" s="11"/>
      <c r="L27" s="12"/>
      <c r="M27" s="51">
        <f t="shared" si="0"/>
        <v>0.54900000000000004</v>
      </c>
      <c r="N27" s="24">
        <v>0.35399999999999998</v>
      </c>
      <c r="O27" s="47">
        <f t="shared" si="5"/>
        <v>1.5249999999999972</v>
      </c>
      <c r="P27" s="48"/>
      <c r="Q27" s="47">
        <f t="shared" si="1"/>
        <v>541.01499999999987</v>
      </c>
      <c r="R27" s="165">
        <f t="shared" si="6"/>
        <v>20.748999999999999</v>
      </c>
      <c r="S27" s="160">
        <f>AI21</f>
        <v>30.513999999999999</v>
      </c>
      <c r="T27" s="212">
        <v>17493.5</v>
      </c>
      <c r="U27" s="82">
        <v>2761822.68</v>
      </c>
      <c r="V27" s="87">
        <v>0</v>
      </c>
      <c r="W27" s="388">
        <v>0</v>
      </c>
      <c r="X27" s="94">
        <v>0</v>
      </c>
      <c r="Y27" s="58">
        <v>54878.899999999907</v>
      </c>
      <c r="Z27" s="87">
        <v>3147758.67</v>
      </c>
      <c r="AA27" s="86"/>
      <c r="AB27" s="80"/>
      <c r="AC27" s="58">
        <v>0</v>
      </c>
      <c r="AD27" s="87"/>
      <c r="AE27" s="55"/>
      <c r="AF27" s="14"/>
      <c r="AG27" s="58"/>
      <c r="AH27" s="384"/>
      <c r="AI27" s="122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7">
        <v>45254</v>
      </c>
      <c r="B28" s="28">
        <v>16.87</v>
      </c>
      <c r="C28" s="30">
        <v>1.708</v>
      </c>
      <c r="D28" s="186">
        <f>AI21</f>
        <v>30.513999999999999</v>
      </c>
      <c r="E28" s="43">
        <f t="shared" si="2"/>
        <v>547.54599999999994</v>
      </c>
      <c r="F28" s="51">
        <f t="shared" si="3"/>
        <v>1.708</v>
      </c>
      <c r="G28" s="9">
        <f>1.588-H28</f>
        <v>1.28</v>
      </c>
      <c r="H28" s="10">
        <v>0.308</v>
      </c>
      <c r="I28" s="161">
        <f t="shared" si="4"/>
        <v>3.9999999999999991</v>
      </c>
      <c r="J28" s="8"/>
      <c r="K28" s="11"/>
      <c r="L28" s="12"/>
      <c r="M28" s="51">
        <f t="shared" si="0"/>
        <v>0.308</v>
      </c>
      <c r="N28" s="24">
        <v>0.30399999999999999</v>
      </c>
      <c r="O28" s="47">
        <f t="shared" si="5"/>
        <v>1.5289999999999973</v>
      </c>
      <c r="P28" s="48"/>
      <c r="Q28" s="47">
        <f t="shared" si="1"/>
        <v>553.07499999999993</v>
      </c>
      <c r="R28" s="165">
        <f t="shared" si="6"/>
        <v>18.458000000000002</v>
      </c>
      <c r="S28" s="160">
        <v>0</v>
      </c>
      <c r="T28" s="212">
        <v>17493.5</v>
      </c>
      <c r="U28" s="82">
        <v>2761822.68</v>
      </c>
      <c r="V28" s="87">
        <v>0</v>
      </c>
      <c r="W28" s="388">
        <v>0</v>
      </c>
      <c r="X28" s="94">
        <v>0</v>
      </c>
      <c r="Y28" s="58">
        <v>54878.899999999907</v>
      </c>
      <c r="Z28" s="87">
        <v>3147758.67</v>
      </c>
      <c r="AA28" s="86"/>
      <c r="AB28" s="80"/>
      <c r="AC28" s="58">
        <v>0</v>
      </c>
      <c r="AD28" s="87"/>
      <c r="AE28" s="55"/>
      <c r="AF28" s="93"/>
      <c r="AG28" s="58"/>
      <c r="AH28" s="384"/>
      <c r="AI28" s="385"/>
      <c r="AJ28" s="356"/>
      <c r="AK28" s="91"/>
      <c r="AL28" s="21"/>
      <c r="AM28" s="21"/>
      <c r="AN28" s="21"/>
    </row>
    <row r="29" spans="1:40" ht="13.2" customHeight="1" outlineLevel="1" thickBot="1" x14ac:dyDescent="0.35">
      <c r="A29" s="3">
        <v>45255</v>
      </c>
      <c r="B29" s="28"/>
      <c r="C29" s="30"/>
      <c r="D29" s="186"/>
      <c r="E29" s="43">
        <f t="shared" si="2"/>
        <v>547.54599999999994</v>
      </c>
      <c r="F29" s="51">
        <f t="shared" si="3"/>
        <v>0</v>
      </c>
      <c r="G29" s="9"/>
      <c r="H29" s="10"/>
      <c r="I29" s="161">
        <f t="shared" si="4"/>
        <v>3.9999999999999991</v>
      </c>
      <c r="J29" s="8"/>
      <c r="K29" s="11"/>
      <c r="L29" s="12"/>
      <c r="M29" s="51">
        <f t="shared" si="0"/>
        <v>0</v>
      </c>
      <c r="N29" s="24"/>
      <c r="O29" s="47">
        <f t="shared" si="5"/>
        <v>1.5289999999999973</v>
      </c>
      <c r="P29" s="48"/>
      <c r="Q29" s="47">
        <f t="shared" si="1"/>
        <v>553.07499999999993</v>
      </c>
      <c r="R29" s="165">
        <f t="shared" si="6"/>
        <v>0</v>
      </c>
      <c r="S29" s="160">
        <v>0</v>
      </c>
      <c r="T29" s="212">
        <v>17493.5</v>
      </c>
      <c r="U29" s="82">
        <v>2761822.68</v>
      </c>
      <c r="V29" s="87">
        <v>0</v>
      </c>
      <c r="W29" s="388">
        <v>0</v>
      </c>
      <c r="X29" s="94">
        <v>0</v>
      </c>
      <c r="Y29" s="58">
        <v>54878.899999999907</v>
      </c>
      <c r="Z29" s="87">
        <v>3147758.67</v>
      </c>
      <c r="AA29" s="86"/>
      <c r="AB29" s="129"/>
      <c r="AC29" s="58">
        <v>0</v>
      </c>
      <c r="AD29" s="87"/>
      <c r="AE29" s="56"/>
      <c r="AF29" s="14"/>
      <c r="AG29" s="58"/>
      <c r="AH29" s="384"/>
      <c r="AI29" s="385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3">
        <v>45256</v>
      </c>
      <c r="B30" s="28"/>
      <c r="C30" s="146"/>
      <c r="D30" s="186"/>
      <c r="E30" s="43">
        <f t="shared" si="2"/>
        <v>547.54599999999994</v>
      </c>
      <c r="F30" s="51">
        <f t="shared" si="3"/>
        <v>0</v>
      </c>
      <c r="G30" s="30"/>
      <c r="H30" s="24"/>
      <c r="I30" s="161">
        <f t="shared" si="4"/>
        <v>3.9999999999999991</v>
      </c>
      <c r="J30" s="28"/>
      <c r="K30" s="26"/>
      <c r="L30" s="53"/>
      <c r="M30" s="51">
        <f t="shared" si="0"/>
        <v>0</v>
      </c>
      <c r="N30" s="24"/>
      <c r="O30" s="47">
        <f t="shared" si="5"/>
        <v>1.5289999999999973</v>
      </c>
      <c r="P30" s="54"/>
      <c r="Q30" s="47">
        <f t="shared" si="1"/>
        <v>553.07499999999993</v>
      </c>
      <c r="R30" s="165">
        <f t="shared" si="6"/>
        <v>0</v>
      </c>
      <c r="S30" s="160">
        <v>0</v>
      </c>
      <c r="T30" s="212">
        <v>17493.5</v>
      </c>
      <c r="U30" s="82">
        <v>2761822.68</v>
      </c>
      <c r="V30" s="87">
        <v>0</v>
      </c>
      <c r="W30" s="388">
        <v>0</v>
      </c>
      <c r="X30" s="94">
        <v>0</v>
      </c>
      <c r="Y30" s="58">
        <v>54878.899999999907</v>
      </c>
      <c r="Z30" s="87">
        <v>3147758.67</v>
      </c>
      <c r="AA30" s="86"/>
      <c r="AB30" s="129"/>
      <c r="AC30" s="58">
        <v>0</v>
      </c>
      <c r="AD30" s="87"/>
      <c r="AE30" s="191"/>
      <c r="AF30" s="14"/>
      <c r="AG30" s="58"/>
      <c r="AH30" s="384"/>
      <c r="AI30" s="122"/>
      <c r="AJ30" s="103"/>
      <c r="AK30" s="91"/>
    </row>
    <row r="31" spans="1:40" s="21" customFormat="1" ht="13.2" customHeight="1" outlineLevel="1" thickBot="1" x14ac:dyDescent="0.35">
      <c r="A31" s="7">
        <v>45257</v>
      </c>
      <c r="B31" s="28">
        <v>15.34</v>
      </c>
      <c r="C31" s="30">
        <v>1.4450000000000001</v>
      </c>
      <c r="D31" s="186"/>
      <c r="E31" s="43">
        <f t="shared" si="2"/>
        <v>530.76099999999985</v>
      </c>
      <c r="F31" s="51">
        <f t="shared" si="3"/>
        <v>1.4450000000000001</v>
      </c>
      <c r="G31" s="68">
        <f>1.345-H31</f>
        <v>1.345</v>
      </c>
      <c r="H31" s="69"/>
      <c r="I31" s="161">
        <f t="shared" si="4"/>
        <v>4.0999999999999996</v>
      </c>
      <c r="J31" s="67"/>
      <c r="K31" s="70"/>
      <c r="L31" s="71"/>
      <c r="M31" s="51">
        <f t="shared" si="0"/>
        <v>0</v>
      </c>
      <c r="N31" s="24">
        <v>0.32700000000000001</v>
      </c>
      <c r="O31" s="47">
        <f t="shared" si="5"/>
        <v>1.2019999999999973</v>
      </c>
      <c r="P31" s="72"/>
      <c r="Q31" s="47">
        <f t="shared" si="1"/>
        <v>536.06299999999987</v>
      </c>
      <c r="R31" s="165">
        <f t="shared" si="6"/>
        <v>16.684999999999999</v>
      </c>
      <c r="S31" s="160">
        <v>0</v>
      </c>
      <c r="T31" s="212">
        <f>17493.5+1281000</f>
        <v>1298493.5</v>
      </c>
      <c r="U31" s="82">
        <v>2761822.68</v>
      </c>
      <c r="V31" s="87">
        <v>0</v>
      </c>
      <c r="W31" s="388">
        <v>0</v>
      </c>
      <c r="X31" s="94">
        <v>0</v>
      </c>
      <c r="Y31" s="58">
        <v>54878.899999999907</v>
      </c>
      <c r="Z31" s="87">
        <v>3147758.67</v>
      </c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7">
        <v>45258</v>
      </c>
      <c r="B32" s="28">
        <v>26.09</v>
      </c>
      <c r="C32" s="30">
        <v>3.2650000000000001</v>
      </c>
      <c r="D32" s="186"/>
      <c r="E32" s="43">
        <f t="shared" si="2"/>
        <v>501.40599999999989</v>
      </c>
      <c r="F32" s="51">
        <f t="shared" si="3"/>
        <v>3.2650000000000001</v>
      </c>
      <c r="G32" s="62">
        <f>4.325-H32</f>
        <v>3.75</v>
      </c>
      <c r="H32" s="62">
        <v>0.57499999999999996</v>
      </c>
      <c r="I32" s="161">
        <f t="shared" si="4"/>
        <v>3.04</v>
      </c>
      <c r="J32" s="62"/>
      <c r="K32" s="64"/>
      <c r="L32" s="13"/>
      <c r="M32" s="51">
        <f t="shared" si="0"/>
        <v>0.57499999999999996</v>
      </c>
      <c r="N32" s="24">
        <v>0.28599999999999998</v>
      </c>
      <c r="O32" s="47">
        <f t="shared" si="5"/>
        <v>1.4909999999999972</v>
      </c>
      <c r="P32" s="65"/>
      <c r="Q32" s="47">
        <f t="shared" si="1"/>
        <v>505.9369999999999</v>
      </c>
      <c r="R32" s="165">
        <f t="shared" si="6"/>
        <v>30.414999999999999</v>
      </c>
      <c r="S32" s="160">
        <v>0</v>
      </c>
      <c r="T32" s="86">
        <v>1298493.5</v>
      </c>
      <c r="U32" s="86">
        <v>2761822.68</v>
      </c>
      <c r="V32" s="87">
        <v>0</v>
      </c>
      <c r="W32" s="153">
        <v>0</v>
      </c>
      <c r="X32" s="94">
        <v>0</v>
      </c>
      <c r="Y32" s="58">
        <v>54878.899999999907</v>
      </c>
      <c r="Z32" s="86">
        <v>3147758.67</v>
      </c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  <c r="AM32" s="21"/>
    </row>
    <row r="33" spans="1:39" ht="13.2" customHeight="1" outlineLevel="1" thickBot="1" x14ac:dyDescent="0.35">
      <c r="A33" s="7">
        <v>45259</v>
      </c>
      <c r="B33" s="28">
        <v>16.07</v>
      </c>
      <c r="C33" s="9">
        <v>1.56</v>
      </c>
      <c r="D33" s="186"/>
      <c r="E33" s="43">
        <f t="shared" si="2"/>
        <v>483.7759999999999</v>
      </c>
      <c r="F33" s="51">
        <f t="shared" si="3"/>
        <v>1.56</v>
      </c>
      <c r="G33" s="62">
        <f>0.5</f>
        <v>0.5</v>
      </c>
      <c r="H33" s="62"/>
      <c r="I33" s="161">
        <f t="shared" si="4"/>
        <v>4.0999999999999996</v>
      </c>
      <c r="J33" s="62"/>
      <c r="K33" s="64"/>
      <c r="L33" s="13"/>
      <c r="M33" s="51">
        <f t="shared" si="0"/>
        <v>0</v>
      </c>
      <c r="N33" s="24">
        <v>0.30199999999999999</v>
      </c>
      <c r="O33" s="47">
        <f t="shared" si="5"/>
        <v>1.1889999999999972</v>
      </c>
      <c r="P33" s="65"/>
      <c r="Q33" s="47">
        <f t="shared" si="1"/>
        <v>489.06499999999994</v>
      </c>
      <c r="R33" s="165">
        <f>B33+G33+H33+J33</f>
        <v>16.57</v>
      </c>
      <c r="S33" s="160">
        <v>0</v>
      </c>
      <c r="T33" s="86">
        <v>1298493.5</v>
      </c>
      <c r="U33" s="86">
        <v>2761822.68</v>
      </c>
      <c r="V33" s="87">
        <v>0</v>
      </c>
      <c r="W33" s="153">
        <v>0</v>
      </c>
      <c r="X33" s="94">
        <v>0</v>
      </c>
      <c r="Y33" s="58">
        <v>54878.899999999907</v>
      </c>
      <c r="Z33" s="86">
        <v>3147758.67</v>
      </c>
      <c r="AA33" s="86"/>
      <c r="AB33" s="80"/>
      <c r="AC33" s="58"/>
      <c r="AD33" s="87"/>
      <c r="AE33" s="57"/>
      <c r="AF33" s="131"/>
      <c r="AG33" s="58"/>
      <c r="AH33" s="384"/>
      <c r="AI33" s="120"/>
      <c r="AJ33" s="99"/>
      <c r="AK33" s="99"/>
      <c r="AL33" s="21"/>
      <c r="AM33" s="21"/>
    </row>
    <row r="34" spans="1:39" ht="13.2" customHeight="1" outlineLevel="1" thickBot="1" x14ac:dyDescent="0.35">
      <c r="A34" s="7">
        <v>45260</v>
      </c>
      <c r="B34" s="62">
        <v>12.28</v>
      </c>
      <c r="C34" s="30">
        <v>1.262</v>
      </c>
      <c r="D34" s="92"/>
      <c r="E34" s="43">
        <f t="shared" si="2"/>
        <v>470.23399999999992</v>
      </c>
      <c r="F34" s="51">
        <f t="shared" si="3"/>
        <v>1.262</v>
      </c>
      <c r="G34" s="62">
        <f>1.502-H34</f>
        <v>0.91</v>
      </c>
      <c r="H34" s="62">
        <v>0.59199999999999997</v>
      </c>
      <c r="I34" s="161">
        <f t="shared" si="4"/>
        <v>3.86</v>
      </c>
      <c r="J34" s="44"/>
      <c r="K34" s="44"/>
      <c r="L34" s="44"/>
      <c r="M34" s="63">
        <f t="shared" si="0"/>
        <v>0.59199999999999997</v>
      </c>
      <c r="N34" s="24">
        <v>0.187</v>
      </c>
      <c r="O34" s="47">
        <f t="shared" si="5"/>
        <v>1.593999999999997</v>
      </c>
      <c r="P34" s="65">
        <v>0</v>
      </c>
      <c r="Q34" s="47">
        <f t="shared" si="1"/>
        <v>475.68799999999993</v>
      </c>
      <c r="R34" s="165">
        <f t="shared" si="6"/>
        <v>13.782</v>
      </c>
      <c r="S34" s="160">
        <f>AI34</f>
        <v>37.713999999999999</v>
      </c>
      <c r="T34" s="86">
        <v>1298493.5</v>
      </c>
      <c r="U34" s="86">
        <f>U33</f>
        <v>2761822.68</v>
      </c>
      <c r="V34" s="87">
        <v>0</v>
      </c>
      <c r="W34" s="153">
        <v>0</v>
      </c>
      <c r="X34" s="94">
        <v>0</v>
      </c>
      <c r="Y34" s="58">
        <v>54878.899999999907</v>
      </c>
      <c r="Z34" s="107">
        <f>3147758.67-AI34*M80</f>
        <v>1777609.05</v>
      </c>
      <c r="AA34" s="86"/>
      <c r="AB34" s="129"/>
      <c r="AC34" s="58"/>
      <c r="AD34" s="87"/>
      <c r="AE34" s="57"/>
      <c r="AF34" s="87"/>
      <c r="AG34" s="58"/>
      <c r="AH34" s="123" t="s">
        <v>49</v>
      </c>
      <c r="AI34" s="122">
        <v>37.713999999999999</v>
      </c>
      <c r="AJ34" s="99" t="s">
        <v>512</v>
      </c>
      <c r="AK34" s="21">
        <v>55207567</v>
      </c>
      <c r="AL34" s="21"/>
      <c r="AM34" s="21"/>
    </row>
    <row r="35" spans="1:39" ht="15" outlineLevel="1" thickBot="1" x14ac:dyDescent="0.35">
      <c r="A35" s="7"/>
      <c r="B35" s="108"/>
      <c r="C35" s="19"/>
      <c r="D35" s="92"/>
      <c r="E35" s="73">
        <f>E34+D35-B35-C35</f>
        <v>470.23399999999992</v>
      </c>
      <c r="F35" s="100">
        <f t="shared" si="3"/>
        <v>0</v>
      </c>
      <c r="G35" s="108"/>
      <c r="H35" s="108"/>
      <c r="I35" s="161">
        <f>I34+F35-G35-H35</f>
        <v>3.86</v>
      </c>
      <c r="J35" s="18"/>
      <c r="K35" s="74"/>
      <c r="L35" s="75"/>
      <c r="M35" s="109">
        <f t="shared" si="0"/>
        <v>0</v>
      </c>
      <c r="N35" s="24"/>
      <c r="O35" s="50">
        <f>O34+M35-N35</f>
        <v>1.593999999999997</v>
      </c>
      <c r="P35" s="76"/>
      <c r="Q35" s="50">
        <f t="shared" si="1"/>
        <v>475.68799999999993</v>
      </c>
      <c r="R35" s="166">
        <f t="shared" si="6"/>
        <v>0</v>
      </c>
      <c r="S35" s="160"/>
      <c r="T35" s="86"/>
      <c r="U35" s="86"/>
      <c r="V35" s="87"/>
      <c r="W35" s="153"/>
      <c r="X35" s="94"/>
      <c r="Y35" s="88"/>
      <c r="Z35" s="86"/>
      <c r="AA35" s="86"/>
      <c r="AB35" s="129"/>
      <c r="AC35" s="58"/>
      <c r="AD35" s="87"/>
      <c r="AE35" s="57"/>
      <c r="AF35" s="87"/>
      <c r="AG35" s="58"/>
      <c r="AH35" s="384"/>
      <c r="AI35" s="122"/>
      <c r="AJ35" s="99"/>
      <c r="AK35" s="21"/>
      <c r="AL35" s="21"/>
    </row>
    <row r="36" spans="1:39" ht="15" thickBot="1" x14ac:dyDescent="0.35">
      <c r="A36" s="36" t="s">
        <v>12</v>
      </c>
      <c r="B36" s="37">
        <f>SUM(B5:B35)</f>
        <v>502.39999999999992</v>
      </c>
      <c r="C36" s="37">
        <f>SUM(C5:C35)</f>
        <v>43.930000000000007</v>
      </c>
      <c r="D36" s="37">
        <f>SUM(D5:D35)</f>
        <v>672.47899999999993</v>
      </c>
      <c r="E36" s="115">
        <f>INDEX(E5:E35,COUNTA(E5:E35))-12.74</f>
        <v>457.49399999999991</v>
      </c>
      <c r="F36" s="37">
        <f>SUM(F5:F35)</f>
        <v>43.930000000000007</v>
      </c>
      <c r="G36" s="37">
        <f>SUM(G5:G35)</f>
        <v>36.195999999999998</v>
      </c>
      <c r="H36" s="37">
        <f>SUM(H5:H35)</f>
        <v>6.9539999999999997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6.9539999999999997</v>
      </c>
      <c r="N36" s="37">
        <f>SUM(N5:N35)</f>
        <v>6.7560000000000002</v>
      </c>
      <c r="O36" s="41"/>
      <c r="P36" s="40">
        <f>B36+G36+H36+J36</f>
        <v>545.54999999999984</v>
      </c>
      <c r="Q36" s="41"/>
      <c r="R36" s="167">
        <f>SUM(R5:R35)</f>
        <v>545.55000000000018</v>
      </c>
      <c r="S36" s="114">
        <f>INDEX(S5:S35,COUNTA(S5:S35))</f>
        <v>37.713999999999999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/>
      <c r="AI36" s="122"/>
      <c r="AJ36" s="21"/>
      <c r="AK36" s="99"/>
      <c r="AL36" s="21"/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H37" s="384"/>
      <c r="AI37" s="122"/>
      <c r="AJ37" s="473"/>
      <c r="AK37" s="99"/>
      <c r="AL37" s="21"/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457.49399999999991</v>
      </c>
      <c r="AA38" s="111"/>
      <c r="AB38" s="111"/>
      <c r="AC38" s="111"/>
      <c r="AD38" s="112"/>
      <c r="AH38" s="474"/>
      <c r="AI38" s="475"/>
      <c r="AJ38" s="475"/>
      <c r="AK38" s="475"/>
      <c r="AL38" s="475"/>
    </row>
    <row r="39" spans="1:39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37.713999999999999</v>
      </c>
      <c r="AA39" s="111"/>
      <c r="AB39" s="111"/>
      <c r="AC39" s="111"/>
      <c r="AD39" s="112"/>
      <c r="AH39" s="123"/>
      <c r="AI39" s="122"/>
      <c r="AJ39" s="473"/>
      <c r="AK39" s="99"/>
      <c r="AL39" s="475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N86</f>
        <v>157.51540681085049</v>
      </c>
      <c r="AA40" s="111"/>
      <c r="AB40" s="111"/>
      <c r="AC40" s="111"/>
      <c r="AD40" s="112"/>
      <c r="AH40" s="474"/>
      <c r="AI40" s="122"/>
      <c r="AJ40" s="475"/>
      <c r="AK40" s="475"/>
      <c r="AL40" s="475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652.72340681085041</v>
      </c>
      <c r="AA41" s="111"/>
      <c r="AB41" s="111"/>
      <c r="AC41" s="111"/>
      <c r="AD41" s="112"/>
      <c r="AH41" s="474"/>
      <c r="AI41" s="475"/>
      <c r="AJ41" s="475"/>
      <c r="AK41" s="475"/>
      <c r="AL41" s="475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9" hidden="1" x14ac:dyDescent="0.3">
      <c r="E43" s="691" t="s">
        <v>18</v>
      </c>
      <c r="F43" s="692"/>
      <c r="G43" s="693"/>
      <c r="H43" s="552" t="s">
        <v>358</v>
      </c>
      <c r="I43" s="694"/>
      <c r="M43" s="240">
        <v>23874</v>
      </c>
      <c r="N43" s="342"/>
      <c r="O43" s="702" t="s">
        <v>201</v>
      </c>
      <c r="Q43" s="307" t="s">
        <v>303</v>
      </c>
      <c r="R43" s="355" t="s">
        <v>305</v>
      </c>
      <c r="T43" s="174"/>
      <c r="U43" s="174"/>
      <c r="V43" s="175"/>
      <c r="W43" s="175"/>
      <c r="X43" s="176"/>
      <c r="Y43" s="176"/>
      <c r="Z43" s="175"/>
      <c r="AA43" s="151"/>
      <c r="AB43" s="151"/>
      <c r="AC43" s="151"/>
      <c r="AD43" s="152"/>
      <c r="AI43" s="123"/>
      <c r="AJ43" s="103"/>
      <c r="AK43" s="103"/>
      <c r="AL43" s="91"/>
    </row>
    <row r="44" spans="1:39" s="315" customFormat="1" hidden="1" x14ac:dyDescent="0.3">
      <c r="C44" s="338"/>
      <c r="D44" s="98"/>
      <c r="E44" s="691" t="s">
        <v>18</v>
      </c>
      <c r="F44" s="692"/>
      <c r="G44" s="693"/>
      <c r="H44" s="552" t="s">
        <v>348</v>
      </c>
      <c r="I44" s="694"/>
      <c r="J44" s="124"/>
      <c r="K44" s="471"/>
      <c r="L44" s="145"/>
      <c r="M44" s="240">
        <v>27678</v>
      </c>
      <c r="N44" s="342"/>
      <c r="O44" s="702"/>
      <c r="P44" s="138"/>
      <c r="S44" s="355" t="s">
        <v>304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9" s="315" customFormat="1" hidden="1" x14ac:dyDescent="0.3">
      <c r="C45" s="338"/>
      <c r="D45" s="98"/>
      <c r="E45" s="691" t="s">
        <v>18</v>
      </c>
      <c r="F45" s="692"/>
      <c r="G45" s="693"/>
      <c r="H45" s="650" t="s">
        <v>394</v>
      </c>
      <c r="I45" s="651"/>
      <c r="J45" s="124"/>
      <c r="K45" s="471"/>
      <c r="L45" s="145"/>
      <c r="M45" s="240">
        <v>31374</v>
      </c>
      <c r="N45" s="342"/>
      <c r="O45" s="472" t="s">
        <v>351</v>
      </c>
      <c r="P45" s="138"/>
      <c r="Q45" s="307" t="s">
        <v>352</v>
      </c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9" s="315" customFormat="1" hidden="1" x14ac:dyDescent="0.3">
      <c r="C46" s="338"/>
      <c r="D46" s="98"/>
      <c r="E46" s="691" t="s">
        <v>18</v>
      </c>
      <c r="F46" s="692"/>
      <c r="G46" s="693"/>
      <c r="H46" s="650" t="s">
        <v>395</v>
      </c>
      <c r="I46" s="651"/>
      <c r="J46" s="124"/>
      <c r="K46" s="471"/>
      <c r="L46" s="145"/>
      <c r="M46" s="240">
        <v>32874</v>
      </c>
      <c r="N46" s="342"/>
      <c r="O46" s="472"/>
      <c r="P46" s="138"/>
      <c r="Q46" s="307"/>
      <c r="R46" s="307" t="s">
        <v>353</v>
      </c>
      <c r="S46" s="307" t="s">
        <v>354</v>
      </c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9" s="315" customFormat="1" x14ac:dyDescent="0.3">
      <c r="C47" s="338"/>
      <c r="D47" s="98"/>
      <c r="E47" s="672" t="s">
        <v>18</v>
      </c>
      <c r="F47" s="673"/>
      <c r="G47" s="674"/>
      <c r="H47" s="643" t="s">
        <v>496</v>
      </c>
      <c r="I47" s="675"/>
      <c r="J47" s="124"/>
      <c r="K47" s="484"/>
      <c r="L47" s="145"/>
      <c r="M47" s="240">
        <v>28650</v>
      </c>
      <c r="N47" s="342">
        <f>T31/M47</f>
        <v>45.322635253054102</v>
      </c>
      <c r="O47" s="248" t="s">
        <v>499</v>
      </c>
      <c r="P47" s="138"/>
      <c r="Q47" s="319" t="s">
        <v>69</v>
      </c>
      <c r="R47" s="319" t="s">
        <v>497</v>
      </c>
      <c r="S47" s="319" t="s">
        <v>498</v>
      </c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9" s="315" customFormat="1" x14ac:dyDescent="0.3">
      <c r="D48" s="98"/>
      <c r="E48" s="691" t="s">
        <v>18</v>
      </c>
      <c r="F48" s="692"/>
      <c r="G48" s="693"/>
      <c r="H48" s="650" t="s">
        <v>468</v>
      </c>
      <c r="I48" s="651"/>
      <c r="J48" s="124"/>
      <c r="K48" s="471"/>
      <c r="L48" s="145"/>
      <c r="M48" s="344">
        <v>37074</v>
      </c>
      <c r="N48" s="342"/>
      <c r="O48" s="248"/>
      <c r="P48" s="249"/>
      <c r="Q48" s="307" t="s">
        <v>470</v>
      </c>
      <c r="R48" s="307" t="s">
        <v>491</v>
      </c>
      <c r="S48" s="462"/>
      <c r="T48" s="319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hidden="1" x14ac:dyDescent="0.3">
      <c r="C49" s="338"/>
      <c r="D49" s="98"/>
      <c r="E49" s="691" t="s">
        <v>18</v>
      </c>
      <c r="F49" s="692"/>
      <c r="G49" s="693"/>
      <c r="H49" s="650" t="s">
        <v>415</v>
      </c>
      <c r="I49" s="651"/>
      <c r="J49" s="124"/>
      <c r="K49" s="471"/>
      <c r="L49" s="145"/>
      <c r="M49" s="240">
        <v>29670</v>
      </c>
      <c r="N49" s="342"/>
      <c r="O49" s="472"/>
      <c r="P49" s="138"/>
      <c r="Q49" s="307" t="s">
        <v>416</v>
      </c>
      <c r="R49" s="307" t="s">
        <v>417</v>
      </c>
      <c r="S49" s="307"/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hidden="1" x14ac:dyDescent="0.3">
      <c r="C50" s="338"/>
      <c r="D50" s="98"/>
      <c r="E50" s="688" t="s">
        <v>323</v>
      </c>
      <c r="F50" s="689"/>
      <c r="G50" s="690"/>
      <c r="H50" s="697" t="s">
        <v>378</v>
      </c>
      <c r="I50" s="698"/>
      <c r="J50" s="124"/>
      <c r="K50" s="471"/>
      <c r="L50" s="145"/>
      <c r="M50" s="240">
        <v>28000</v>
      </c>
      <c r="N50" s="342"/>
      <c r="O50" s="379"/>
      <c r="P50" s="138"/>
      <c r="Q50" s="406" t="s">
        <v>335</v>
      </c>
      <c r="R50" s="343"/>
      <c r="S50" s="343"/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hidden="1" x14ac:dyDescent="0.3">
      <c r="C51" s="338"/>
      <c r="D51" s="98"/>
      <c r="E51" s="688" t="s">
        <v>429</v>
      </c>
      <c r="F51" s="689"/>
      <c r="G51" s="690"/>
      <c r="H51" s="697" t="s">
        <v>388</v>
      </c>
      <c r="I51" s="698"/>
      <c r="J51" s="124"/>
      <c r="K51" s="471"/>
      <c r="L51" s="145"/>
      <c r="M51" s="240">
        <v>28400</v>
      </c>
      <c r="N51" s="342"/>
      <c r="O51" s="472"/>
      <c r="P51" s="138"/>
      <c r="Q51" s="406" t="s">
        <v>335</v>
      </c>
      <c r="R51" s="343"/>
      <c r="S51" s="343"/>
      <c r="T51" s="343"/>
      <c r="U51" s="319"/>
      <c r="V51" s="320"/>
      <c r="W51" s="321"/>
      <c r="X51" s="322"/>
      <c r="Y51" s="322"/>
      <c r="Z51" s="323"/>
      <c r="AA51" s="324"/>
      <c r="AB51" s="324"/>
      <c r="AC51" s="324"/>
      <c r="AD51" s="324"/>
      <c r="AG51" s="325"/>
      <c r="AH51" s="326"/>
      <c r="AI51" s="325"/>
      <c r="AJ51" s="325"/>
      <c r="AK51" s="325"/>
      <c r="AL51" s="324"/>
    </row>
    <row r="52" spans="3:38" s="315" customFormat="1" hidden="1" x14ac:dyDescent="0.3">
      <c r="C52" s="338"/>
      <c r="D52" s="98"/>
      <c r="E52" s="688" t="s">
        <v>323</v>
      </c>
      <c r="F52" s="689"/>
      <c r="G52" s="690"/>
      <c r="H52" s="697" t="s">
        <v>387</v>
      </c>
      <c r="I52" s="698"/>
      <c r="J52" s="124"/>
      <c r="K52" s="471"/>
      <c r="L52" s="145"/>
      <c r="M52" s="240">
        <v>28500</v>
      </c>
      <c r="N52" s="378"/>
      <c r="O52" s="472"/>
      <c r="P52" s="138"/>
      <c r="Q52" s="406" t="s">
        <v>335</v>
      </c>
      <c r="R52" s="343"/>
      <c r="S52" s="343"/>
      <c r="T52" s="343"/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G52" s="325"/>
      <c r="AH52" s="326"/>
      <c r="AI52" s="325"/>
      <c r="AJ52" s="325"/>
      <c r="AK52" s="325"/>
      <c r="AL52" s="324"/>
    </row>
    <row r="53" spans="3:38" s="315" customFormat="1" hidden="1" x14ac:dyDescent="0.3">
      <c r="C53" s="338"/>
      <c r="D53" s="98"/>
      <c r="E53" s="688" t="s">
        <v>430</v>
      </c>
      <c r="F53" s="689"/>
      <c r="G53" s="690"/>
      <c r="H53" s="697" t="s">
        <v>389</v>
      </c>
      <c r="I53" s="698"/>
      <c r="J53" s="124"/>
      <c r="K53" s="471"/>
      <c r="L53" s="145"/>
      <c r="M53" s="240">
        <v>29000</v>
      </c>
      <c r="N53" s="342"/>
      <c r="O53" s="472"/>
      <c r="P53" s="138"/>
      <c r="Q53" s="406" t="s">
        <v>335</v>
      </c>
      <c r="R53" s="343"/>
      <c r="S53" s="343"/>
      <c r="T53" s="343"/>
      <c r="U53" s="319"/>
      <c r="V53" s="320"/>
      <c r="W53" s="321"/>
      <c r="X53" s="322"/>
      <c r="Y53" s="322"/>
      <c r="Z53" s="323"/>
      <c r="AA53" s="324"/>
      <c r="AB53" s="324"/>
      <c r="AC53" s="324"/>
      <c r="AD53" s="324"/>
      <c r="AG53" s="325"/>
      <c r="AH53" s="326"/>
      <c r="AI53" s="325"/>
      <c r="AJ53" s="325"/>
      <c r="AK53" s="325"/>
      <c r="AL53" s="324"/>
    </row>
    <row r="54" spans="3:38" s="315" customFormat="1" hidden="1" x14ac:dyDescent="0.3">
      <c r="C54" s="338"/>
      <c r="D54" s="98"/>
      <c r="E54" s="688" t="s">
        <v>323</v>
      </c>
      <c r="F54" s="689"/>
      <c r="G54" s="690"/>
      <c r="H54" s="697" t="s">
        <v>399</v>
      </c>
      <c r="I54" s="698"/>
      <c r="J54" s="124"/>
      <c r="K54" s="471"/>
      <c r="L54" s="145"/>
      <c r="M54" s="240">
        <v>30200</v>
      </c>
      <c r="N54" s="378"/>
      <c r="O54" s="423"/>
      <c r="P54" s="138"/>
      <c r="Q54" s="406" t="s">
        <v>335</v>
      </c>
      <c r="R54" s="343"/>
      <c r="S54" s="343"/>
      <c r="T54" s="343"/>
      <c r="U54" s="319"/>
      <c r="V54" s="320"/>
      <c r="W54" s="321"/>
      <c r="X54" s="322"/>
      <c r="Y54" s="322"/>
      <c r="Z54" s="323"/>
      <c r="AA54" s="324"/>
      <c r="AB54" s="324"/>
      <c r="AC54" s="324"/>
      <c r="AD54" s="324"/>
      <c r="AG54" s="325"/>
      <c r="AH54" s="326"/>
      <c r="AI54" s="325"/>
      <c r="AJ54" s="325"/>
      <c r="AK54" s="325"/>
      <c r="AL54" s="324"/>
    </row>
    <row r="55" spans="3:38" s="315" customFormat="1" hidden="1" x14ac:dyDescent="0.3">
      <c r="C55" s="338"/>
      <c r="D55" s="98"/>
      <c r="E55" s="688" t="s">
        <v>229</v>
      </c>
      <c r="F55" s="689"/>
      <c r="G55" s="690"/>
      <c r="H55" s="650" t="s">
        <v>415</v>
      </c>
      <c r="I55" s="651"/>
      <c r="J55" s="124"/>
      <c r="K55" s="471"/>
      <c r="L55" s="145"/>
      <c r="M55" s="240">
        <v>36500</v>
      </c>
      <c r="N55" s="378"/>
      <c r="O55" s="379"/>
      <c r="P55" s="138"/>
      <c r="Q55" s="406"/>
      <c r="R55" s="343"/>
      <c r="S55" s="343"/>
      <c r="T55" s="343"/>
      <c r="U55" s="319"/>
      <c r="V55" s="320"/>
      <c r="W55" s="321"/>
      <c r="X55" s="322"/>
      <c r="Y55" s="322"/>
      <c r="Z55" s="323"/>
      <c r="AA55" s="324"/>
      <c r="AB55" s="324"/>
      <c r="AC55" s="324"/>
      <c r="AD55" s="324"/>
      <c r="AG55" s="325"/>
      <c r="AH55" s="326"/>
      <c r="AI55" s="325"/>
      <c r="AJ55" s="325"/>
      <c r="AK55" s="325"/>
      <c r="AL55" s="324"/>
    </row>
    <row r="56" spans="3:38" s="315" customFormat="1" hidden="1" x14ac:dyDescent="0.3">
      <c r="C56" s="338"/>
      <c r="D56" s="98"/>
      <c r="E56" s="688" t="s">
        <v>323</v>
      </c>
      <c r="F56" s="689"/>
      <c r="G56" s="690"/>
      <c r="H56" s="697" t="s">
        <v>451</v>
      </c>
      <c r="I56" s="698"/>
      <c r="J56" s="124"/>
      <c r="K56" s="471"/>
      <c r="L56" s="145"/>
      <c r="M56" s="240">
        <v>29800</v>
      </c>
      <c r="N56" s="342"/>
      <c r="O56" s="477" t="s">
        <v>493</v>
      </c>
      <c r="P56" s="138"/>
      <c r="Q56" s="406" t="s">
        <v>439</v>
      </c>
      <c r="R56" s="343"/>
      <c r="S56" s="343"/>
      <c r="T56" s="343"/>
      <c r="U56" s="319"/>
      <c r="V56" s="320"/>
      <c r="W56" s="321"/>
      <c r="X56" s="322"/>
      <c r="Y56" s="322"/>
      <c r="Z56" s="323"/>
      <c r="AA56" s="324"/>
      <c r="AB56" s="324"/>
      <c r="AC56" s="324"/>
      <c r="AD56" s="324"/>
      <c r="AG56" s="325"/>
      <c r="AH56" s="326"/>
      <c r="AI56" s="325"/>
      <c r="AJ56" s="325"/>
      <c r="AK56" s="325"/>
      <c r="AL56" s="324"/>
    </row>
    <row r="57" spans="3:38" s="315" customFormat="1" hidden="1" x14ac:dyDescent="0.3">
      <c r="C57" s="338"/>
      <c r="D57" s="98"/>
      <c r="E57" s="688" t="s">
        <v>323</v>
      </c>
      <c r="F57" s="689"/>
      <c r="G57" s="690"/>
      <c r="H57" s="697" t="s">
        <v>452</v>
      </c>
      <c r="I57" s="698"/>
      <c r="J57" s="124"/>
      <c r="K57" s="471"/>
      <c r="L57" s="145"/>
      <c r="M57" s="240">
        <v>29800</v>
      </c>
      <c r="N57" s="342"/>
      <c r="O57" s="423" t="s">
        <v>48</v>
      </c>
      <c r="P57" s="138"/>
      <c r="Q57" s="381" t="s">
        <v>335</v>
      </c>
      <c r="R57" s="343"/>
      <c r="S57" s="343"/>
      <c r="T57" s="343"/>
      <c r="U57" s="319"/>
      <c r="V57" s="320"/>
      <c r="W57" s="321"/>
      <c r="X57" s="322"/>
      <c r="Y57" s="322"/>
      <c r="Z57" s="323"/>
      <c r="AA57" s="324"/>
      <c r="AB57" s="324"/>
      <c r="AC57" s="324"/>
      <c r="AD57" s="324"/>
      <c r="AG57" s="325"/>
      <c r="AH57" s="326"/>
      <c r="AI57" s="325"/>
      <c r="AJ57" s="325"/>
      <c r="AK57" s="325"/>
      <c r="AL57" s="324"/>
    </row>
    <row r="58" spans="3:38" s="315" customFormat="1" hidden="1" x14ac:dyDescent="0.3">
      <c r="C58" s="338"/>
      <c r="D58" s="98"/>
      <c r="E58" s="688" t="s">
        <v>323</v>
      </c>
      <c r="F58" s="689"/>
      <c r="G58" s="690"/>
      <c r="H58" s="697" t="s">
        <v>450</v>
      </c>
      <c r="I58" s="698"/>
      <c r="J58" s="124"/>
      <c r="K58" s="471"/>
      <c r="L58" s="145"/>
      <c r="M58" s="240">
        <v>31400</v>
      </c>
      <c r="N58" s="342"/>
      <c r="O58" s="423"/>
      <c r="P58" s="138"/>
      <c r="Q58" s="434" t="s">
        <v>414</v>
      </c>
      <c r="R58" s="343"/>
      <c r="S58" s="343"/>
      <c r="T58" s="343"/>
      <c r="U58" s="319"/>
      <c r="V58" s="320"/>
      <c r="W58" s="321"/>
      <c r="X58" s="322"/>
      <c r="Y58" s="322"/>
      <c r="Z58" s="323"/>
      <c r="AA58" s="324"/>
      <c r="AB58" s="324"/>
      <c r="AC58" s="324"/>
      <c r="AD58" s="324"/>
      <c r="AG58" s="325"/>
      <c r="AH58" s="326"/>
      <c r="AI58" s="325"/>
      <c r="AJ58" s="325"/>
      <c r="AK58" s="325"/>
      <c r="AL58" s="324"/>
    </row>
    <row r="59" spans="3:38" s="315" customFormat="1" hidden="1" x14ac:dyDescent="0.3">
      <c r="C59" s="338"/>
      <c r="D59" s="98"/>
      <c r="E59" s="688" t="s">
        <v>323</v>
      </c>
      <c r="F59" s="689"/>
      <c r="G59" s="690"/>
      <c r="H59" s="697" t="s">
        <v>442</v>
      </c>
      <c r="I59" s="698"/>
      <c r="J59" s="124"/>
      <c r="K59" s="471"/>
      <c r="L59" s="145"/>
      <c r="M59" s="240">
        <v>31400</v>
      </c>
      <c r="N59" s="342"/>
      <c r="O59" s="423">
        <v>108</v>
      </c>
      <c r="P59" s="138"/>
      <c r="Q59" s="406" t="s">
        <v>439</v>
      </c>
      <c r="R59" s="343"/>
      <c r="S59" s="343"/>
      <c r="T59" s="343"/>
      <c r="U59" s="319"/>
      <c r="V59" s="320"/>
      <c r="W59" s="321"/>
      <c r="X59" s="322"/>
      <c r="Y59" s="322"/>
      <c r="Z59" s="323"/>
      <c r="AA59" s="324"/>
      <c r="AB59" s="324"/>
      <c r="AC59" s="324"/>
      <c r="AD59" s="324"/>
      <c r="AG59" s="325"/>
      <c r="AH59" s="326"/>
      <c r="AI59" s="325"/>
      <c r="AJ59" s="325"/>
      <c r="AK59" s="325"/>
      <c r="AL59" s="324"/>
    </row>
    <row r="60" spans="3:38" s="315" customFormat="1" hidden="1" x14ac:dyDescent="0.3">
      <c r="C60" s="338"/>
      <c r="D60" s="98"/>
      <c r="E60" s="688" t="s">
        <v>323</v>
      </c>
      <c r="F60" s="689"/>
      <c r="G60" s="690"/>
      <c r="H60" s="697" t="s">
        <v>441</v>
      </c>
      <c r="I60" s="698"/>
      <c r="J60" s="124"/>
      <c r="K60" s="471"/>
      <c r="L60" s="145"/>
      <c r="M60" s="240">
        <v>30900</v>
      </c>
      <c r="N60" s="342"/>
      <c r="O60" s="423">
        <v>144</v>
      </c>
      <c r="P60" s="138"/>
      <c r="Q60" s="406" t="s">
        <v>440</v>
      </c>
      <c r="R60" s="343"/>
      <c r="S60" s="343"/>
      <c r="T60" s="343"/>
      <c r="U60" s="319"/>
      <c r="V60" s="320"/>
      <c r="W60" s="321"/>
      <c r="X60" s="322"/>
      <c r="Y60" s="322"/>
      <c r="Z60" s="323"/>
      <c r="AA60" s="324"/>
      <c r="AB60" s="324"/>
      <c r="AC60" s="324"/>
      <c r="AD60" s="324"/>
      <c r="AG60" s="325"/>
      <c r="AH60" s="326"/>
      <c r="AI60" s="325"/>
      <c r="AJ60" s="325"/>
      <c r="AK60" s="325"/>
      <c r="AL60" s="324"/>
    </row>
    <row r="61" spans="3:38" s="315" customFormat="1" hidden="1" x14ac:dyDescent="0.3">
      <c r="C61" s="338"/>
      <c r="D61" s="98"/>
      <c r="E61" s="688" t="s">
        <v>323</v>
      </c>
      <c r="F61" s="689"/>
      <c r="G61" s="690"/>
      <c r="H61" s="697" t="s">
        <v>438</v>
      </c>
      <c r="I61" s="698"/>
      <c r="J61" s="124"/>
      <c r="K61" s="471"/>
      <c r="L61" s="145"/>
      <c r="M61" s="240">
        <v>29900</v>
      </c>
      <c r="N61" s="342"/>
      <c r="O61" s="423">
        <v>72</v>
      </c>
      <c r="P61" s="138"/>
      <c r="Q61" s="406" t="s">
        <v>439</v>
      </c>
      <c r="R61" s="343"/>
      <c r="S61" s="343"/>
      <c r="T61" s="343"/>
      <c r="U61" s="319"/>
      <c r="V61" s="320"/>
      <c r="W61" s="321"/>
      <c r="X61" s="322"/>
      <c r="Y61" s="322"/>
      <c r="Z61" s="323"/>
      <c r="AA61" s="324"/>
      <c r="AB61" s="324"/>
      <c r="AC61" s="324"/>
      <c r="AD61" s="324"/>
      <c r="AG61" s="325"/>
      <c r="AH61" s="326"/>
      <c r="AI61" s="325"/>
      <c r="AJ61" s="325"/>
      <c r="AK61" s="325"/>
      <c r="AL61" s="324"/>
    </row>
    <row r="62" spans="3:38" s="315" customFormat="1" hidden="1" x14ac:dyDescent="0.3">
      <c r="C62" s="338"/>
      <c r="D62" s="98"/>
      <c r="E62" s="688" t="s">
        <v>456</v>
      </c>
      <c r="F62" s="689"/>
      <c r="G62" s="690"/>
      <c r="H62" s="697" t="s">
        <v>433</v>
      </c>
      <c r="I62" s="698"/>
      <c r="J62" s="124"/>
      <c r="K62" s="471"/>
      <c r="L62" s="145"/>
      <c r="M62" s="240">
        <v>29150</v>
      </c>
      <c r="N62" s="342"/>
      <c r="O62" s="423"/>
      <c r="P62" s="138"/>
      <c r="Q62" s="434" t="s">
        <v>414</v>
      </c>
      <c r="R62" s="343"/>
      <c r="S62" s="343"/>
      <c r="T62" s="343"/>
      <c r="U62" s="319"/>
      <c r="V62" s="320"/>
      <c r="W62" s="321"/>
      <c r="X62" s="322"/>
      <c r="Y62" s="322"/>
      <c r="Z62" s="323"/>
      <c r="AA62" s="324"/>
      <c r="AB62" s="324"/>
      <c r="AC62" s="324"/>
      <c r="AD62" s="324"/>
      <c r="AG62" s="325"/>
      <c r="AH62" s="326"/>
      <c r="AI62" s="325"/>
      <c r="AJ62" s="325"/>
      <c r="AK62" s="325"/>
      <c r="AL62" s="324"/>
    </row>
    <row r="63" spans="3:38" s="315" customFormat="1" hidden="1" x14ac:dyDescent="0.3">
      <c r="C63" s="338"/>
      <c r="D63" s="98"/>
      <c r="E63" s="688" t="s">
        <v>448</v>
      </c>
      <c r="F63" s="689"/>
      <c r="G63" s="690"/>
      <c r="H63" s="697" t="s">
        <v>425</v>
      </c>
      <c r="I63" s="698"/>
      <c r="J63" s="124"/>
      <c r="K63" s="471"/>
      <c r="L63" s="145"/>
      <c r="M63" s="240">
        <v>31250</v>
      </c>
      <c r="N63" s="342"/>
      <c r="O63" s="423">
        <v>34</v>
      </c>
      <c r="P63" s="138"/>
      <c r="Q63" s="434" t="s">
        <v>414</v>
      </c>
      <c r="R63" s="343"/>
      <c r="S63" s="343"/>
      <c r="T63" s="343"/>
      <c r="U63" s="319"/>
      <c r="V63" s="320"/>
      <c r="W63" s="321"/>
      <c r="X63" s="322"/>
      <c r="Y63" s="322"/>
      <c r="Z63" s="323"/>
      <c r="AA63" s="324"/>
      <c r="AB63" s="324"/>
      <c r="AC63" s="324"/>
      <c r="AD63" s="324"/>
      <c r="AG63" s="325"/>
      <c r="AH63" s="326"/>
      <c r="AI63" s="325"/>
      <c r="AJ63" s="325"/>
      <c r="AK63" s="325"/>
      <c r="AL63" s="324"/>
    </row>
    <row r="64" spans="3:38" s="315" customFormat="1" hidden="1" x14ac:dyDescent="0.3">
      <c r="C64" s="338"/>
      <c r="D64" s="98"/>
      <c r="E64" s="688" t="s">
        <v>455</v>
      </c>
      <c r="F64" s="689"/>
      <c r="G64" s="690"/>
      <c r="H64" s="697" t="s">
        <v>418</v>
      </c>
      <c r="I64" s="698"/>
      <c r="J64" s="124"/>
      <c r="K64" s="471"/>
      <c r="L64" s="145"/>
      <c r="M64" s="240">
        <v>32000</v>
      </c>
      <c r="N64" s="342"/>
      <c r="O64" s="423"/>
      <c r="P64" s="138"/>
      <c r="Q64" s="434" t="s">
        <v>414</v>
      </c>
      <c r="R64" s="343"/>
      <c r="S64" s="343"/>
      <c r="T64" s="343"/>
      <c r="U64" s="319"/>
      <c r="V64" s="320"/>
      <c r="W64" s="321"/>
      <c r="X64" s="322"/>
      <c r="Y64" s="322"/>
      <c r="Z64" s="323"/>
      <c r="AA64" s="324"/>
      <c r="AB64" s="324"/>
      <c r="AC64" s="324"/>
      <c r="AD64" s="324"/>
      <c r="AG64" s="325"/>
      <c r="AH64" s="326"/>
      <c r="AI64" s="325"/>
      <c r="AJ64" s="325"/>
      <c r="AK64" s="325"/>
      <c r="AL64" s="324"/>
    </row>
    <row r="65" spans="3:38" s="315" customFormat="1" hidden="1" x14ac:dyDescent="0.3">
      <c r="C65" s="338"/>
      <c r="D65" s="98"/>
      <c r="E65" s="688" t="s">
        <v>447</v>
      </c>
      <c r="F65" s="689"/>
      <c r="G65" s="690"/>
      <c r="H65" s="697" t="s">
        <v>435</v>
      </c>
      <c r="I65" s="698"/>
      <c r="J65" s="124"/>
      <c r="K65" s="471"/>
      <c r="L65" s="145"/>
      <c r="M65" s="240">
        <v>32600</v>
      </c>
      <c r="N65" s="342"/>
      <c r="O65" s="423">
        <v>34</v>
      </c>
      <c r="P65" s="138"/>
      <c r="Q65" s="434" t="s">
        <v>414</v>
      </c>
      <c r="R65" s="343"/>
      <c r="S65" s="343"/>
      <c r="T65" s="343"/>
      <c r="U65" s="319"/>
      <c r="V65" s="320"/>
      <c r="W65" s="321"/>
      <c r="X65" s="322"/>
      <c r="Y65" s="322"/>
      <c r="Z65" s="323"/>
      <c r="AA65" s="324"/>
      <c r="AB65" s="324"/>
      <c r="AC65" s="324"/>
      <c r="AD65" s="324"/>
      <c r="AG65" s="325"/>
      <c r="AH65" s="326"/>
      <c r="AI65" s="325"/>
      <c r="AJ65" s="325"/>
      <c r="AK65" s="325"/>
      <c r="AL65" s="324"/>
    </row>
    <row r="66" spans="3:38" s="315" customFormat="1" hidden="1" x14ac:dyDescent="0.3">
      <c r="C66" s="338"/>
      <c r="D66" s="98"/>
      <c r="E66" s="688" t="s">
        <v>446</v>
      </c>
      <c r="F66" s="689"/>
      <c r="G66" s="690"/>
      <c r="H66" s="697" t="s">
        <v>436</v>
      </c>
      <c r="I66" s="698"/>
      <c r="J66" s="124"/>
      <c r="K66" s="471"/>
      <c r="L66" s="145"/>
      <c r="M66" s="240">
        <v>35250</v>
      </c>
      <c r="N66" s="342"/>
      <c r="O66" s="423">
        <v>68</v>
      </c>
      <c r="P66" s="138"/>
      <c r="Q66" s="434" t="s">
        <v>414</v>
      </c>
      <c r="R66" s="343"/>
      <c r="S66" s="343"/>
      <c r="T66" s="343"/>
      <c r="U66" s="319"/>
      <c r="V66" s="320"/>
      <c r="W66" s="321"/>
      <c r="X66" s="322"/>
      <c r="Y66" s="322"/>
      <c r="Z66" s="323"/>
      <c r="AA66" s="324"/>
      <c r="AB66" s="324"/>
      <c r="AC66" s="324"/>
      <c r="AD66" s="324"/>
      <c r="AG66" s="325"/>
      <c r="AH66" s="326"/>
      <c r="AI66" s="325"/>
      <c r="AJ66" s="325"/>
      <c r="AK66" s="325"/>
      <c r="AL66" s="324"/>
    </row>
    <row r="67" spans="3:38" s="315" customFormat="1" hidden="1" x14ac:dyDescent="0.3">
      <c r="C67" s="338"/>
      <c r="D67" s="98"/>
      <c r="E67" s="688" t="s">
        <v>392</v>
      </c>
      <c r="F67" s="689"/>
      <c r="G67" s="690"/>
      <c r="H67" s="697" t="s">
        <v>325</v>
      </c>
      <c r="I67" s="703"/>
      <c r="J67" s="124"/>
      <c r="K67" s="471"/>
      <c r="L67" s="145"/>
      <c r="M67" s="240">
        <v>23400</v>
      </c>
      <c r="N67" s="342"/>
      <c r="O67" s="472" t="s">
        <v>324</v>
      </c>
      <c r="P67" s="138"/>
      <c r="Q67" s="381" t="s">
        <v>326</v>
      </c>
      <c r="R67" s="343"/>
      <c r="S67" s="343"/>
      <c r="T67" s="343"/>
      <c r="U67" s="319"/>
      <c r="V67" s="320"/>
      <c r="W67" s="321"/>
      <c r="X67" s="322"/>
      <c r="Y67" s="322"/>
      <c r="Z67" s="323"/>
      <c r="AA67" s="324"/>
      <c r="AB67" s="324"/>
      <c r="AC67" s="324"/>
      <c r="AD67" s="324"/>
      <c r="AG67" s="325"/>
      <c r="AH67" s="326"/>
      <c r="AI67" s="325"/>
      <c r="AJ67" s="325"/>
      <c r="AK67" s="325"/>
      <c r="AL67" s="324"/>
    </row>
    <row r="68" spans="3:38" s="315" customFormat="1" hidden="1" x14ac:dyDescent="0.3">
      <c r="C68" s="338"/>
      <c r="D68" s="98"/>
      <c r="E68" s="688" t="s">
        <v>408</v>
      </c>
      <c r="F68" s="689"/>
      <c r="G68" s="690"/>
      <c r="H68" s="697" t="s">
        <v>327</v>
      </c>
      <c r="I68" s="698"/>
      <c r="J68" s="124"/>
      <c r="K68" s="471"/>
      <c r="L68" s="145"/>
      <c r="M68" s="240">
        <v>23200</v>
      </c>
      <c r="N68" s="342"/>
      <c r="O68" s="472" t="s">
        <v>49</v>
      </c>
      <c r="P68" s="138"/>
      <c r="Q68" s="381" t="s">
        <v>326</v>
      </c>
      <c r="R68" s="343"/>
      <c r="S68" s="343"/>
      <c r="T68" s="343"/>
      <c r="U68" s="319"/>
      <c r="V68" s="320"/>
      <c r="W68" s="321"/>
      <c r="X68" s="322"/>
      <c r="Y68" s="322"/>
      <c r="Z68" s="323"/>
      <c r="AA68" s="324"/>
      <c r="AB68" s="324"/>
      <c r="AC68" s="324"/>
      <c r="AD68" s="324"/>
      <c r="AG68" s="325"/>
      <c r="AH68" s="326"/>
      <c r="AI68" s="325"/>
      <c r="AJ68" s="325"/>
      <c r="AK68" s="325"/>
      <c r="AL68" s="324"/>
    </row>
    <row r="69" spans="3:38" s="315" customFormat="1" hidden="1" x14ac:dyDescent="0.3">
      <c r="C69" s="338"/>
      <c r="D69" s="98"/>
      <c r="E69" s="688" t="s">
        <v>323</v>
      </c>
      <c r="F69" s="689"/>
      <c r="G69" s="690"/>
      <c r="H69" s="697" t="s">
        <v>334</v>
      </c>
      <c r="I69" s="698"/>
      <c r="J69" s="124"/>
      <c r="K69" s="471"/>
      <c r="L69" s="145"/>
      <c r="M69" s="240">
        <v>22700</v>
      </c>
      <c r="N69" s="342"/>
      <c r="O69" s="472" t="s">
        <v>308</v>
      </c>
      <c r="P69" s="138"/>
      <c r="Q69" s="381" t="s">
        <v>335</v>
      </c>
      <c r="R69" s="343"/>
      <c r="S69" s="343"/>
      <c r="T69" s="343"/>
      <c r="U69" s="319"/>
      <c r="V69" s="320"/>
      <c r="W69" s="321"/>
      <c r="X69" s="322"/>
      <c r="Y69" s="322"/>
      <c r="Z69" s="323"/>
      <c r="AA69" s="324"/>
      <c r="AB69" s="324"/>
      <c r="AC69" s="324"/>
      <c r="AD69" s="324"/>
      <c r="AG69" s="325"/>
      <c r="AH69" s="326"/>
      <c r="AI69" s="325"/>
      <c r="AJ69" s="325"/>
      <c r="AK69" s="325"/>
      <c r="AL69" s="324"/>
    </row>
    <row r="70" spans="3:38" s="315" customFormat="1" hidden="1" x14ac:dyDescent="0.3">
      <c r="C70" s="338"/>
      <c r="D70" s="98"/>
      <c r="E70" s="688" t="s">
        <v>323</v>
      </c>
      <c r="F70" s="689"/>
      <c r="G70" s="690"/>
      <c r="H70" s="697" t="s">
        <v>338</v>
      </c>
      <c r="I70" s="698"/>
      <c r="J70" s="124"/>
      <c r="K70" s="471"/>
      <c r="L70" s="145"/>
      <c r="M70" s="240">
        <v>23100</v>
      </c>
      <c r="N70" s="342"/>
      <c r="O70" s="472" t="s">
        <v>308</v>
      </c>
      <c r="P70" s="138"/>
      <c r="Q70" s="381" t="s">
        <v>335</v>
      </c>
      <c r="R70" s="343"/>
      <c r="S70" s="343"/>
      <c r="T70" s="343"/>
      <c r="U70" s="319"/>
      <c r="V70" s="320"/>
      <c r="W70" s="321"/>
      <c r="X70" s="322"/>
      <c r="Y70" s="322"/>
      <c r="Z70" s="323"/>
      <c r="AA70" s="324"/>
      <c r="AB70" s="324"/>
      <c r="AC70" s="324"/>
      <c r="AD70" s="324"/>
      <c r="AG70" s="325"/>
      <c r="AH70" s="326"/>
      <c r="AI70" s="325"/>
      <c r="AJ70" s="325"/>
      <c r="AK70" s="325"/>
      <c r="AL70" s="324"/>
    </row>
    <row r="71" spans="3:38" s="315" customFormat="1" hidden="1" x14ac:dyDescent="0.3">
      <c r="C71" s="338"/>
      <c r="D71" s="98"/>
      <c r="E71" s="688" t="s">
        <v>323</v>
      </c>
      <c r="F71" s="689"/>
      <c r="G71" s="690"/>
      <c r="H71" s="697" t="s">
        <v>341</v>
      </c>
      <c r="I71" s="698"/>
      <c r="J71" s="124"/>
      <c r="K71" s="471"/>
      <c r="L71" s="145"/>
      <c r="M71" s="240">
        <v>23150</v>
      </c>
      <c r="N71" s="342"/>
      <c r="O71" s="472" t="s">
        <v>308</v>
      </c>
      <c r="P71" s="138"/>
      <c r="Q71" s="381" t="s">
        <v>335</v>
      </c>
      <c r="R71" s="343"/>
      <c r="S71" s="343"/>
      <c r="T71" s="343"/>
      <c r="U71" s="319"/>
      <c r="V71" s="320"/>
      <c r="W71" s="321"/>
      <c r="X71" s="322"/>
      <c r="Y71" s="322"/>
      <c r="Z71" s="323"/>
      <c r="AA71" s="324"/>
      <c r="AB71" s="324"/>
      <c r="AC71" s="324"/>
      <c r="AD71" s="324"/>
      <c r="AG71" s="325"/>
      <c r="AH71" s="326"/>
      <c r="AI71" s="325"/>
      <c r="AJ71" s="325"/>
      <c r="AK71" s="325"/>
      <c r="AL71" s="324"/>
    </row>
    <row r="72" spans="3:38" s="315" customFormat="1" hidden="1" x14ac:dyDescent="0.3">
      <c r="C72" s="338"/>
      <c r="D72" s="98"/>
      <c r="E72" s="688" t="s">
        <v>323</v>
      </c>
      <c r="F72" s="689"/>
      <c r="G72" s="690"/>
      <c r="H72" s="697" t="s">
        <v>344</v>
      </c>
      <c r="I72" s="698"/>
      <c r="J72" s="124"/>
      <c r="K72" s="471"/>
      <c r="L72" s="145"/>
      <c r="M72" s="240">
        <v>23150</v>
      </c>
      <c r="N72" s="342"/>
      <c r="O72" s="472" t="s">
        <v>308</v>
      </c>
      <c r="P72" s="138"/>
      <c r="Q72" s="381" t="s">
        <v>335</v>
      </c>
      <c r="R72" s="343"/>
      <c r="S72" s="343"/>
      <c r="T72" s="343"/>
      <c r="U72" s="319"/>
      <c r="V72" s="320"/>
      <c r="W72" s="321"/>
      <c r="X72" s="322"/>
      <c r="Y72" s="322"/>
      <c r="Z72" s="323"/>
      <c r="AA72" s="324"/>
      <c r="AB72" s="324"/>
      <c r="AC72" s="324"/>
      <c r="AD72" s="324"/>
      <c r="AG72" s="325"/>
      <c r="AH72" s="326"/>
      <c r="AI72" s="325"/>
      <c r="AJ72" s="325"/>
      <c r="AK72" s="325"/>
      <c r="AL72" s="324"/>
    </row>
    <row r="73" spans="3:38" s="315" customFormat="1" hidden="1" x14ac:dyDescent="0.3">
      <c r="C73" s="338"/>
      <c r="D73" s="98"/>
      <c r="E73" s="688" t="s">
        <v>14</v>
      </c>
      <c r="F73" s="689"/>
      <c r="G73" s="690"/>
      <c r="H73" s="650" t="s">
        <v>336</v>
      </c>
      <c r="I73" s="651"/>
      <c r="J73" s="124"/>
      <c r="K73" s="471"/>
      <c r="L73" s="145"/>
      <c r="M73" s="240">
        <v>24750</v>
      </c>
      <c r="N73" s="342"/>
      <c r="O73" s="472" t="s">
        <v>49</v>
      </c>
      <c r="P73" s="138"/>
      <c r="Q73" s="381" t="s">
        <v>326</v>
      </c>
      <c r="R73" s="164"/>
      <c r="S73" s="343"/>
      <c r="T73" s="343"/>
      <c r="U73" s="319"/>
      <c r="V73" s="320"/>
      <c r="W73" s="321"/>
      <c r="X73" s="322"/>
      <c r="Y73" s="322"/>
      <c r="Z73" s="323"/>
      <c r="AA73" s="324"/>
      <c r="AB73" s="324"/>
      <c r="AC73" s="324"/>
      <c r="AD73" s="324"/>
      <c r="AG73" s="325"/>
      <c r="AH73" s="326"/>
      <c r="AI73" s="325"/>
      <c r="AJ73" s="325"/>
      <c r="AK73" s="325"/>
      <c r="AL73" s="324"/>
    </row>
    <row r="74" spans="3:38" s="315" customFormat="1" hidden="1" x14ac:dyDescent="0.3">
      <c r="C74" s="338"/>
      <c r="D74" s="98"/>
      <c r="E74" s="688" t="s">
        <v>406</v>
      </c>
      <c r="F74" s="689"/>
      <c r="G74" s="690"/>
      <c r="H74" s="650" t="s">
        <v>337</v>
      </c>
      <c r="I74" s="651"/>
      <c r="J74" s="124"/>
      <c r="K74" s="471"/>
      <c r="L74" s="145"/>
      <c r="M74" s="240">
        <v>25000</v>
      </c>
      <c r="N74" s="342"/>
      <c r="O74" s="472" t="s">
        <v>49</v>
      </c>
      <c r="P74" s="138"/>
      <c r="Q74" s="381" t="s">
        <v>326</v>
      </c>
      <c r="R74" s="164"/>
      <c r="S74" s="343"/>
      <c r="T74" s="343"/>
      <c r="U74" s="319"/>
      <c r="V74" s="320"/>
      <c r="W74" s="321"/>
      <c r="X74" s="322"/>
      <c r="Y74" s="322"/>
      <c r="Z74" s="323"/>
      <c r="AA74" s="324"/>
      <c r="AB74" s="324"/>
      <c r="AC74" s="324"/>
      <c r="AD74" s="324"/>
      <c r="AG74" s="325"/>
      <c r="AH74" s="326"/>
      <c r="AI74" s="325"/>
      <c r="AJ74" s="325"/>
      <c r="AK74" s="325"/>
      <c r="AL74" s="324"/>
    </row>
    <row r="75" spans="3:38" s="315" customFormat="1" hidden="1" x14ac:dyDescent="0.3">
      <c r="C75" s="338"/>
      <c r="D75" s="98"/>
      <c r="E75" s="688" t="s">
        <v>320</v>
      </c>
      <c r="F75" s="689"/>
      <c r="G75" s="690"/>
      <c r="H75" s="650" t="s">
        <v>321</v>
      </c>
      <c r="I75" s="651"/>
      <c r="J75" s="124"/>
      <c r="K75" s="471"/>
      <c r="L75" s="145"/>
      <c r="M75" s="240">
        <v>23600</v>
      </c>
      <c r="N75" s="342"/>
      <c r="O75" s="472" t="s">
        <v>308</v>
      </c>
      <c r="P75" s="138"/>
      <c r="Q75" s="379" t="s">
        <v>359</v>
      </c>
      <c r="R75" s="164"/>
      <c r="S75" s="343"/>
      <c r="T75" s="343"/>
      <c r="U75" s="319"/>
      <c r="V75" s="320"/>
      <c r="W75" s="321"/>
      <c r="X75" s="322"/>
      <c r="Y75" s="322"/>
      <c r="Z75" s="323"/>
      <c r="AA75" s="324"/>
      <c r="AB75" s="324"/>
      <c r="AC75" s="324"/>
      <c r="AD75" s="324"/>
      <c r="AG75" s="325"/>
      <c r="AH75" s="326"/>
      <c r="AI75" s="325"/>
      <c r="AJ75" s="325"/>
      <c r="AK75" s="325"/>
      <c r="AL75" s="324"/>
    </row>
    <row r="76" spans="3:38" s="315" customFormat="1" hidden="1" x14ac:dyDescent="0.3">
      <c r="C76" s="338"/>
      <c r="D76" s="98"/>
      <c r="E76" s="688" t="s">
        <v>360</v>
      </c>
      <c r="F76" s="689"/>
      <c r="G76" s="690"/>
      <c r="H76" s="697" t="s">
        <v>411</v>
      </c>
      <c r="I76" s="698"/>
      <c r="J76" s="124"/>
      <c r="K76" s="471"/>
      <c r="L76" s="145"/>
      <c r="M76" s="240">
        <v>42500</v>
      </c>
      <c r="N76" s="342"/>
      <c r="O76" s="472"/>
      <c r="P76" s="138"/>
      <c r="Q76" s="164"/>
      <c r="R76" s="164"/>
      <c r="S76" s="343"/>
      <c r="T76" s="343"/>
      <c r="U76" s="319"/>
      <c r="V76" s="320"/>
      <c r="W76" s="321"/>
      <c r="X76" s="322"/>
      <c r="Y76" s="322"/>
      <c r="Z76" s="323"/>
      <c r="AA76" s="324"/>
      <c r="AB76" s="324"/>
      <c r="AC76" s="324"/>
      <c r="AD76" s="324"/>
      <c r="AG76" s="325"/>
      <c r="AH76" s="326"/>
      <c r="AI76" s="325"/>
      <c r="AJ76" s="325"/>
      <c r="AK76" s="325"/>
      <c r="AL76" s="324"/>
    </row>
    <row r="77" spans="3:38" s="315" customFormat="1" hidden="1" x14ac:dyDescent="0.3">
      <c r="C77" s="338"/>
      <c r="D77" s="98"/>
      <c r="E77" s="688" t="s">
        <v>229</v>
      </c>
      <c r="F77" s="689"/>
      <c r="G77" s="690"/>
      <c r="H77" s="697" t="s">
        <v>412</v>
      </c>
      <c r="I77" s="698"/>
      <c r="J77" s="124"/>
      <c r="K77" s="471"/>
      <c r="L77" s="145"/>
      <c r="M77" s="240">
        <v>33500</v>
      </c>
      <c r="N77" s="378"/>
      <c r="O77" s="379" t="s">
        <v>413</v>
      </c>
      <c r="P77" s="138"/>
      <c r="Q77" s="164"/>
      <c r="R77" s="431" t="s">
        <v>343</v>
      </c>
      <c r="S77" s="343"/>
      <c r="T77" s="343"/>
      <c r="U77" s="319"/>
      <c r="V77" s="320"/>
      <c r="W77" s="321"/>
      <c r="X77" s="322"/>
      <c r="Y77" s="322"/>
      <c r="Z77" s="323"/>
      <c r="AA77" s="324"/>
      <c r="AB77" s="324"/>
      <c r="AC77" s="324"/>
      <c r="AD77" s="324"/>
      <c r="AG77" s="325"/>
      <c r="AH77" s="326"/>
      <c r="AI77" s="325"/>
      <c r="AJ77" s="325"/>
      <c r="AK77" s="325"/>
      <c r="AL77" s="324"/>
    </row>
    <row r="78" spans="3:38" s="315" customFormat="1" x14ac:dyDescent="0.3">
      <c r="C78" s="338"/>
      <c r="D78" s="259" t="s">
        <v>28</v>
      </c>
      <c r="E78" s="672" t="s">
        <v>60</v>
      </c>
      <c r="F78" s="673"/>
      <c r="G78" s="674"/>
      <c r="H78" s="643" t="s">
        <v>496</v>
      </c>
      <c r="I78" s="675"/>
      <c r="J78" s="124"/>
      <c r="K78" s="488"/>
      <c r="L78" s="145"/>
      <c r="M78" s="286">
        <f>30425+10036</f>
        <v>40461</v>
      </c>
      <c r="N78" s="342">
        <f>Z34/M78</f>
        <v>43.933888188626085</v>
      </c>
      <c r="O78" s="248" t="s">
        <v>29</v>
      </c>
      <c r="P78" s="138"/>
      <c r="Q78" s="319" t="s">
        <v>503</v>
      </c>
      <c r="R78" s="319" t="s">
        <v>81</v>
      </c>
      <c r="S78" s="319" t="s">
        <v>504</v>
      </c>
      <c r="T78" s="343"/>
      <c r="U78" s="319"/>
      <c r="V78" s="320"/>
      <c r="W78" s="321"/>
      <c r="X78" s="322"/>
      <c r="Y78" s="322"/>
      <c r="Z78" s="323"/>
      <c r="AA78" s="324"/>
      <c r="AB78" s="324"/>
      <c r="AC78" s="324"/>
      <c r="AD78" s="324"/>
      <c r="AG78" s="325"/>
      <c r="AH78" s="326"/>
      <c r="AI78" s="325"/>
      <c r="AJ78" s="325"/>
      <c r="AK78" s="325"/>
      <c r="AL78" s="324"/>
    </row>
    <row r="79" spans="3:38" s="315" customFormat="1" x14ac:dyDescent="0.3">
      <c r="C79" s="338"/>
      <c r="D79" s="259" t="s">
        <v>21</v>
      </c>
      <c r="E79" s="672" t="s">
        <v>60</v>
      </c>
      <c r="F79" s="673"/>
      <c r="G79" s="674"/>
      <c r="H79" s="643" t="s">
        <v>496</v>
      </c>
      <c r="I79" s="675"/>
      <c r="J79" s="124"/>
      <c r="K79" s="489"/>
      <c r="L79" s="145"/>
      <c r="M79" s="286">
        <f>30425+10036</f>
        <v>40461</v>
      </c>
      <c r="N79" s="342">
        <f>U26/M79</f>
        <v>68.25888336917032</v>
      </c>
      <c r="O79" s="248" t="s">
        <v>40</v>
      </c>
      <c r="P79" s="138"/>
      <c r="Q79" s="319" t="s">
        <v>503</v>
      </c>
      <c r="R79" s="319" t="s">
        <v>505</v>
      </c>
      <c r="S79" s="319" t="s">
        <v>506</v>
      </c>
      <c r="T79" s="343"/>
      <c r="U79" s="319"/>
      <c r="V79" s="320"/>
      <c r="W79" s="321"/>
      <c r="X79" s="322"/>
      <c r="Y79" s="322"/>
      <c r="Z79" s="323"/>
      <c r="AA79" s="324"/>
      <c r="AB79" s="324"/>
      <c r="AC79" s="324"/>
      <c r="AD79" s="324"/>
      <c r="AG79" s="325"/>
      <c r="AH79" s="326"/>
      <c r="AI79" s="325"/>
      <c r="AJ79" s="325"/>
      <c r="AK79" s="325"/>
      <c r="AL79" s="324"/>
    </row>
    <row r="80" spans="3:38" s="315" customFormat="1" x14ac:dyDescent="0.3">
      <c r="C80" s="338"/>
      <c r="D80" s="211" t="s">
        <v>28</v>
      </c>
      <c r="E80" s="691" t="s">
        <v>60</v>
      </c>
      <c r="F80" s="692"/>
      <c r="G80" s="693"/>
      <c r="H80" s="650" t="s">
        <v>468</v>
      </c>
      <c r="I80" s="651"/>
      <c r="J80" s="124"/>
      <c r="K80" s="471"/>
      <c r="L80" s="145"/>
      <c r="M80" s="240">
        <f>27341+8989</f>
        <v>36330</v>
      </c>
      <c r="N80" s="342"/>
      <c r="O80" s="379"/>
      <c r="P80" s="138"/>
      <c r="Q80" s="307" t="s">
        <v>470</v>
      </c>
      <c r="R80" s="307" t="s">
        <v>474</v>
      </c>
      <c r="S80" s="307" t="s">
        <v>511</v>
      </c>
      <c r="T80" s="343"/>
      <c r="U80" s="319"/>
      <c r="V80" s="320"/>
      <c r="W80" s="321"/>
      <c r="X80" s="322"/>
      <c r="Y80" s="322"/>
      <c r="Z80" s="323"/>
      <c r="AA80" s="324"/>
      <c r="AB80" s="324"/>
      <c r="AC80" s="324"/>
      <c r="AD80" s="324"/>
      <c r="AG80" s="325"/>
      <c r="AH80" s="326"/>
      <c r="AI80" s="325"/>
      <c r="AJ80" s="325"/>
      <c r="AK80" s="325"/>
      <c r="AL80" s="324"/>
    </row>
    <row r="81" spans="3:38" s="315" customFormat="1" ht="15" thickBot="1" x14ac:dyDescent="0.35">
      <c r="C81" s="338"/>
      <c r="D81" s="211" t="s">
        <v>21</v>
      </c>
      <c r="E81" s="691" t="s">
        <v>60</v>
      </c>
      <c r="F81" s="692"/>
      <c r="G81" s="693"/>
      <c r="H81" s="650" t="s">
        <v>468</v>
      </c>
      <c r="I81" s="651"/>
      <c r="J81" s="124"/>
      <c r="K81" s="471"/>
      <c r="L81" s="145"/>
      <c r="M81" s="240">
        <f>27341+8989</f>
        <v>36330</v>
      </c>
      <c r="N81" s="342"/>
      <c r="O81" s="379"/>
      <c r="P81" s="138"/>
      <c r="Q81" s="307" t="s">
        <v>486</v>
      </c>
      <c r="R81" s="307" t="s">
        <v>491</v>
      </c>
      <c r="S81" s="307" t="s">
        <v>501</v>
      </c>
      <c r="T81" s="343"/>
      <c r="U81" s="319"/>
      <c r="V81" s="320"/>
      <c r="W81" s="321"/>
      <c r="X81" s="322"/>
      <c r="Y81" s="322"/>
      <c r="Z81" s="323"/>
      <c r="AA81" s="324"/>
      <c r="AB81" s="324"/>
      <c r="AC81" s="324"/>
      <c r="AD81" s="324"/>
      <c r="AG81" s="325"/>
      <c r="AH81" s="326"/>
      <c r="AI81" s="325"/>
      <c r="AJ81" s="325"/>
      <c r="AK81" s="325"/>
      <c r="AL81" s="324"/>
    </row>
    <row r="82" spans="3:38" s="315" customFormat="1" ht="15" hidden="1" thickBot="1" x14ac:dyDescent="0.35">
      <c r="C82" s="338"/>
      <c r="D82" s="211" t="s">
        <v>28</v>
      </c>
      <c r="E82" s="691" t="s">
        <v>60</v>
      </c>
      <c r="F82" s="692"/>
      <c r="G82" s="693"/>
      <c r="H82" s="552" t="s">
        <v>415</v>
      </c>
      <c r="I82" s="694"/>
      <c r="J82" s="124"/>
      <c r="K82" s="471"/>
      <c r="L82" s="145"/>
      <c r="M82" s="240">
        <f>21538+8989</f>
        <v>30527</v>
      </c>
      <c r="N82" s="342"/>
      <c r="O82" s="379"/>
      <c r="P82" s="138"/>
      <c r="Q82" s="307" t="s">
        <v>458</v>
      </c>
      <c r="R82" s="307" t="s">
        <v>424</v>
      </c>
      <c r="S82" s="307" t="s">
        <v>422</v>
      </c>
      <c r="T82" s="343"/>
      <c r="U82" s="319"/>
      <c r="V82" s="320"/>
      <c r="W82" s="321"/>
      <c r="X82" s="322"/>
      <c r="Y82" s="322"/>
      <c r="Z82" s="323"/>
      <c r="AA82" s="324"/>
      <c r="AB82" s="324"/>
      <c r="AC82" s="324"/>
      <c r="AD82" s="324"/>
      <c r="AG82" s="325"/>
      <c r="AH82" s="326"/>
      <c r="AI82" s="325"/>
      <c r="AJ82" s="325"/>
      <c r="AK82" s="325"/>
      <c r="AL82" s="324"/>
    </row>
    <row r="83" spans="3:38" s="315" customFormat="1" ht="15" hidden="1" thickBot="1" x14ac:dyDescent="0.35">
      <c r="C83" s="338"/>
      <c r="D83" s="211" t="s">
        <v>21</v>
      </c>
      <c r="E83" s="691" t="s">
        <v>60</v>
      </c>
      <c r="F83" s="692"/>
      <c r="G83" s="693"/>
      <c r="H83" s="552" t="s">
        <v>415</v>
      </c>
      <c r="I83" s="694"/>
      <c r="J83" s="124"/>
      <c r="K83" s="471"/>
      <c r="L83" s="145"/>
      <c r="M83" s="240">
        <f>21538+8989</f>
        <v>30527</v>
      </c>
      <c r="N83" s="342"/>
      <c r="O83" s="379"/>
      <c r="P83" s="138"/>
      <c r="Q83" s="307" t="s">
        <v>419</v>
      </c>
      <c r="R83" s="307" t="s">
        <v>420</v>
      </c>
      <c r="S83" s="307" t="s">
        <v>421</v>
      </c>
      <c r="T83" s="343"/>
      <c r="U83" s="319"/>
      <c r="V83" s="320"/>
      <c r="W83" s="321"/>
      <c r="X83" s="322"/>
      <c r="Y83" s="322"/>
      <c r="Z83" s="323"/>
      <c r="AA83" s="324"/>
      <c r="AB83" s="324"/>
      <c r="AC83" s="324"/>
      <c r="AD83" s="324"/>
      <c r="AG83" s="325"/>
      <c r="AH83" s="326"/>
      <c r="AI83" s="325"/>
      <c r="AJ83" s="325"/>
      <c r="AK83" s="325"/>
      <c r="AL83" s="324"/>
    </row>
    <row r="84" spans="3:38" s="315" customFormat="1" ht="15" hidden="1" thickBot="1" x14ac:dyDescent="0.35">
      <c r="C84" s="338"/>
      <c r="D84" s="211" t="s">
        <v>28</v>
      </c>
      <c r="E84" s="691" t="s">
        <v>60</v>
      </c>
      <c r="F84" s="692"/>
      <c r="G84" s="693"/>
      <c r="H84" s="552" t="s">
        <v>356</v>
      </c>
      <c r="I84" s="694"/>
      <c r="J84" s="124"/>
      <c r="K84" s="471"/>
      <c r="L84" s="145"/>
      <c r="M84" s="240">
        <f>21843+8989</f>
        <v>30832</v>
      </c>
      <c r="N84" s="342"/>
      <c r="O84" s="472" t="s">
        <v>29</v>
      </c>
      <c r="P84" s="138"/>
      <c r="Q84" s="307" t="s">
        <v>364</v>
      </c>
      <c r="R84" s="307" t="s">
        <v>365</v>
      </c>
      <c r="S84" s="307" t="s">
        <v>428</v>
      </c>
      <c r="T84" s="343"/>
      <c r="U84" s="319"/>
      <c r="V84" s="320"/>
      <c r="W84" s="321"/>
      <c r="X84" s="322"/>
      <c r="Y84" s="322"/>
      <c r="Z84" s="323"/>
      <c r="AA84" s="324"/>
      <c r="AB84" s="324"/>
      <c r="AC84" s="324"/>
      <c r="AD84" s="324"/>
      <c r="AG84" s="325"/>
      <c r="AH84" s="326"/>
      <c r="AI84" s="325"/>
      <c r="AJ84" s="325"/>
      <c r="AK84" s="325"/>
      <c r="AL84" s="324"/>
    </row>
    <row r="85" spans="3:38" s="315" customFormat="1" ht="15" hidden="1" thickBot="1" x14ac:dyDescent="0.35">
      <c r="C85" s="338"/>
      <c r="D85" s="211" t="s">
        <v>21</v>
      </c>
      <c r="E85" s="691" t="s">
        <v>60</v>
      </c>
      <c r="F85" s="692"/>
      <c r="G85" s="693"/>
      <c r="H85" s="552" t="s">
        <v>356</v>
      </c>
      <c r="I85" s="694"/>
      <c r="J85" s="124"/>
      <c r="K85" s="471"/>
      <c r="L85" s="145"/>
      <c r="M85" s="240">
        <f>21843+8989</f>
        <v>30832</v>
      </c>
      <c r="N85" s="342"/>
      <c r="O85" s="472" t="s">
        <v>40</v>
      </c>
      <c r="P85" s="138"/>
      <c r="Q85" s="307" t="s">
        <v>361</v>
      </c>
      <c r="R85" s="307" t="s">
        <v>397</v>
      </c>
      <c r="S85" s="307" t="s">
        <v>363</v>
      </c>
      <c r="T85" s="343"/>
      <c r="U85" s="319"/>
      <c r="V85" s="320"/>
      <c r="W85" s="321"/>
      <c r="X85" s="322"/>
      <c r="Y85" s="322"/>
      <c r="Z85" s="323"/>
      <c r="AA85" s="324"/>
      <c r="AB85" s="324"/>
      <c r="AC85" s="324"/>
      <c r="AD85" s="324"/>
      <c r="AG85" s="325"/>
      <c r="AH85" s="326"/>
      <c r="AI85" s="325"/>
      <c r="AJ85" s="325"/>
      <c r="AK85" s="325"/>
      <c r="AL85" s="324"/>
    </row>
    <row r="86" spans="3:38" ht="13.95" customHeight="1" thickBot="1" x14ac:dyDescent="0.35">
      <c r="E86" s="634"/>
      <c r="F86" s="635"/>
      <c r="G86" s="636"/>
      <c r="H86" s="637"/>
      <c r="I86" s="638"/>
      <c r="J86" s="141"/>
      <c r="K86" s="141"/>
      <c r="L86" s="142"/>
      <c r="M86" s="424" t="s">
        <v>33</v>
      </c>
      <c r="N86" s="425">
        <f>SUBTOTAL(109,N44:N85)</f>
        <v>157.51540681085049</v>
      </c>
      <c r="O86" s="150"/>
      <c r="T86" s="181"/>
      <c r="U86" s="181"/>
      <c r="V86" s="177"/>
      <c r="W86" s="178"/>
      <c r="X86" s="178"/>
      <c r="Y86" s="178"/>
      <c r="Z86" s="180"/>
      <c r="AA86" s="90"/>
      <c r="AB86" s="90"/>
      <c r="AC86" s="21"/>
      <c r="AD86" s="21"/>
    </row>
    <row r="87" spans="3:38" ht="13.95" customHeight="1" x14ac:dyDescent="0.3">
      <c r="E87" s="359" t="s">
        <v>494</v>
      </c>
      <c r="F87" s="154"/>
      <c r="G87" s="154"/>
      <c r="H87" s="478"/>
      <c r="I87" s="479"/>
      <c r="J87" s="480"/>
      <c r="K87" s="480"/>
      <c r="L87" s="480"/>
      <c r="M87" s="481"/>
      <c r="N87" s="482"/>
      <c r="O87" s="483"/>
      <c r="T87" s="181"/>
      <c r="U87" s="181"/>
      <c r="V87" s="177"/>
      <c r="W87" s="178"/>
      <c r="X87" s="178"/>
      <c r="Y87" s="178"/>
      <c r="Z87" s="180"/>
      <c r="AA87" s="90"/>
      <c r="AB87" s="90"/>
      <c r="AC87" s="21"/>
      <c r="AD87" s="21"/>
    </row>
    <row r="88" spans="3:38" x14ac:dyDescent="0.3">
      <c r="E88" s="1" t="s">
        <v>116</v>
      </c>
      <c r="O88" s="139"/>
      <c r="V88" s="178"/>
      <c r="W88" s="178"/>
      <c r="X88" s="178"/>
      <c r="Y88" s="178"/>
      <c r="Z88" s="180"/>
      <c r="AA88" s="21"/>
      <c r="AB88" s="21"/>
      <c r="AC88" s="21"/>
      <c r="AD88" s="21"/>
    </row>
    <row r="89" spans="3:38" hidden="1" x14ac:dyDescent="0.3">
      <c r="E89" s="1" t="s">
        <v>57</v>
      </c>
      <c r="O89" s="1"/>
      <c r="P89" s="1"/>
      <c r="Q89" s="1"/>
      <c r="R89" s="224"/>
      <c r="V89" s="178"/>
      <c r="W89" s="178"/>
      <c r="X89" s="178"/>
      <c r="Y89" s="178"/>
      <c r="Z89" s="178"/>
      <c r="AA89" s="21"/>
      <c r="AB89" s="21"/>
      <c r="AC89" s="21"/>
      <c r="AD89" s="21"/>
    </row>
    <row r="90" spans="3:38" x14ac:dyDescent="0.3">
      <c r="E90" s="359" t="s">
        <v>379</v>
      </c>
      <c r="O90" s="1"/>
      <c r="P90" s="1"/>
      <c r="Q90" s="1"/>
      <c r="R90" s="224"/>
      <c r="V90" s="178"/>
      <c r="W90" s="178"/>
      <c r="X90" s="178"/>
      <c r="Y90" s="178"/>
      <c r="Z90" s="178"/>
      <c r="AA90" s="21"/>
      <c r="AB90" s="21"/>
      <c r="AC90" s="21"/>
      <c r="AD90" s="21"/>
    </row>
    <row r="91" spans="3:38" hidden="1" x14ac:dyDescent="0.3">
      <c r="E91" s="1" t="s">
        <v>288</v>
      </c>
      <c r="O91" s="1"/>
      <c r="P91" s="1"/>
      <c r="Q91" s="1"/>
      <c r="R91" s="224"/>
      <c r="V91" s="178"/>
      <c r="W91" s="178"/>
      <c r="X91" s="178"/>
      <c r="Y91" s="178"/>
      <c r="Z91" s="178"/>
      <c r="AA91" s="21"/>
      <c r="AB91" s="21"/>
      <c r="AC91" s="21"/>
      <c r="AD91" s="21"/>
    </row>
    <row r="92" spans="3:38" hidden="1" x14ac:dyDescent="0.3">
      <c r="E92" s="1" t="s">
        <v>287</v>
      </c>
    </row>
    <row r="93" spans="3:38" x14ac:dyDescent="0.3">
      <c r="E93" s="359" t="s">
        <v>339</v>
      </c>
    </row>
    <row r="94" spans="3:38" x14ac:dyDescent="0.3">
      <c r="E94" s="359" t="s">
        <v>290</v>
      </c>
    </row>
    <row r="95" spans="3:38" hidden="1" x14ac:dyDescent="0.3">
      <c r="E95" s="1" t="s">
        <v>289</v>
      </c>
      <c r="V95" s="175"/>
      <c r="W95" s="175"/>
      <c r="X95" s="175"/>
      <c r="Y95" s="175"/>
      <c r="Z95" s="175"/>
      <c r="AA95" s="21"/>
      <c r="AB95" s="21"/>
      <c r="AC95" s="21"/>
      <c r="AD95" s="21"/>
    </row>
    <row r="96" spans="3:38" x14ac:dyDescent="0.3">
      <c r="E96" s="359" t="s">
        <v>495</v>
      </c>
    </row>
    <row r="97" spans="5:5" x14ac:dyDescent="0.3">
      <c r="E97" s="1" t="s">
        <v>291</v>
      </c>
    </row>
    <row r="98" spans="5:5" x14ac:dyDescent="0.3">
      <c r="E98" s="1" t="s">
        <v>292</v>
      </c>
    </row>
  </sheetData>
  <mergeCells count="124">
    <mergeCell ref="A1:A4"/>
    <mergeCell ref="B1:E1"/>
    <mergeCell ref="F1:I2"/>
    <mergeCell ref="J1:L3"/>
    <mergeCell ref="M1:O3"/>
    <mergeCell ref="P1:P4"/>
    <mergeCell ref="G3:I3"/>
    <mergeCell ref="Q1:Q4"/>
    <mergeCell ref="R1:R4"/>
    <mergeCell ref="S1:S3"/>
    <mergeCell ref="T1:V2"/>
    <mergeCell ref="W1:AG2"/>
    <mergeCell ref="B2:C2"/>
    <mergeCell ref="D2:D3"/>
    <mergeCell ref="E2:E4"/>
    <mergeCell ref="B3:C3"/>
    <mergeCell ref="F3:F4"/>
    <mergeCell ref="AF3:AF4"/>
    <mergeCell ref="AG3:AG4"/>
    <mergeCell ref="AE3:AE4"/>
    <mergeCell ref="T38:V38"/>
    <mergeCell ref="T39:V39"/>
    <mergeCell ref="T40:V40"/>
    <mergeCell ref="U41:Y41"/>
    <mergeCell ref="Z3:Z4"/>
    <mergeCell ref="AA3:AA4"/>
    <mergeCell ref="AB3:AB4"/>
    <mergeCell ref="AC3:AC4"/>
    <mergeCell ref="AD3:AD4"/>
    <mergeCell ref="T3:T4"/>
    <mergeCell ref="U3:U4"/>
    <mergeCell ref="V3:V4"/>
    <mergeCell ref="W3:W4"/>
    <mergeCell ref="X3:X4"/>
    <mergeCell ref="Y3:Y4"/>
    <mergeCell ref="E46:G46"/>
    <mergeCell ref="H46:I46"/>
    <mergeCell ref="E48:G48"/>
    <mergeCell ref="H48:I48"/>
    <mergeCell ref="E49:G49"/>
    <mergeCell ref="H49:I49"/>
    <mergeCell ref="E43:G43"/>
    <mergeCell ref="H43:I43"/>
    <mergeCell ref="O43:O44"/>
    <mergeCell ref="E44:G44"/>
    <mergeCell ref="H44:I44"/>
    <mergeCell ref="E45:G45"/>
    <mergeCell ref="H45:I45"/>
    <mergeCell ref="E47:G47"/>
    <mergeCell ref="H47:I47"/>
    <mergeCell ref="E53:G53"/>
    <mergeCell ref="H53:I53"/>
    <mergeCell ref="E54:G54"/>
    <mergeCell ref="H54:I54"/>
    <mergeCell ref="E55:G55"/>
    <mergeCell ref="H55:I55"/>
    <mergeCell ref="E50:G50"/>
    <mergeCell ref="H50:I50"/>
    <mergeCell ref="E51:G51"/>
    <mergeCell ref="H51:I51"/>
    <mergeCell ref="E52:G52"/>
    <mergeCell ref="H52:I52"/>
    <mergeCell ref="E59:G59"/>
    <mergeCell ref="H59:I59"/>
    <mergeCell ref="E60:G60"/>
    <mergeCell ref="H60:I60"/>
    <mergeCell ref="E61:G61"/>
    <mergeCell ref="H61:I61"/>
    <mergeCell ref="E56:G56"/>
    <mergeCell ref="H56:I56"/>
    <mergeCell ref="E57:G57"/>
    <mergeCell ref="H57:I57"/>
    <mergeCell ref="E58:G58"/>
    <mergeCell ref="H58:I58"/>
    <mergeCell ref="E65:G65"/>
    <mergeCell ref="H65:I65"/>
    <mergeCell ref="E66:G66"/>
    <mergeCell ref="H66:I66"/>
    <mergeCell ref="E67:G67"/>
    <mergeCell ref="H67:I67"/>
    <mergeCell ref="E62:G62"/>
    <mergeCell ref="H62:I62"/>
    <mergeCell ref="E63:G63"/>
    <mergeCell ref="H63:I63"/>
    <mergeCell ref="E64:G64"/>
    <mergeCell ref="H64:I64"/>
    <mergeCell ref="E71:G71"/>
    <mergeCell ref="H71:I71"/>
    <mergeCell ref="E72:G72"/>
    <mergeCell ref="H72:I72"/>
    <mergeCell ref="E73:G73"/>
    <mergeCell ref="H73:I73"/>
    <mergeCell ref="E68:G68"/>
    <mergeCell ref="H68:I68"/>
    <mergeCell ref="E69:G69"/>
    <mergeCell ref="H69:I69"/>
    <mergeCell ref="E70:G70"/>
    <mergeCell ref="H70:I70"/>
    <mergeCell ref="E77:G77"/>
    <mergeCell ref="H77:I77"/>
    <mergeCell ref="E80:G80"/>
    <mergeCell ref="H80:I80"/>
    <mergeCell ref="E81:G81"/>
    <mergeCell ref="H81:I81"/>
    <mergeCell ref="E74:G74"/>
    <mergeCell ref="H74:I74"/>
    <mergeCell ref="E75:G75"/>
    <mergeCell ref="H75:I75"/>
    <mergeCell ref="E76:G76"/>
    <mergeCell ref="H76:I76"/>
    <mergeCell ref="E78:G78"/>
    <mergeCell ref="H78:I78"/>
    <mergeCell ref="E79:G79"/>
    <mergeCell ref="H79:I79"/>
    <mergeCell ref="E85:G85"/>
    <mergeCell ref="H85:I85"/>
    <mergeCell ref="E86:G86"/>
    <mergeCell ref="H86:I86"/>
    <mergeCell ref="E82:G82"/>
    <mergeCell ref="H82:I82"/>
    <mergeCell ref="E83:G83"/>
    <mergeCell ref="H83:I83"/>
    <mergeCell ref="E84:G84"/>
    <mergeCell ref="H84:I84"/>
  </mergeCells>
  <pageMargins left="0.7" right="0.17" top="0.72" bottom="0.34" header="0.77" footer="0.3"/>
  <pageSetup paperSize="9" scale="64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5"/>
  <sheetViews>
    <sheetView zoomScaleNormal="100" workbookViewId="0">
      <pane ySplit="4" topLeftCell="A29" activePane="bottomLeft" state="frozen"/>
      <selection pane="bottomLeft" activeCell="S82" sqref="Q82:S82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9.44140625" style="20" hidden="1" customWidth="1"/>
    <col min="24" max="24" width="10.6640625" style="20" hidden="1" customWidth="1"/>
    <col min="25" max="26" width="10.6640625" style="20" customWidth="1"/>
    <col min="27" max="28" width="9.6640625" style="2" hidden="1" customWidth="1"/>
    <col min="29" max="29" width="10.6640625" style="2" hidden="1" customWidth="1"/>
    <col min="30" max="30" width="10.33203125" style="2" hidden="1" customWidth="1"/>
    <col min="31" max="32" width="0.109375" style="2" customWidth="1"/>
    <col min="33" max="33" width="9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507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491" t="s">
        <v>10</v>
      </c>
      <c r="K4" s="492" t="s">
        <v>2</v>
      </c>
      <c r="L4" s="493" t="s">
        <v>9</v>
      </c>
      <c r="M4" s="491" t="s">
        <v>10</v>
      </c>
      <c r="N4" s="492" t="s">
        <v>2</v>
      </c>
      <c r="O4" s="493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45261</v>
      </c>
      <c r="B5" s="28">
        <v>30.93</v>
      </c>
      <c r="C5" s="30">
        <v>1.44</v>
      </c>
      <c r="D5" s="22"/>
      <c r="E5" s="42">
        <f>'11.2023'!E35-B5-C5+D5</f>
        <v>437.86399999999992</v>
      </c>
      <c r="F5" s="51">
        <f>C5</f>
        <v>1.44</v>
      </c>
      <c r="G5" s="9">
        <f>1.13</f>
        <v>1.1299999999999999</v>
      </c>
      <c r="H5" s="10"/>
      <c r="I5" s="161">
        <f>'11.2023'!I35+F5-G5-H5</f>
        <v>4.17</v>
      </c>
      <c r="J5" s="8"/>
      <c r="K5" s="11"/>
      <c r="L5" s="25"/>
      <c r="M5" s="51">
        <f t="shared" ref="M5:M35" si="0">H5</f>
        <v>0</v>
      </c>
      <c r="N5" s="24">
        <v>0.33100000000000002</v>
      </c>
      <c r="O5" s="47">
        <f>'11.2023'!O35+M5-N5</f>
        <v>1.262999999999997</v>
      </c>
      <c r="P5" s="46">
        <v>0</v>
      </c>
      <c r="Q5" s="45">
        <f t="shared" ref="Q5:Q35" si="1">E5+I5+L5+O5</f>
        <v>443.29699999999991</v>
      </c>
      <c r="R5" s="165">
        <f>B5+G5+H5+J5</f>
        <v>32.06</v>
      </c>
      <c r="S5" s="159">
        <f>'11.2023'!AI34+'12.2023'!AI5</f>
        <v>71.897999999999996</v>
      </c>
      <c r="T5" s="58">
        <f>'11.2023'!T34</f>
        <v>1298493.5</v>
      </c>
      <c r="U5" s="58">
        <f>'11.2023'!U34</f>
        <v>2761822.68</v>
      </c>
      <c r="V5" s="58">
        <f>'11.2023'!V34</f>
        <v>0</v>
      </c>
      <c r="W5" s="58">
        <f>'11.2023'!W34</f>
        <v>0</v>
      </c>
      <c r="X5" s="58">
        <f>'11.2023'!X34</f>
        <v>0</v>
      </c>
      <c r="Y5" s="58">
        <f>'11.2023'!Y34</f>
        <v>54878.899999999907</v>
      </c>
      <c r="Z5" s="107">
        <f>'11.2023'!Z34-AI5*M83</f>
        <v>603422.83400000003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/>
      <c r="AH5" s="123" t="s">
        <v>49</v>
      </c>
      <c r="AI5" s="122">
        <v>34.183999999999997</v>
      </c>
      <c r="AJ5" s="473" t="s">
        <v>513</v>
      </c>
      <c r="AK5" s="99">
        <v>58255589</v>
      </c>
      <c r="AL5" s="21"/>
      <c r="AM5" s="21"/>
    </row>
    <row r="6" spans="1:40" ht="13.2" customHeight="1" thickBot="1" x14ac:dyDescent="0.35">
      <c r="A6" s="3">
        <v>45262</v>
      </c>
      <c r="B6" s="28"/>
      <c r="C6" s="30"/>
      <c r="D6" s="22"/>
      <c r="E6" s="43">
        <f t="shared" ref="E6:E34" si="2">E5+D6-B6-C6</f>
        <v>437.86399999999992</v>
      </c>
      <c r="F6" s="51">
        <f t="shared" ref="F6:F35" si="3">C6</f>
        <v>0</v>
      </c>
      <c r="G6" s="9"/>
      <c r="H6" s="10"/>
      <c r="I6" s="161">
        <f t="shared" ref="I6:I34" si="4">I5+F6-G6-H6</f>
        <v>4.17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1.262999999999997</v>
      </c>
      <c r="P6" s="48"/>
      <c r="Q6" s="47">
        <f t="shared" si="1"/>
        <v>443.29699999999991</v>
      </c>
      <c r="R6" s="165">
        <f t="shared" ref="R6:R35" si="6">B6+G6+H6+J6</f>
        <v>0</v>
      </c>
      <c r="S6" s="159">
        <v>71.897999999999996</v>
      </c>
      <c r="T6" s="58">
        <v>1298493.5</v>
      </c>
      <c r="U6" s="58">
        <v>2761822.68</v>
      </c>
      <c r="V6" s="58">
        <v>0</v>
      </c>
      <c r="W6" s="87">
        <v>0</v>
      </c>
      <c r="X6" s="58">
        <v>0</v>
      </c>
      <c r="Y6" s="58">
        <v>54878.899999999907</v>
      </c>
      <c r="Z6" s="87">
        <f>Z5</f>
        <v>603422.83400000003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/>
      <c r="AH6" s="127" t="s">
        <v>43</v>
      </c>
      <c r="AI6" s="126">
        <v>37.5</v>
      </c>
      <c r="AJ6" s="349" t="s">
        <v>516</v>
      </c>
      <c r="AK6" s="21">
        <v>76601079</v>
      </c>
      <c r="AL6" s="21"/>
      <c r="AM6" s="21"/>
    </row>
    <row r="7" spans="1:40" ht="13.2" customHeight="1" thickBot="1" x14ac:dyDescent="0.35">
      <c r="A7" s="3">
        <v>45263</v>
      </c>
      <c r="B7" s="28">
        <v>8.85</v>
      </c>
      <c r="C7" s="30"/>
      <c r="D7" s="22"/>
      <c r="E7" s="43">
        <f t="shared" si="2"/>
        <v>429.0139999999999</v>
      </c>
      <c r="F7" s="51">
        <f t="shared" si="3"/>
        <v>0</v>
      </c>
      <c r="G7" s="9"/>
      <c r="H7" s="10"/>
      <c r="I7" s="161">
        <f t="shared" si="4"/>
        <v>4.17</v>
      </c>
      <c r="J7" s="8"/>
      <c r="K7" s="11"/>
      <c r="L7" s="12"/>
      <c r="M7" s="51">
        <f t="shared" si="0"/>
        <v>0</v>
      </c>
      <c r="N7" s="24"/>
      <c r="O7" s="47">
        <f t="shared" si="5"/>
        <v>1.262999999999997</v>
      </c>
      <c r="P7" s="48"/>
      <c r="Q7" s="47">
        <f t="shared" si="1"/>
        <v>434.44699999999989</v>
      </c>
      <c r="R7" s="165">
        <f t="shared" si="6"/>
        <v>8.85</v>
      </c>
      <c r="S7" s="159">
        <v>71.897999999999996</v>
      </c>
      <c r="T7" s="58">
        <v>1298493.5</v>
      </c>
      <c r="U7" s="58">
        <v>2761822.68</v>
      </c>
      <c r="V7" s="58">
        <v>0</v>
      </c>
      <c r="W7" s="87">
        <v>0</v>
      </c>
      <c r="X7" s="58">
        <v>0</v>
      </c>
      <c r="Y7" s="58">
        <v>54878.899999999907</v>
      </c>
      <c r="Z7" s="87">
        <f>Z5</f>
        <v>603422.83400000003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/>
      <c r="AH7" s="128" t="s">
        <v>48</v>
      </c>
      <c r="AI7" s="120">
        <v>36.622</v>
      </c>
      <c r="AJ7" s="99" t="s">
        <v>517</v>
      </c>
      <c r="AK7" s="21">
        <v>76638766</v>
      </c>
      <c r="AL7" s="120"/>
      <c r="AM7" s="21"/>
    </row>
    <row r="8" spans="1:40" ht="12.75" customHeight="1" thickBot="1" x14ac:dyDescent="0.35">
      <c r="A8" s="7">
        <v>45264</v>
      </c>
      <c r="B8" s="28">
        <v>26.28</v>
      </c>
      <c r="C8" s="30">
        <v>2.0649999999999999</v>
      </c>
      <c r="D8" s="186"/>
      <c r="E8" s="43">
        <f t="shared" si="2"/>
        <v>400.66899999999993</v>
      </c>
      <c r="F8" s="51">
        <f t="shared" si="3"/>
        <v>2.0649999999999999</v>
      </c>
      <c r="G8" s="9">
        <f>2.655-H8</f>
        <v>2.3099999999999996</v>
      </c>
      <c r="H8" s="10">
        <v>0.34499999999999997</v>
      </c>
      <c r="I8" s="161">
        <f t="shared" si="4"/>
        <v>3.58</v>
      </c>
      <c r="J8" s="8"/>
      <c r="K8" s="11"/>
      <c r="L8" s="12"/>
      <c r="M8" s="51">
        <f t="shared" si="0"/>
        <v>0.34499999999999997</v>
      </c>
      <c r="N8" s="24">
        <v>0.29399999999999998</v>
      </c>
      <c r="O8" s="47">
        <f t="shared" si="5"/>
        <v>1.3139999999999969</v>
      </c>
      <c r="P8" s="48"/>
      <c r="Q8" s="47">
        <f t="shared" si="1"/>
        <v>405.56299999999993</v>
      </c>
      <c r="R8" s="165">
        <f t="shared" si="6"/>
        <v>28.934999999999999</v>
      </c>
      <c r="S8" s="159">
        <f>'11.2023'!AI34+'12.2023'!AI6+'12.2023'!AI5+'12.2023'!AI7</f>
        <v>146.01999999999998</v>
      </c>
      <c r="T8" s="59">
        <f>1298493.5-AI6*M50</f>
        <v>224118.5</v>
      </c>
      <c r="U8" s="407">
        <f>2761822.68-AI7*M84+1913000</f>
        <v>3416893.602</v>
      </c>
      <c r="V8" s="58">
        <v>0</v>
      </c>
      <c r="W8" s="87">
        <v>0</v>
      </c>
      <c r="X8" s="58">
        <v>0</v>
      </c>
      <c r="Y8" s="58">
        <v>54878.899999999907</v>
      </c>
      <c r="Z8" s="87">
        <f>Z5+890000</f>
        <v>1493422.834</v>
      </c>
      <c r="AA8" s="58"/>
      <c r="AB8" s="58">
        <v>0</v>
      </c>
      <c r="AC8" s="59" t="e">
        <f>1800000-#REF!*M77</f>
        <v>#REF!</v>
      </c>
      <c r="AD8" s="314">
        <f>891000-AI8*M76</f>
        <v>891000</v>
      </c>
      <c r="AE8" s="58"/>
      <c r="AF8" s="58"/>
      <c r="AG8" s="58"/>
      <c r="AH8" s="127"/>
      <c r="AI8" s="126"/>
      <c r="AJ8" s="99"/>
      <c r="AK8" s="21"/>
      <c r="AL8" s="239"/>
      <c r="AM8" s="21"/>
    </row>
    <row r="9" spans="1:40" ht="13.2" customHeight="1" thickBot="1" x14ac:dyDescent="0.35">
      <c r="A9" s="7">
        <v>45265</v>
      </c>
      <c r="B9" s="28">
        <v>2.62</v>
      </c>
      <c r="C9" s="30">
        <v>2.68</v>
      </c>
      <c r="D9" s="186">
        <f>AI5</f>
        <v>34.183999999999997</v>
      </c>
      <c r="E9" s="43">
        <f t="shared" si="2"/>
        <v>429.55299999999994</v>
      </c>
      <c r="F9" s="51">
        <f t="shared" si="3"/>
        <v>2.68</v>
      </c>
      <c r="G9" s="9">
        <f>3.31</f>
        <v>3.31</v>
      </c>
      <c r="H9" s="10"/>
      <c r="I9" s="161">
        <f t="shared" si="4"/>
        <v>2.9499999999999997</v>
      </c>
      <c r="J9" s="8"/>
      <c r="K9" s="11"/>
      <c r="L9" s="12"/>
      <c r="M9" s="51">
        <f t="shared" si="0"/>
        <v>0</v>
      </c>
      <c r="N9" s="24">
        <v>0.22700000000000001</v>
      </c>
      <c r="O9" s="47">
        <f t="shared" si="5"/>
        <v>1.0869999999999969</v>
      </c>
      <c r="P9" s="48"/>
      <c r="Q9" s="47">
        <f t="shared" si="1"/>
        <v>433.58999999999992</v>
      </c>
      <c r="R9" s="165">
        <f t="shared" si="6"/>
        <v>5.93</v>
      </c>
      <c r="S9" s="159">
        <f>AI7+AI6+'11.2023'!AI34</f>
        <v>111.836</v>
      </c>
      <c r="T9" s="58">
        <f>224118.5+780000</f>
        <v>1004118.5</v>
      </c>
      <c r="U9" s="58">
        <v>3416893.602</v>
      </c>
      <c r="V9" s="58">
        <v>0</v>
      </c>
      <c r="W9" s="87">
        <v>0</v>
      </c>
      <c r="X9" s="58">
        <v>0</v>
      </c>
      <c r="Y9" s="58">
        <v>54878.9</v>
      </c>
      <c r="Z9" s="87">
        <v>1493422.834</v>
      </c>
      <c r="AA9" s="87"/>
      <c r="AB9" s="80">
        <v>0</v>
      </c>
      <c r="AC9" s="58"/>
      <c r="AD9" s="87">
        <v>89545.5</v>
      </c>
      <c r="AE9" s="55"/>
      <c r="AF9" s="14"/>
      <c r="AG9" s="58"/>
      <c r="AH9" s="384"/>
      <c r="AI9" s="122"/>
      <c r="AJ9" s="99"/>
      <c r="AK9" s="255"/>
      <c r="AL9" s="99"/>
      <c r="AM9" s="21"/>
      <c r="AN9" s="21"/>
    </row>
    <row r="10" spans="1:40" s="1" customFormat="1" ht="13.2" customHeight="1" thickBot="1" x14ac:dyDescent="0.35">
      <c r="A10" s="7">
        <v>45266</v>
      </c>
      <c r="B10" s="28">
        <v>30.02</v>
      </c>
      <c r="C10" s="30">
        <v>3.0779999999999998</v>
      </c>
      <c r="D10" s="186"/>
      <c r="E10" s="43">
        <f t="shared" si="2"/>
        <v>396.45499999999998</v>
      </c>
      <c r="F10" s="51">
        <f t="shared" si="3"/>
        <v>3.0779999999999998</v>
      </c>
      <c r="G10" s="30">
        <f>1.778-H10</f>
        <v>1.2450000000000001</v>
      </c>
      <c r="H10" s="10">
        <v>0.53300000000000003</v>
      </c>
      <c r="I10" s="161">
        <f t="shared" si="4"/>
        <v>4.2499999999999991</v>
      </c>
      <c r="J10" s="8"/>
      <c r="K10" s="11"/>
      <c r="L10" s="12"/>
      <c r="M10" s="51">
        <f t="shared" si="0"/>
        <v>0.53300000000000003</v>
      </c>
      <c r="N10" s="24">
        <v>0.307</v>
      </c>
      <c r="O10" s="47">
        <f t="shared" si="5"/>
        <v>1.3129999999999971</v>
      </c>
      <c r="P10" s="48"/>
      <c r="Q10" s="47">
        <f t="shared" si="1"/>
        <v>402.01799999999997</v>
      </c>
      <c r="R10" s="165">
        <f t="shared" si="6"/>
        <v>31.798000000000002</v>
      </c>
      <c r="S10" s="159">
        <f>AI7+'11.2023'!AI34+AI6</f>
        <v>111.836</v>
      </c>
      <c r="T10" s="58">
        <v>1004118.5</v>
      </c>
      <c r="U10" s="58">
        <v>3416893.602</v>
      </c>
      <c r="V10" s="58">
        <v>0</v>
      </c>
      <c r="W10" s="87">
        <v>0</v>
      </c>
      <c r="X10" s="58">
        <v>0</v>
      </c>
      <c r="Y10" s="58">
        <v>54878.9</v>
      </c>
      <c r="Z10" s="87">
        <v>1493422.834</v>
      </c>
      <c r="AA10" s="87"/>
      <c r="AB10" s="80">
        <v>0</v>
      </c>
      <c r="AC10" s="58"/>
      <c r="AD10" s="87">
        <v>89545.5</v>
      </c>
      <c r="AE10" s="55"/>
      <c r="AF10" s="14"/>
      <c r="AG10" s="58"/>
      <c r="AH10" s="27"/>
      <c r="AI10" s="27"/>
      <c r="AJ10" s="27"/>
      <c r="AK10" s="27"/>
      <c r="AL10" s="239"/>
      <c r="AM10" s="27"/>
      <c r="AN10" s="27"/>
    </row>
    <row r="11" spans="1:40" ht="13.2" customHeight="1" thickBot="1" x14ac:dyDescent="0.35">
      <c r="A11" s="7">
        <v>45267</v>
      </c>
      <c r="B11" s="28">
        <v>16.22</v>
      </c>
      <c r="C11" s="30">
        <v>1.1499999999999999</v>
      </c>
      <c r="D11" s="186"/>
      <c r="E11" s="43">
        <f>E10+D11-B11-C11</f>
        <v>379.08500000000004</v>
      </c>
      <c r="F11" s="51">
        <f t="shared" si="3"/>
        <v>1.1499999999999999</v>
      </c>
      <c r="G11" s="9">
        <f>0.72</f>
        <v>0.72</v>
      </c>
      <c r="H11" s="10"/>
      <c r="I11" s="161">
        <f>I10+F11-G11-H11</f>
        <v>4.6799999999999988</v>
      </c>
      <c r="J11" s="8"/>
      <c r="K11" s="11"/>
      <c r="L11" s="12"/>
      <c r="M11" s="51">
        <f t="shared" si="0"/>
        <v>0</v>
      </c>
      <c r="N11" s="24">
        <v>0.17399999999999999</v>
      </c>
      <c r="O11" s="47">
        <f t="shared" si="5"/>
        <v>1.1389999999999971</v>
      </c>
      <c r="P11" s="48"/>
      <c r="Q11" s="47">
        <f t="shared" si="1"/>
        <v>384.90400000000005</v>
      </c>
      <c r="R11" s="165">
        <f>B11+G11+H11+J11</f>
        <v>16.939999999999998</v>
      </c>
      <c r="S11" s="159">
        <f>S10</f>
        <v>111.836</v>
      </c>
      <c r="T11" s="58">
        <v>1004118.5</v>
      </c>
      <c r="U11" s="58">
        <v>3416893.602</v>
      </c>
      <c r="V11" s="58">
        <v>0</v>
      </c>
      <c r="W11" s="87">
        <v>0</v>
      </c>
      <c r="X11" s="58">
        <v>0</v>
      </c>
      <c r="Y11" s="58">
        <v>54878.9</v>
      </c>
      <c r="Z11" s="87">
        <v>1493422.834</v>
      </c>
      <c r="AA11" s="87"/>
      <c r="AB11" s="80">
        <v>0</v>
      </c>
      <c r="AC11" s="58"/>
      <c r="AD11" s="87">
        <v>89545.5</v>
      </c>
      <c r="AE11" s="55"/>
      <c r="AF11" s="14"/>
      <c r="AG11" s="58"/>
      <c r="AH11" s="384"/>
      <c r="AI11" s="122"/>
      <c r="AJ11" s="99"/>
      <c r="AK11" s="91"/>
      <c r="AL11" s="21"/>
      <c r="AM11" s="21"/>
      <c r="AN11" s="21"/>
    </row>
    <row r="12" spans="1:40" ht="13.2" customHeight="1" thickBot="1" x14ac:dyDescent="0.35">
      <c r="A12" s="7">
        <v>45268</v>
      </c>
      <c r="B12" s="28">
        <v>32.94</v>
      </c>
      <c r="C12" s="30">
        <v>1.3759999999999999</v>
      </c>
      <c r="D12" s="186"/>
      <c r="E12" s="43">
        <f>E11+D12-B12-C12</f>
        <v>344.76900000000006</v>
      </c>
      <c r="F12" s="51">
        <f t="shared" si="3"/>
        <v>1.3759999999999999</v>
      </c>
      <c r="G12" s="30">
        <f>1.456-H12</f>
        <v>0.94</v>
      </c>
      <c r="H12" s="24">
        <v>0.51600000000000001</v>
      </c>
      <c r="I12" s="161">
        <f t="shared" si="4"/>
        <v>4.5999999999999996</v>
      </c>
      <c r="J12" s="8"/>
      <c r="K12" s="11"/>
      <c r="L12" s="12"/>
      <c r="M12" s="51">
        <f t="shared" si="0"/>
        <v>0.51600000000000001</v>
      </c>
      <c r="N12" s="24">
        <v>0.24399999999999999</v>
      </c>
      <c r="O12" s="47">
        <f t="shared" si="5"/>
        <v>1.4109999999999971</v>
      </c>
      <c r="P12" s="48"/>
      <c r="Q12" s="47">
        <f t="shared" si="1"/>
        <v>350.78000000000009</v>
      </c>
      <c r="R12" s="165">
        <f>B12+G12+H12+J12</f>
        <v>34.395999999999994</v>
      </c>
      <c r="S12" s="159">
        <f>S11</f>
        <v>111.836</v>
      </c>
      <c r="T12" s="58">
        <v>1004118.5</v>
      </c>
      <c r="U12" s="58">
        <v>3416893.602</v>
      </c>
      <c r="V12" s="58">
        <v>0</v>
      </c>
      <c r="W12" s="87">
        <v>0</v>
      </c>
      <c r="X12" s="58">
        <v>0</v>
      </c>
      <c r="Y12" s="58">
        <v>54878.9</v>
      </c>
      <c r="Z12" s="87">
        <v>1493422.834</v>
      </c>
      <c r="AA12" s="86"/>
      <c r="AB12" s="80">
        <v>0</v>
      </c>
      <c r="AC12" s="58"/>
      <c r="AD12" s="87">
        <v>89545.5</v>
      </c>
      <c r="AE12" s="55"/>
      <c r="AF12" s="14"/>
      <c r="AG12" s="58"/>
      <c r="AH12" s="445"/>
      <c r="AI12" s="126"/>
      <c r="AJ12" s="103"/>
      <c r="AK12" s="91"/>
      <c r="AL12" s="21"/>
      <c r="AM12" s="21"/>
      <c r="AN12" s="21"/>
    </row>
    <row r="13" spans="1:40" ht="13.2" customHeight="1" thickBot="1" x14ac:dyDescent="0.35">
      <c r="A13" s="3">
        <v>45269</v>
      </c>
      <c r="B13" s="28"/>
      <c r="C13" s="30"/>
      <c r="D13" s="186"/>
      <c r="E13" s="43">
        <f t="shared" si="2"/>
        <v>344.76900000000006</v>
      </c>
      <c r="F13" s="51">
        <f t="shared" si="3"/>
        <v>0</v>
      </c>
      <c r="G13" s="9"/>
      <c r="H13" s="10"/>
      <c r="I13" s="161">
        <f t="shared" si="4"/>
        <v>4.5999999999999996</v>
      </c>
      <c r="J13" s="8"/>
      <c r="K13" s="26"/>
      <c r="L13" s="12"/>
      <c r="M13" s="51">
        <f t="shared" si="0"/>
        <v>0</v>
      </c>
      <c r="N13" s="24"/>
      <c r="O13" s="47">
        <f t="shared" si="5"/>
        <v>1.4109999999999971</v>
      </c>
      <c r="P13" s="48"/>
      <c r="Q13" s="47">
        <f t="shared" si="1"/>
        <v>350.78000000000009</v>
      </c>
      <c r="R13" s="165">
        <f t="shared" si="6"/>
        <v>0</v>
      </c>
      <c r="S13" s="159">
        <f>S12</f>
        <v>111.836</v>
      </c>
      <c r="T13" s="58">
        <v>1004118.5</v>
      </c>
      <c r="U13" s="58">
        <v>3416893.602</v>
      </c>
      <c r="V13" s="58">
        <v>0</v>
      </c>
      <c r="W13" s="87">
        <v>0</v>
      </c>
      <c r="X13" s="58">
        <v>0</v>
      </c>
      <c r="Y13" s="58">
        <v>0</v>
      </c>
      <c r="Z13" s="87">
        <v>1493422.834</v>
      </c>
      <c r="AA13" s="86"/>
      <c r="AB13" s="80"/>
      <c r="AC13" s="58"/>
      <c r="AD13" s="87">
        <v>89545.5</v>
      </c>
      <c r="AE13" s="55" t="e">
        <f>D12*#REF!</f>
        <v>#REF!</v>
      </c>
      <c r="AF13" s="14"/>
      <c r="AG13" s="58"/>
      <c r="AH13" s="127" t="s">
        <v>43</v>
      </c>
      <c r="AI13" s="126">
        <v>35.15</v>
      </c>
      <c r="AJ13" s="99" t="s">
        <v>518</v>
      </c>
      <c r="AK13" s="91">
        <v>57889404</v>
      </c>
      <c r="AL13" s="135"/>
      <c r="AM13" s="21"/>
      <c r="AN13" s="21"/>
    </row>
    <row r="14" spans="1:40" ht="13.2" customHeight="1" thickBot="1" x14ac:dyDescent="0.35">
      <c r="A14" s="3">
        <v>45270</v>
      </c>
      <c r="B14" s="28"/>
      <c r="C14" s="30"/>
      <c r="D14" s="186"/>
      <c r="E14" s="43">
        <f t="shared" si="2"/>
        <v>344.76900000000006</v>
      </c>
      <c r="F14" s="51">
        <f t="shared" si="3"/>
        <v>0</v>
      </c>
      <c r="G14" s="30"/>
      <c r="H14" s="24"/>
      <c r="I14" s="161">
        <f t="shared" si="4"/>
        <v>4.5999999999999996</v>
      </c>
      <c r="J14" s="8"/>
      <c r="K14" s="11"/>
      <c r="L14" s="12"/>
      <c r="M14" s="51">
        <f t="shared" si="0"/>
        <v>0</v>
      </c>
      <c r="N14" s="24"/>
      <c r="O14" s="47">
        <f t="shared" si="5"/>
        <v>1.4109999999999971</v>
      </c>
      <c r="P14" s="48"/>
      <c r="Q14" s="47">
        <f t="shared" si="1"/>
        <v>350.78000000000009</v>
      </c>
      <c r="R14" s="165">
        <f t="shared" si="6"/>
        <v>0</v>
      </c>
      <c r="S14" s="159">
        <v>106.286</v>
      </c>
      <c r="T14" s="59">
        <f>1004118.5-AI13*M49</f>
        <v>102521</v>
      </c>
      <c r="U14" s="58">
        <v>3416893.602</v>
      </c>
      <c r="V14" s="58">
        <v>0</v>
      </c>
      <c r="W14" s="87">
        <v>0</v>
      </c>
      <c r="X14" s="58">
        <v>0</v>
      </c>
      <c r="Y14" s="58">
        <v>0</v>
      </c>
      <c r="Z14" s="107">
        <f>Z8-AI14*M83</f>
        <v>307901.44799999986</v>
      </c>
      <c r="AA14" s="86"/>
      <c r="AB14" s="80"/>
      <c r="AC14" s="58"/>
      <c r="AD14" s="87">
        <v>89545.5</v>
      </c>
      <c r="AE14" s="55" t="e">
        <f>481844-19.55*#REF!</f>
        <v>#REF!</v>
      </c>
      <c r="AF14" s="14"/>
      <c r="AG14" s="58"/>
      <c r="AH14" s="123" t="s">
        <v>49</v>
      </c>
      <c r="AI14" s="122">
        <v>34.514000000000003</v>
      </c>
      <c r="AJ14" s="99" t="s">
        <v>519</v>
      </c>
      <c r="AK14" s="91">
        <v>50819762</v>
      </c>
      <c r="AL14" s="239"/>
      <c r="AM14" s="21"/>
      <c r="AN14" s="21"/>
    </row>
    <row r="15" spans="1:40" ht="13.2" customHeight="1" thickBot="1" x14ac:dyDescent="0.35">
      <c r="A15" s="7">
        <v>45271</v>
      </c>
      <c r="B15" s="28">
        <v>23.73</v>
      </c>
      <c r="C15" s="30">
        <v>1.5489999999999999</v>
      </c>
      <c r="D15" s="186">
        <f>AI6+'11.2023'!AI34</f>
        <v>75.213999999999999</v>
      </c>
      <c r="E15" s="43">
        <f t="shared" si="2"/>
        <v>394.70400000000006</v>
      </c>
      <c r="F15" s="51">
        <f t="shared" si="3"/>
        <v>1.5489999999999999</v>
      </c>
      <c r="G15" s="9">
        <f>1.549-H15</f>
        <v>1.016</v>
      </c>
      <c r="H15" s="10">
        <v>0.53300000000000003</v>
      </c>
      <c r="I15" s="161">
        <f t="shared" si="4"/>
        <v>4.5999999999999988</v>
      </c>
      <c r="J15" s="8"/>
      <c r="K15" s="11"/>
      <c r="L15" s="12"/>
      <c r="M15" s="51">
        <f>H15</f>
        <v>0.53300000000000003</v>
      </c>
      <c r="N15" s="24">
        <v>0.30099999999999999</v>
      </c>
      <c r="O15" s="47">
        <f t="shared" si="5"/>
        <v>1.6429999999999974</v>
      </c>
      <c r="P15" s="48"/>
      <c r="Q15" s="47">
        <f t="shared" si="1"/>
        <v>400.94700000000006</v>
      </c>
      <c r="R15" s="165">
        <f t="shared" si="6"/>
        <v>25.279000000000003</v>
      </c>
      <c r="S15" s="159">
        <f>AI7+AI13+AI14</f>
        <v>106.286</v>
      </c>
      <c r="T15" s="58">
        <f>T14</f>
        <v>102521</v>
      </c>
      <c r="U15" s="58">
        <v>3416893.602</v>
      </c>
      <c r="V15" s="58">
        <v>0</v>
      </c>
      <c r="W15" s="87">
        <v>0</v>
      </c>
      <c r="X15" s="58">
        <v>0</v>
      </c>
      <c r="Y15" s="58">
        <v>0</v>
      </c>
      <c r="Z15" s="87">
        <f>Z14</f>
        <v>307901.44799999986</v>
      </c>
      <c r="AA15" s="86"/>
      <c r="AB15" s="80"/>
      <c r="AC15" s="58"/>
      <c r="AD15" s="87">
        <v>89545.5</v>
      </c>
      <c r="AE15" s="271"/>
      <c r="AF15" s="14"/>
      <c r="AG15" s="58"/>
      <c r="AH15" s="128"/>
      <c r="AI15" s="120"/>
      <c r="AJ15" s="208"/>
      <c r="AK15" s="91"/>
      <c r="AL15" s="239"/>
      <c r="AM15" s="21"/>
      <c r="AN15" s="21"/>
    </row>
    <row r="16" spans="1:40" ht="13.2" customHeight="1" thickBot="1" x14ac:dyDescent="0.35">
      <c r="A16" s="7">
        <v>45272</v>
      </c>
      <c r="B16" s="28">
        <v>12.55</v>
      </c>
      <c r="C16" s="30">
        <v>1.54</v>
      </c>
      <c r="D16" s="186">
        <f>AI7</f>
        <v>36.622</v>
      </c>
      <c r="E16" s="43">
        <f t="shared" si="2"/>
        <v>417.23600000000005</v>
      </c>
      <c r="F16" s="51">
        <f t="shared" si="3"/>
        <v>1.54</v>
      </c>
      <c r="G16" s="9">
        <f>0.54</f>
        <v>0.54</v>
      </c>
      <c r="H16" s="10"/>
      <c r="I16" s="161">
        <f t="shared" si="4"/>
        <v>5.5999999999999988</v>
      </c>
      <c r="J16" s="8"/>
      <c r="K16" s="11"/>
      <c r="L16" s="12"/>
      <c r="M16" s="51">
        <f t="shared" si="0"/>
        <v>0</v>
      </c>
      <c r="N16" s="24">
        <v>0.33700000000000002</v>
      </c>
      <c r="O16" s="47">
        <f t="shared" si="5"/>
        <v>1.3059999999999974</v>
      </c>
      <c r="P16" s="48"/>
      <c r="Q16" s="47">
        <f t="shared" si="1"/>
        <v>424.14200000000005</v>
      </c>
      <c r="R16" s="165">
        <f t="shared" si="6"/>
        <v>13.09</v>
      </c>
      <c r="S16" s="159">
        <f>AI13+AI14</f>
        <v>69.664000000000001</v>
      </c>
      <c r="T16" s="58">
        <f>T15</f>
        <v>102521</v>
      </c>
      <c r="U16" s="58">
        <v>3416893.602</v>
      </c>
      <c r="V16" s="58">
        <v>0</v>
      </c>
      <c r="W16" s="87">
        <v>0</v>
      </c>
      <c r="X16" s="58">
        <v>0</v>
      </c>
      <c r="Y16" s="58">
        <v>0</v>
      </c>
      <c r="Z16" s="87">
        <f>Z15</f>
        <v>307901.44799999986</v>
      </c>
      <c r="AA16" s="86"/>
      <c r="AB16" s="80"/>
      <c r="AC16" s="58"/>
      <c r="AD16" s="87">
        <v>89545.5</v>
      </c>
      <c r="AE16" s="55"/>
      <c r="AF16" s="14"/>
      <c r="AG16" s="58"/>
      <c r="AH16" s="128"/>
      <c r="AI16" s="120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7">
        <v>45273</v>
      </c>
      <c r="B17" s="28">
        <v>28.56</v>
      </c>
      <c r="C17" s="30">
        <v>0.86299999999999999</v>
      </c>
      <c r="D17" s="186"/>
      <c r="E17" s="43">
        <f t="shared" si="2"/>
        <v>387.81300000000005</v>
      </c>
      <c r="F17" s="51">
        <f t="shared" si="3"/>
        <v>0.86299999999999999</v>
      </c>
      <c r="G17" s="9">
        <f>1.343-H17</f>
        <v>0.80999999999999994</v>
      </c>
      <c r="H17" s="10">
        <v>0.53300000000000003</v>
      </c>
      <c r="I17" s="161">
        <f t="shared" si="4"/>
        <v>5.1199999999999992</v>
      </c>
      <c r="J17" s="4"/>
      <c r="K17" s="5"/>
      <c r="L17" s="6"/>
      <c r="M17" s="51">
        <f t="shared" si="0"/>
        <v>0.53300000000000003</v>
      </c>
      <c r="N17" s="24">
        <v>0.374</v>
      </c>
      <c r="O17" s="47">
        <f t="shared" si="5"/>
        <v>1.4649999999999972</v>
      </c>
      <c r="P17" s="49"/>
      <c r="Q17" s="47">
        <f t="shared" si="1"/>
        <v>394.39800000000002</v>
      </c>
      <c r="R17" s="165">
        <f t="shared" si="6"/>
        <v>29.902999999999999</v>
      </c>
      <c r="S17" s="160">
        <v>69.664000000000001</v>
      </c>
      <c r="T17" s="58">
        <f>102521+796000</f>
        <v>898521</v>
      </c>
      <c r="U17" s="86">
        <f>3416893.6+1118000</f>
        <v>4534893.5999999996</v>
      </c>
      <c r="V17" s="80">
        <v>0</v>
      </c>
      <c r="W17" s="87">
        <v>0</v>
      </c>
      <c r="X17" s="79">
        <v>0</v>
      </c>
      <c r="Y17" s="58">
        <f>36*M87</f>
        <v>756000</v>
      </c>
      <c r="Z17" s="87">
        <f>307901.45+928000</f>
        <v>1235901.45</v>
      </c>
      <c r="AA17" s="86"/>
      <c r="AB17" s="80"/>
      <c r="AC17" s="58"/>
      <c r="AD17" s="87">
        <v>0</v>
      </c>
      <c r="AE17" s="55"/>
      <c r="AF17" s="14"/>
      <c r="AG17" s="58"/>
      <c r="AH17" s="445"/>
      <c r="AI17" s="126"/>
      <c r="AJ17" s="103"/>
      <c r="AK17" s="91"/>
      <c r="AL17" s="130"/>
      <c r="AM17" s="99"/>
      <c r="AN17" s="27"/>
    </row>
    <row r="18" spans="1:40" ht="13.2" customHeight="1" thickBot="1" x14ac:dyDescent="0.35">
      <c r="A18" s="7">
        <v>45274</v>
      </c>
      <c r="B18" s="28">
        <f>26.91-2.11-0.84</f>
        <v>23.96</v>
      </c>
      <c r="C18" s="30">
        <v>2.2999999999999998</v>
      </c>
      <c r="D18" s="186"/>
      <c r="E18" s="43">
        <f t="shared" si="2"/>
        <v>361.55300000000005</v>
      </c>
      <c r="F18" s="51">
        <f t="shared" si="3"/>
        <v>2.2999999999999998</v>
      </c>
      <c r="G18" s="9">
        <f>2.91</f>
        <v>2.91</v>
      </c>
      <c r="H18" s="10"/>
      <c r="I18" s="161">
        <f t="shared" si="4"/>
        <v>4.5099999999999989</v>
      </c>
      <c r="J18" s="8"/>
      <c r="K18" s="11"/>
      <c r="L18" s="12"/>
      <c r="M18" s="51">
        <f t="shared" si="0"/>
        <v>0</v>
      </c>
      <c r="N18" s="24">
        <v>0.36399999999999999</v>
      </c>
      <c r="O18" s="47">
        <f t="shared" si="5"/>
        <v>1.1009999999999973</v>
      </c>
      <c r="P18" s="48"/>
      <c r="Q18" s="47">
        <f t="shared" si="1"/>
        <v>367.16400000000004</v>
      </c>
      <c r="R18" s="165">
        <f t="shared" si="6"/>
        <v>26.87</v>
      </c>
      <c r="S18" s="160">
        <f>AI13+AI14+AI18</f>
        <v>140.25400000000002</v>
      </c>
      <c r="T18" s="86">
        <v>898521</v>
      </c>
      <c r="U18" s="407">
        <f>4534893.6-AI18*M84</f>
        <v>2110197.6899999995</v>
      </c>
      <c r="V18" s="80">
        <v>0</v>
      </c>
      <c r="W18" s="388">
        <v>0</v>
      </c>
      <c r="X18" s="79">
        <v>0</v>
      </c>
      <c r="Y18" s="58">
        <v>756000</v>
      </c>
      <c r="Z18" s="87">
        <v>1235901.45</v>
      </c>
      <c r="AA18" s="86"/>
      <c r="AB18" s="80"/>
      <c r="AC18" s="58"/>
      <c r="AD18" s="87">
        <v>0</v>
      </c>
      <c r="AE18" s="55"/>
      <c r="AF18" s="14"/>
      <c r="AG18" s="58"/>
      <c r="AH18" s="128" t="s">
        <v>48</v>
      </c>
      <c r="AI18" s="120">
        <f>37.144+33.446</f>
        <v>70.59</v>
      </c>
      <c r="AJ18" s="103" t="s">
        <v>532</v>
      </c>
      <c r="AK18" s="91" t="s">
        <v>533</v>
      </c>
      <c r="AL18" s="239"/>
      <c r="AM18" s="21"/>
      <c r="AN18" s="21"/>
    </row>
    <row r="19" spans="1:40" ht="13.2" customHeight="1" thickBot="1" x14ac:dyDescent="0.35">
      <c r="A19" s="7">
        <v>45275</v>
      </c>
      <c r="B19" s="28">
        <v>43</v>
      </c>
      <c r="C19" s="30">
        <v>1.32</v>
      </c>
      <c r="D19" s="186"/>
      <c r="E19" s="43">
        <f t="shared" si="2"/>
        <v>317.23300000000006</v>
      </c>
      <c r="F19" s="51">
        <f t="shared" si="3"/>
        <v>1.32</v>
      </c>
      <c r="G19" s="9">
        <f>2.3-H19</f>
        <v>1.7899999999999998</v>
      </c>
      <c r="H19" s="10">
        <v>0.51</v>
      </c>
      <c r="I19" s="161">
        <f t="shared" si="4"/>
        <v>3.5299999999999994</v>
      </c>
      <c r="J19" s="8"/>
      <c r="K19" s="11"/>
      <c r="L19" s="12"/>
      <c r="M19" s="51">
        <f t="shared" si="0"/>
        <v>0.51</v>
      </c>
      <c r="N19" s="24">
        <v>0.47</v>
      </c>
      <c r="O19" s="47">
        <f t="shared" si="5"/>
        <v>1.1409999999999973</v>
      </c>
      <c r="P19" s="48"/>
      <c r="Q19" s="47">
        <f t="shared" si="1"/>
        <v>321.90400000000005</v>
      </c>
      <c r="R19" s="165">
        <f t="shared" si="6"/>
        <v>45.3</v>
      </c>
      <c r="S19" s="160">
        <v>140.25400000000002</v>
      </c>
      <c r="T19" s="86">
        <v>898521</v>
      </c>
      <c r="U19" s="86">
        <v>2110197.6899999995</v>
      </c>
      <c r="V19" s="80">
        <v>0</v>
      </c>
      <c r="W19" s="388">
        <v>0</v>
      </c>
      <c r="X19" s="79">
        <v>0</v>
      </c>
      <c r="Y19" s="58">
        <v>756000</v>
      </c>
      <c r="Z19" s="87">
        <v>1235901.45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123"/>
      <c r="AI19" s="122"/>
      <c r="AJ19" s="103"/>
      <c r="AK19" s="91"/>
      <c r="AL19" s="239"/>
      <c r="AM19" s="21"/>
      <c r="AN19" s="21"/>
    </row>
    <row r="20" spans="1:40" ht="13.2" customHeight="1" thickBot="1" x14ac:dyDescent="0.35">
      <c r="A20" s="3">
        <v>45276</v>
      </c>
      <c r="B20" s="28"/>
      <c r="C20" s="30"/>
      <c r="D20" s="186"/>
      <c r="E20" s="43">
        <f t="shared" si="2"/>
        <v>317.23300000000006</v>
      </c>
      <c r="F20" s="51">
        <f t="shared" si="3"/>
        <v>0</v>
      </c>
      <c r="G20" s="9"/>
      <c r="H20" s="10"/>
      <c r="I20" s="161">
        <f t="shared" si="4"/>
        <v>3.5299999999999994</v>
      </c>
      <c r="J20" s="8"/>
      <c r="K20" s="11"/>
      <c r="L20" s="12"/>
      <c r="M20" s="51">
        <f t="shared" si="0"/>
        <v>0</v>
      </c>
      <c r="N20" s="24"/>
      <c r="O20" s="47">
        <f t="shared" si="5"/>
        <v>1.1409999999999973</v>
      </c>
      <c r="P20" s="48"/>
      <c r="Q20" s="47">
        <f t="shared" si="1"/>
        <v>321.90400000000005</v>
      </c>
      <c r="R20" s="165">
        <f t="shared" si="6"/>
        <v>0</v>
      </c>
      <c r="S20" s="160">
        <v>140.25400000000002</v>
      </c>
      <c r="T20" s="86">
        <v>898521</v>
      </c>
      <c r="U20" s="86">
        <v>2110197.6899999995</v>
      </c>
      <c r="V20" s="288">
        <v>0</v>
      </c>
      <c r="W20" s="388">
        <v>0</v>
      </c>
      <c r="X20" s="79">
        <v>0</v>
      </c>
      <c r="Y20" s="58">
        <v>756000</v>
      </c>
      <c r="Z20" s="87">
        <v>1235901.45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27"/>
      <c r="AI20" s="126"/>
      <c r="AJ20" s="103"/>
      <c r="AK20" s="91"/>
      <c r="AL20" s="21"/>
      <c r="AM20" s="21"/>
      <c r="AN20" s="21"/>
    </row>
    <row r="21" spans="1:40" ht="13.2" customHeight="1" thickBot="1" x14ac:dyDescent="0.35">
      <c r="A21" s="3">
        <v>45277</v>
      </c>
      <c r="B21" s="28"/>
      <c r="C21" s="28"/>
      <c r="D21" s="186"/>
      <c r="E21" s="43">
        <f t="shared" si="2"/>
        <v>317.23300000000006</v>
      </c>
      <c r="F21" s="51">
        <f t="shared" si="3"/>
        <v>0</v>
      </c>
      <c r="G21" s="9"/>
      <c r="H21" s="10"/>
      <c r="I21" s="161">
        <f t="shared" si="4"/>
        <v>3.5299999999999994</v>
      </c>
      <c r="J21" s="8"/>
      <c r="K21" s="11"/>
      <c r="L21" s="12"/>
      <c r="M21" s="51">
        <f t="shared" si="0"/>
        <v>0</v>
      </c>
      <c r="N21" s="24"/>
      <c r="O21" s="47">
        <f t="shared" si="5"/>
        <v>1.1409999999999973</v>
      </c>
      <c r="P21" s="48"/>
      <c r="Q21" s="47">
        <f t="shared" si="1"/>
        <v>321.90400000000005</v>
      </c>
      <c r="R21" s="165">
        <f t="shared" si="6"/>
        <v>0</v>
      </c>
      <c r="S21" s="160">
        <v>140.25400000000002</v>
      </c>
      <c r="T21" s="86">
        <v>898521</v>
      </c>
      <c r="U21" s="86">
        <v>2110197.6899999995</v>
      </c>
      <c r="V21" s="288">
        <v>0</v>
      </c>
      <c r="W21" s="388">
        <v>0</v>
      </c>
      <c r="X21" s="79">
        <v>0</v>
      </c>
      <c r="Y21" s="58">
        <v>756000</v>
      </c>
      <c r="Z21" s="87">
        <v>1235901.45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128"/>
      <c r="AI21" s="120"/>
      <c r="AJ21" s="103"/>
      <c r="AK21" s="91"/>
      <c r="AL21" s="21"/>
      <c r="AM21" s="21"/>
      <c r="AN21" s="21"/>
    </row>
    <row r="22" spans="1:40" ht="13.2" customHeight="1" thickBot="1" x14ac:dyDescent="0.35">
      <c r="A22" s="7">
        <v>45278</v>
      </c>
      <c r="B22" s="28">
        <v>18.57</v>
      </c>
      <c r="C22" s="146">
        <v>2.452</v>
      </c>
      <c r="D22" s="186">
        <f>AI14+AI13</f>
        <v>69.664000000000001</v>
      </c>
      <c r="E22" s="43">
        <f t="shared" si="2"/>
        <v>365.87500000000006</v>
      </c>
      <c r="F22" s="51">
        <f t="shared" si="3"/>
        <v>2.452</v>
      </c>
      <c r="G22" s="9">
        <f>1.582-H22</f>
        <v>0.9</v>
      </c>
      <c r="H22" s="10">
        <v>0.68200000000000005</v>
      </c>
      <c r="I22" s="161">
        <f t="shared" si="4"/>
        <v>4.3999999999999986</v>
      </c>
      <c r="J22" s="8"/>
      <c r="K22" s="11"/>
      <c r="L22" s="12"/>
      <c r="M22" s="51">
        <f t="shared" si="0"/>
        <v>0.68200000000000005</v>
      </c>
      <c r="N22" s="24">
        <v>0.24399999999999999</v>
      </c>
      <c r="O22" s="47">
        <f t="shared" si="5"/>
        <v>1.5789999999999973</v>
      </c>
      <c r="P22" s="48"/>
      <c r="Q22" s="47">
        <f t="shared" si="1"/>
        <v>371.85400000000004</v>
      </c>
      <c r="R22" s="165">
        <f t="shared" si="6"/>
        <v>20.151999999999997</v>
      </c>
      <c r="S22" s="160">
        <f>AI18+AI22</f>
        <v>109.247</v>
      </c>
      <c r="T22" s="86">
        <v>898521</v>
      </c>
      <c r="U22" s="86">
        <v>2110197.6899999995</v>
      </c>
      <c r="V22" s="288">
        <v>0</v>
      </c>
      <c r="W22" s="388">
        <v>0</v>
      </c>
      <c r="X22" s="79">
        <v>0</v>
      </c>
      <c r="Y22" s="58">
        <v>756000</v>
      </c>
      <c r="Z22" s="107">
        <f>1235901.45-AI22*M83+92000</f>
        <v>72.157000000122935</v>
      </c>
      <c r="AA22" s="287"/>
      <c r="AB22" s="428"/>
      <c r="AC22" s="59">
        <f>965650-AI19*M77</f>
        <v>965650</v>
      </c>
      <c r="AD22" s="427">
        <v>0</v>
      </c>
      <c r="AE22" s="55"/>
      <c r="AF22" s="14"/>
      <c r="AG22" s="58">
        <v>57820.000000000116</v>
      </c>
      <c r="AH22" s="123" t="s">
        <v>49</v>
      </c>
      <c r="AI22" s="122">
        <v>38.656999999999996</v>
      </c>
      <c r="AJ22" s="103" t="s">
        <v>537</v>
      </c>
      <c r="AK22" s="91">
        <v>76636430</v>
      </c>
      <c r="AL22" s="21"/>
      <c r="AM22" s="21"/>
      <c r="AN22" s="21"/>
    </row>
    <row r="23" spans="1:40" ht="13.2" customHeight="1" thickBot="1" x14ac:dyDescent="0.35">
      <c r="A23" s="7">
        <v>45279</v>
      </c>
      <c r="B23" s="28">
        <v>11.99</v>
      </c>
      <c r="C23" s="30">
        <v>7.23</v>
      </c>
      <c r="D23" s="186">
        <f>AI18</f>
        <v>70.59</v>
      </c>
      <c r="E23" s="43">
        <f t="shared" si="2"/>
        <v>417.245</v>
      </c>
      <c r="F23" s="51">
        <f t="shared" si="3"/>
        <v>7.23</v>
      </c>
      <c r="G23" s="9">
        <f>7.53</f>
        <v>7.53</v>
      </c>
      <c r="H23" s="10"/>
      <c r="I23" s="161">
        <f t="shared" si="4"/>
        <v>4.0999999999999988</v>
      </c>
      <c r="J23" s="8"/>
      <c r="K23" s="11"/>
      <c r="L23" s="12"/>
      <c r="M23" s="51">
        <f t="shared" si="0"/>
        <v>0</v>
      </c>
      <c r="N23" s="24">
        <v>0.22500000000000001</v>
      </c>
      <c r="O23" s="47">
        <f t="shared" si="5"/>
        <v>1.3539999999999972</v>
      </c>
      <c r="P23" s="48"/>
      <c r="Q23" s="47">
        <f t="shared" si="1"/>
        <v>422.69900000000001</v>
      </c>
      <c r="R23" s="165">
        <f t="shared" si="6"/>
        <v>19.52</v>
      </c>
      <c r="S23" s="160">
        <f>AI22</f>
        <v>38.656999999999996</v>
      </c>
      <c r="T23" s="86">
        <v>898521</v>
      </c>
      <c r="U23" s="86">
        <v>2110197.6899999995</v>
      </c>
      <c r="V23" s="86"/>
      <c r="W23" s="388"/>
      <c r="X23" s="79"/>
      <c r="Y23" s="58">
        <f>Y22+36*M86</f>
        <v>1567800</v>
      </c>
      <c r="Z23" s="87">
        <f>Z22</f>
        <v>72.157000000122935</v>
      </c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445"/>
      <c r="AI23" s="126"/>
      <c r="AJ23" s="103"/>
      <c r="AK23" s="21"/>
      <c r="AL23" s="91"/>
      <c r="AM23" s="21"/>
      <c r="AN23" s="21"/>
    </row>
    <row r="24" spans="1:40" ht="13.2" customHeight="1" thickBot="1" x14ac:dyDescent="0.35">
      <c r="A24" s="7">
        <v>45280</v>
      </c>
      <c r="B24" s="28">
        <v>26.21</v>
      </c>
      <c r="C24" s="30">
        <v>2.927</v>
      </c>
      <c r="D24" s="186"/>
      <c r="E24" s="43">
        <f t="shared" si="2"/>
        <v>388.108</v>
      </c>
      <c r="F24" s="51">
        <f t="shared" si="3"/>
        <v>2.927</v>
      </c>
      <c r="G24" s="9">
        <f>3.097-H24</f>
        <v>2.6</v>
      </c>
      <c r="H24" s="10">
        <v>0.497</v>
      </c>
      <c r="I24" s="161">
        <f t="shared" si="4"/>
        <v>3.9299999999999997</v>
      </c>
      <c r="J24" s="8"/>
      <c r="K24" s="11"/>
      <c r="L24" s="12"/>
      <c r="M24" s="51">
        <f t="shared" si="0"/>
        <v>0.497</v>
      </c>
      <c r="N24" s="24">
        <v>0.55100000000000005</v>
      </c>
      <c r="O24" s="47">
        <f t="shared" si="5"/>
        <v>1.2999999999999972</v>
      </c>
      <c r="P24" s="48"/>
      <c r="Q24" s="47">
        <f t="shared" si="1"/>
        <v>393.33800000000002</v>
      </c>
      <c r="R24" s="165">
        <f t="shared" si="6"/>
        <v>29.307000000000002</v>
      </c>
      <c r="S24" s="160">
        <v>38.656999999999996</v>
      </c>
      <c r="T24" s="86">
        <v>898521</v>
      </c>
      <c r="U24" s="82">
        <v>2110197.6899999995</v>
      </c>
      <c r="V24" s="86"/>
      <c r="W24" s="388"/>
      <c r="X24" s="79"/>
      <c r="Y24" s="58">
        <v>1567800</v>
      </c>
      <c r="Z24" s="87">
        <v>72.157000000122935</v>
      </c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127" t="s">
        <v>43</v>
      </c>
      <c r="AI24" s="126">
        <v>33.700000000000003</v>
      </c>
      <c r="AJ24" s="103" t="s">
        <v>540</v>
      </c>
      <c r="AK24" s="91">
        <v>57867426</v>
      </c>
      <c r="AL24" s="21"/>
      <c r="AM24" s="21"/>
      <c r="AN24" s="21"/>
    </row>
    <row r="25" spans="1:40" ht="13.2" customHeight="1" thickBot="1" x14ac:dyDescent="0.35">
      <c r="A25" s="7">
        <v>45281</v>
      </c>
      <c r="B25" s="28">
        <v>12.15</v>
      </c>
      <c r="C25" s="30">
        <v>1.206</v>
      </c>
      <c r="D25" s="186"/>
      <c r="E25" s="43">
        <f t="shared" si="2"/>
        <v>374.75200000000001</v>
      </c>
      <c r="F25" s="51">
        <f t="shared" si="3"/>
        <v>1.206</v>
      </c>
      <c r="G25" s="219">
        <f>2.726-H25</f>
        <v>2.1339999999999999</v>
      </c>
      <c r="H25" s="10">
        <v>0.59199999999999997</v>
      </c>
      <c r="I25" s="161">
        <f t="shared" si="4"/>
        <v>2.4099999999999993</v>
      </c>
      <c r="J25" s="8"/>
      <c r="K25" s="11"/>
      <c r="L25" s="12"/>
      <c r="M25" s="51">
        <f t="shared" si="0"/>
        <v>0.59199999999999997</v>
      </c>
      <c r="N25" s="24">
        <v>0.51200000000000001</v>
      </c>
      <c r="O25" s="47">
        <f t="shared" si="5"/>
        <v>1.3799999999999972</v>
      </c>
      <c r="P25" s="48"/>
      <c r="Q25" s="47">
        <f t="shared" si="1"/>
        <v>378.54200000000003</v>
      </c>
      <c r="R25" s="165">
        <f t="shared" si="6"/>
        <v>14.876000000000001</v>
      </c>
      <c r="S25" s="160">
        <f>AI22+AI24</f>
        <v>72.356999999999999</v>
      </c>
      <c r="T25" s="88">
        <f>898521-AI24*M48</f>
        <v>145325.99999999988</v>
      </c>
      <c r="U25" s="82">
        <f>2110197.69+3122000</f>
        <v>5232197.6899999995</v>
      </c>
      <c r="V25" s="86"/>
      <c r="W25" s="388"/>
      <c r="X25" s="79"/>
      <c r="Y25" s="58">
        <f>1567800+M85*108</f>
        <v>4019400</v>
      </c>
      <c r="Z25" s="87">
        <f>72.16+1690000</f>
        <v>1690072.16</v>
      </c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384"/>
      <c r="AI25" s="121"/>
      <c r="AJ25" s="103"/>
      <c r="AK25" s="91"/>
      <c r="AL25" s="438"/>
      <c r="AM25" s="21"/>
      <c r="AN25" s="21"/>
    </row>
    <row r="26" spans="1:40" ht="12" customHeight="1" thickBot="1" x14ac:dyDescent="0.35">
      <c r="A26" s="7">
        <v>45282</v>
      </c>
      <c r="B26" s="28">
        <v>27.78</v>
      </c>
      <c r="C26" s="30">
        <v>3.2759999999999998</v>
      </c>
      <c r="D26" s="186"/>
      <c r="E26" s="43">
        <f>E25+D26-B26-C26</f>
        <v>343.69599999999997</v>
      </c>
      <c r="F26" s="51">
        <f t="shared" si="3"/>
        <v>3.2759999999999998</v>
      </c>
      <c r="G26" s="9">
        <f>1.956-H26</f>
        <v>1.54</v>
      </c>
      <c r="H26" s="10">
        <v>0.41599999999999998</v>
      </c>
      <c r="I26" s="161">
        <f t="shared" si="4"/>
        <v>3.7299999999999991</v>
      </c>
      <c r="J26" s="8"/>
      <c r="K26" s="11"/>
      <c r="L26" s="12"/>
      <c r="M26" s="51">
        <f t="shared" si="0"/>
        <v>0.41599999999999998</v>
      </c>
      <c r="N26" s="24">
        <v>0.432</v>
      </c>
      <c r="O26" s="47">
        <f t="shared" si="5"/>
        <v>1.3639999999999972</v>
      </c>
      <c r="P26" s="48"/>
      <c r="Q26" s="47">
        <f t="shared" si="1"/>
        <v>348.78999999999996</v>
      </c>
      <c r="R26" s="165">
        <f t="shared" si="6"/>
        <v>29.736000000000001</v>
      </c>
      <c r="S26" s="160">
        <v>72.356999999999999</v>
      </c>
      <c r="T26" s="86">
        <v>145325.99999999988</v>
      </c>
      <c r="U26" s="82">
        <v>5232197.6899999995</v>
      </c>
      <c r="V26" s="86"/>
      <c r="W26" s="388"/>
      <c r="X26" s="79"/>
      <c r="Y26" s="58">
        <v>4019400</v>
      </c>
      <c r="Z26" s="87">
        <v>1690072.16</v>
      </c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/>
      <c r="AI26" s="122"/>
      <c r="AJ26" s="208"/>
      <c r="AK26" s="91"/>
      <c r="AL26" s="21"/>
      <c r="AM26" s="21"/>
      <c r="AN26" s="21"/>
    </row>
    <row r="27" spans="1:40" ht="13.2" customHeight="1" thickBot="1" x14ac:dyDescent="0.35">
      <c r="A27" s="3">
        <v>45283</v>
      </c>
      <c r="B27" s="28">
        <f>9.27+5.84</f>
        <v>15.11</v>
      </c>
      <c r="C27" s="28"/>
      <c r="D27" s="186"/>
      <c r="E27" s="43">
        <f>E26+D27-B27-C27</f>
        <v>328.58599999999996</v>
      </c>
      <c r="F27" s="51">
        <f t="shared" si="3"/>
        <v>0</v>
      </c>
      <c r="G27" s="9"/>
      <c r="H27" s="10"/>
      <c r="I27" s="161">
        <f t="shared" si="4"/>
        <v>3.7299999999999991</v>
      </c>
      <c r="J27" s="8"/>
      <c r="K27" s="11"/>
      <c r="L27" s="12"/>
      <c r="M27" s="51">
        <f t="shared" si="0"/>
        <v>0</v>
      </c>
      <c r="N27" s="24"/>
      <c r="O27" s="47">
        <f t="shared" si="5"/>
        <v>1.3639999999999972</v>
      </c>
      <c r="P27" s="48"/>
      <c r="Q27" s="47">
        <f t="shared" si="1"/>
        <v>333.67999999999995</v>
      </c>
      <c r="R27" s="165">
        <f t="shared" si="6"/>
        <v>15.11</v>
      </c>
      <c r="S27" s="160">
        <v>72.356999999999999</v>
      </c>
      <c r="T27" s="86">
        <v>145325.99999999988</v>
      </c>
      <c r="U27" s="82">
        <v>5232197.6899999995</v>
      </c>
      <c r="V27" s="86"/>
      <c r="W27" s="388"/>
      <c r="X27" s="79"/>
      <c r="Y27" s="58">
        <v>4019400</v>
      </c>
      <c r="Z27" s="87">
        <v>1690072.16</v>
      </c>
      <c r="AA27" s="86"/>
      <c r="AB27" s="80"/>
      <c r="AC27" s="58">
        <v>0</v>
      </c>
      <c r="AD27" s="87"/>
      <c r="AE27" s="55"/>
      <c r="AF27" s="14"/>
      <c r="AG27" s="58"/>
      <c r="AH27" s="128" t="s">
        <v>48</v>
      </c>
      <c r="AI27" s="120">
        <f>32.02*2</f>
        <v>64.040000000000006</v>
      </c>
      <c r="AJ27" s="21" t="s">
        <v>542</v>
      </c>
      <c r="AK27" s="91">
        <v>50803717</v>
      </c>
      <c r="AL27" s="21"/>
      <c r="AM27" s="21"/>
      <c r="AN27" s="21"/>
    </row>
    <row r="28" spans="1:40" ht="13.2" customHeight="1" outlineLevel="1" thickBot="1" x14ac:dyDescent="0.35">
      <c r="A28" s="3">
        <v>45284</v>
      </c>
      <c r="B28" s="28">
        <v>9.65</v>
      </c>
      <c r="C28" s="30"/>
      <c r="D28" s="186"/>
      <c r="E28" s="43">
        <f t="shared" si="2"/>
        <v>318.93599999999998</v>
      </c>
      <c r="F28" s="51">
        <f t="shared" si="3"/>
        <v>0</v>
      </c>
      <c r="G28" s="9"/>
      <c r="H28" s="10"/>
      <c r="I28" s="161">
        <f t="shared" si="4"/>
        <v>3.7299999999999991</v>
      </c>
      <c r="J28" s="8"/>
      <c r="K28" s="11"/>
      <c r="L28" s="12"/>
      <c r="M28" s="51">
        <f t="shared" si="0"/>
        <v>0</v>
      </c>
      <c r="N28" s="24"/>
      <c r="O28" s="47">
        <f t="shared" si="5"/>
        <v>1.3639999999999972</v>
      </c>
      <c r="P28" s="48"/>
      <c r="Q28" s="47">
        <f t="shared" si="1"/>
        <v>324.02999999999997</v>
      </c>
      <c r="R28" s="165">
        <f t="shared" si="6"/>
        <v>9.65</v>
      </c>
      <c r="S28" s="160">
        <f>AI22+AI24+AI27</f>
        <v>136.39699999999999</v>
      </c>
      <c r="T28" s="86">
        <v>145325.99999999988</v>
      </c>
      <c r="U28" s="407">
        <f>5232197.69-AI27*M84</f>
        <v>3032487.73</v>
      </c>
      <c r="V28" s="86"/>
      <c r="W28" s="388"/>
      <c r="X28" s="79"/>
      <c r="Y28" s="58">
        <v>4019400</v>
      </c>
      <c r="Z28" s="87">
        <v>1690072.16</v>
      </c>
      <c r="AA28" s="86"/>
      <c r="AB28" s="80"/>
      <c r="AC28" s="58">
        <v>0</v>
      </c>
      <c r="AD28" s="87"/>
      <c r="AE28" s="55"/>
      <c r="AF28" s="93"/>
      <c r="AG28" s="58"/>
      <c r="AH28" s="384"/>
      <c r="AI28" s="385"/>
      <c r="AJ28" s="356"/>
      <c r="AK28" s="91"/>
      <c r="AL28" s="21"/>
      <c r="AM28" s="21"/>
      <c r="AN28" s="21"/>
    </row>
    <row r="29" spans="1:40" ht="13.2" customHeight="1" outlineLevel="1" thickBot="1" x14ac:dyDescent="0.35">
      <c r="A29" s="7">
        <v>45285</v>
      </c>
      <c r="B29" s="28">
        <v>22.49</v>
      </c>
      <c r="C29" s="30">
        <v>3.4380000000000002</v>
      </c>
      <c r="D29" s="186"/>
      <c r="E29" s="43">
        <f>E28+D29-B29-C29</f>
        <v>293.00799999999998</v>
      </c>
      <c r="F29" s="51">
        <f t="shared" si="3"/>
        <v>3.4380000000000002</v>
      </c>
      <c r="G29" s="9">
        <f>3.438-H29</f>
        <v>2.8980000000000001</v>
      </c>
      <c r="H29" s="10">
        <v>0.54</v>
      </c>
      <c r="I29" s="161">
        <f t="shared" si="4"/>
        <v>3.7299999999999995</v>
      </c>
      <c r="J29" s="8"/>
      <c r="K29" s="11"/>
      <c r="L29" s="12"/>
      <c r="M29" s="51">
        <f t="shared" si="0"/>
        <v>0.54</v>
      </c>
      <c r="N29" s="24">
        <v>0.34100000000000003</v>
      </c>
      <c r="O29" s="47">
        <f t="shared" si="5"/>
        <v>1.5629999999999973</v>
      </c>
      <c r="P29" s="48"/>
      <c r="Q29" s="47">
        <f t="shared" si="1"/>
        <v>298.30099999999999</v>
      </c>
      <c r="R29" s="165">
        <f t="shared" si="6"/>
        <v>25.927999999999997</v>
      </c>
      <c r="S29" s="160">
        <f>S28</f>
        <v>136.39699999999999</v>
      </c>
      <c r="T29" s="86">
        <f>145326+638000</f>
        <v>783326</v>
      </c>
      <c r="U29" s="86">
        <f>U28</f>
        <v>3032487.73</v>
      </c>
      <c r="V29" s="294"/>
      <c r="W29" s="66"/>
      <c r="X29" s="94"/>
      <c r="Y29" s="58">
        <v>4019400</v>
      </c>
      <c r="Z29" s="86">
        <v>1690072.16</v>
      </c>
      <c r="AA29" s="86"/>
      <c r="AB29" s="129"/>
      <c r="AC29" s="58">
        <v>0</v>
      </c>
      <c r="AD29" s="87"/>
      <c r="AE29" s="56"/>
      <c r="AF29" s="14"/>
      <c r="AG29" s="58"/>
      <c r="AH29" s="384"/>
      <c r="AI29" s="385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45286</v>
      </c>
      <c r="B30" s="28">
        <v>43.61</v>
      </c>
      <c r="C30" s="146">
        <v>2.173</v>
      </c>
      <c r="D30" s="186">
        <f>AI22</f>
        <v>38.656999999999996</v>
      </c>
      <c r="E30" s="43">
        <f>E29+D30-B30-C30</f>
        <v>285.88199999999995</v>
      </c>
      <c r="F30" s="51">
        <f t="shared" si="3"/>
        <v>2.173</v>
      </c>
      <c r="G30" s="30">
        <f>2.853-H30</f>
        <v>2.21</v>
      </c>
      <c r="H30" s="24">
        <v>0.64300000000000002</v>
      </c>
      <c r="I30" s="161">
        <f t="shared" si="4"/>
        <v>3.05</v>
      </c>
      <c r="J30" s="28"/>
      <c r="K30" s="26"/>
      <c r="L30" s="53"/>
      <c r="M30" s="51">
        <f t="shared" si="0"/>
        <v>0.64300000000000002</v>
      </c>
      <c r="N30" s="24">
        <v>0.372</v>
      </c>
      <c r="O30" s="47">
        <f t="shared" si="5"/>
        <v>1.8339999999999974</v>
      </c>
      <c r="P30" s="54"/>
      <c r="Q30" s="47">
        <f t="shared" si="1"/>
        <v>290.76599999999996</v>
      </c>
      <c r="R30" s="165">
        <f t="shared" si="6"/>
        <v>46.463000000000001</v>
      </c>
      <c r="S30" s="160">
        <f>AI27+AI24</f>
        <v>97.740000000000009</v>
      </c>
      <c r="T30" s="86">
        <v>783326</v>
      </c>
      <c r="U30" s="86">
        <v>3032487.73</v>
      </c>
      <c r="V30" s="294"/>
      <c r="W30" s="66"/>
      <c r="X30" s="94"/>
      <c r="Y30" s="58">
        <v>4019400</v>
      </c>
      <c r="Z30" s="86">
        <v>1690072.16</v>
      </c>
      <c r="AA30" s="86"/>
      <c r="AB30" s="129"/>
      <c r="AC30" s="58">
        <v>0</v>
      </c>
      <c r="AD30" s="87"/>
      <c r="AE30" s="191"/>
      <c r="AF30" s="14"/>
      <c r="AG30" s="58"/>
      <c r="AH30" s="384"/>
      <c r="AI30" s="122"/>
      <c r="AJ30" s="103"/>
      <c r="AK30" s="91"/>
    </row>
    <row r="31" spans="1:40" s="21" customFormat="1" ht="13.2" customHeight="1" outlineLevel="1" thickBot="1" x14ac:dyDescent="0.35">
      <c r="A31" s="7">
        <v>45287</v>
      </c>
      <c r="B31" s="28">
        <v>28.84</v>
      </c>
      <c r="C31" s="30">
        <v>3.3239999999999998</v>
      </c>
      <c r="D31" s="186"/>
      <c r="E31" s="43">
        <f t="shared" si="2"/>
        <v>253.71799999999996</v>
      </c>
      <c r="F31" s="51">
        <f t="shared" si="3"/>
        <v>3.3239999999999998</v>
      </c>
      <c r="G31" s="68">
        <f>3.274-H31</f>
        <v>3.274</v>
      </c>
      <c r="H31" s="69"/>
      <c r="I31" s="161">
        <f t="shared" si="4"/>
        <v>3.0999999999999996</v>
      </c>
      <c r="J31" s="67"/>
      <c r="K31" s="70"/>
      <c r="L31" s="71"/>
      <c r="M31" s="51">
        <f t="shared" si="0"/>
        <v>0</v>
      </c>
      <c r="N31" s="24">
        <v>0.46</v>
      </c>
      <c r="O31" s="47">
        <f t="shared" si="5"/>
        <v>1.3739999999999974</v>
      </c>
      <c r="P31" s="72"/>
      <c r="Q31" s="47">
        <f t="shared" si="1"/>
        <v>258.19200000000001</v>
      </c>
      <c r="R31" s="165">
        <f t="shared" si="6"/>
        <v>32.113999999999997</v>
      </c>
      <c r="S31" s="160">
        <v>97.740000000000009</v>
      </c>
      <c r="T31" s="86">
        <v>783326</v>
      </c>
      <c r="U31" s="86">
        <v>3032487.73</v>
      </c>
      <c r="V31" s="87"/>
      <c r="W31" s="153"/>
      <c r="X31" s="94"/>
      <c r="Y31" s="58">
        <v>4019400</v>
      </c>
      <c r="Z31" s="86">
        <v>1690072.16</v>
      </c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7">
        <v>45288</v>
      </c>
      <c r="B32" s="28">
        <v>0.23</v>
      </c>
      <c r="C32" s="30">
        <v>2.5099999999999998</v>
      </c>
      <c r="D32" s="186">
        <f>AI24</f>
        <v>33.700000000000003</v>
      </c>
      <c r="E32" s="43">
        <f t="shared" si="2"/>
        <v>284.67799999999994</v>
      </c>
      <c r="F32" s="51">
        <f t="shared" si="3"/>
        <v>2.5099999999999998</v>
      </c>
      <c r="G32" s="62">
        <f>2.54-H32</f>
        <v>1.8679999999999999</v>
      </c>
      <c r="H32" s="62">
        <v>0.67200000000000004</v>
      </c>
      <c r="I32" s="161">
        <f t="shared" si="4"/>
        <v>3.0699999999999994</v>
      </c>
      <c r="J32" s="62"/>
      <c r="K32" s="64"/>
      <c r="L32" s="13"/>
      <c r="M32" s="51">
        <f t="shared" si="0"/>
        <v>0.67200000000000004</v>
      </c>
      <c r="N32" s="24">
        <v>0.30199999999999999</v>
      </c>
      <c r="O32" s="47">
        <f t="shared" si="5"/>
        <v>1.7439999999999976</v>
      </c>
      <c r="P32" s="65"/>
      <c r="Q32" s="47">
        <f t="shared" si="1"/>
        <v>289.4919999999999</v>
      </c>
      <c r="R32" s="165">
        <f t="shared" si="6"/>
        <v>2.77</v>
      </c>
      <c r="S32" s="160">
        <f>AI27</f>
        <v>64.040000000000006</v>
      </c>
      <c r="T32" s="86">
        <v>783326</v>
      </c>
      <c r="U32" s="86">
        <v>3032487.73</v>
      </c>
      <c r="V32" s="87"/>
      <c r="W32" s="153"/>
      <c r="X32" s="94"/>
      <c r="Y32" s="58">
        <v>4019400</v>
      </c>
      <c r="Z32" s="86">
        <v>1690072.16</v>
      </c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  <c r="AM32" s="21"/>
    </row>
    <row r="33" spans="1:39" ht="13.2" customHeight="1" outlineLevel="1" thickBot="1" x14ac:dyDescent="0.35">
      <c r="A33" s="7">
        <v>45289</v>
      </c>
      <c r="B33" s="28">
        <v>48.85</v>
      </c>
      <c r="C33" s="30">
        <v>3.032</v>
      </c>
      <c r="D33" s="186">
        <f>AI27</f>
        <v>64.040000000000006</v>
      </c>
      <c r="E33" s="43">
        <f t="shared" si="2"/>
        <v>296.83599999999996</v>
      </c>
      <c r="F33" s="51">
        <f t="shared" si="3"/>
        <v>3.032</v>
      </c>
      <c r="G33" s="62">
        <f>2.362-H33</f>
        <v>2.02</v>
      </c>
      <c r="H33" s="62">
        <v>0.34200000000000003</v>
      </c>
      <c r="I33" s="161">
        <f t="shared" si="4"/>
        <v>3.7399999999999989</v>
      </c>
      <c r="J33" s="62"/>
      <c r="K33" s="64"/>
      <c r="L33" s="13"/>
      <c r="M33" s="51">
        <f t="shared" si="0"/>
        <v>0.34200000000000003</v>
      </c>
      <c r="N33" s="24">
        <v>0.214</v>
      </c>
      <c r="O33" s="47">
        <f t="shared" si="5"/>
        <v>1.8719999999999977</v>
      </c>
      <c r="P33" s="65"/>
      <c r="Q33" s="47">
        <f t="shared" si="1"/>
        <v>302.44799999999998</v>
      </c>
      <c r="R33" s="165">
        <f>B33+G33+H33+J33</f>
        <v>51.212000000000003</v>
      </c>
      <c r="S33" s="160">
        <v>0</v>
      </c>
      <c r="T33" s="86">
        <f>783326+230000</f>
        <v>1013326</v>
      </c>
      <c r="U33" s="86">
        <v>3032487.73</v>
      </c>
      <c r="V33" s="87"/>
      <c r="W33" s="153"/>
      <c r="X33" s="94"/>
      <c r="Y33" s="86">
        <v>4019400</v>
      </c>
      <c r="Z33" s="86">
        <v>1690072.16</v>
      </c>
      <c r="AA33" s="86"/>
      <c r="AB33" s="80"/>
      <c r="AC33" s="58"/>
      <c r="AD33" s="87"/>
      <c r="AE33" s="57"/>
      <c r="AF33" s="131"/>
      <c r="AG33" s="58"/>
      <c r="AH33" s="384"/>
      <c r="AI33" s="120"/>
      <c r="AJ33" s="99"/>
      <c r="AK33" s="99"/>
      <c r="AL33" s="21"/>
      <c r="AM33" s="21"/>
    </row>
    <row r="34" spans="1:39" ht="13.2" customHeight="1" outlineLevel="1" thickBot="1" x14ac:dyDescent="0.35">
      <c r="A34" s="3">
        <v>45290</v>
      </c>
      <c r="B34" s="28">
        <v>12.63</v>
      </c>
      <c r="C34" s="30"/>
      <c r="D34" s="92"/>
      <c r="E34" s="43">
        <f t="shared" si="2"/>
        <v>284.20599999999996</v>
      </c>
      <c r="F34" s="51">
        <f t="shared" si="3"/>
        <v>0</v>
      </c>
      <c r="G34" s="62"/>
      <c r="H34" s="62"/>
      <c r="I34" s="161">
        <f t="shared" si="4"/>
        <v>3.7399999999999989</v>
      </c>
      <c r="J34" s="44"/>
      <c r="K34" s="44"/>
      <c r="L34" s="44"/>
      <c r="M34" s="63">
        <f t="shared" si="0"/>
        <v>0</v>
      </c>
      <c r="N34" s="24"/>
      <c r="O34" s="47">
        <f t="shared" si="5"/>
        <v>1.8719999999999977</v>
      </c>
      <c r="P34" s="65">
        <v>0</v>
      </c>
      <c r="Q34" s="47">
        <f t="shared" si="1"/>
        <v>289.81799999999998</v>
      </c>
      <c r="R34" s="165">
        <f t="shared" si="6"/>
        <v>12.63</v>
      </c>
      <c r="S34" s="160">
        <v>0</v>
      </c>
      <c r="T34" s="86">
        <v>1013326</v>
      </c>
      <c r="U34" s="86">
        <v>3032487.73</v>
      </c>
      <c r="V34" s="87"/>
      <c r="W34" s="153"/>
      <c r="X34" s="94"/>
      <c r="Y34" s="58">
        <v>4019400</v>
      </c>
      <c r="Z34" s="86">
        <v>1690072.16</v>
      </c>
      <c r="AA34" s="86"/>
      <c r="AB34" s="129"/>
      <c r="AC34" s="58"/>
      <c r="AD34" s="87"/>
      <c r="AE34" s="57"/>
      <c r="AF34" s="87"/>
      <c r="AG34" s="58"/>
      <c r="AH34" s="384"/>
      <c r="AI34" s="122"/>
      <c r="AJ34" s="99"/>
      <c r="AK34" s="21"/>
      <c r="AL34" s="21"/>
      <c r="AM34" s="21"/>
    </row>
    <row r="35" spans="1:39" ht="15" outlineLevel="1" thickBot="1" x14ac:dyDescent="0.35">
      <c r="A35" s="3">
        <v>45291</v>
      </c>
      <c r="B35" s="108"/>
      <c r="C35" s="19"/>
      <c r="D35" s="92"/>
      <c r="E35" s="73">
        <f>E34+D35-B35-C35</f>
        <v>284.20599999999996</v>
      </c>
      <c r="F35" s="100">
        <f t="shared" si="3"/>
        <v>0</v>
      </c>
      <c r="G35" s="108"/>
      <c r="H35" s="108"/>
      <c r="I35" s="161">
        <f>I34+F35-G35-H35</f>
        <v>3.7399999999999989</v>
      </c>
      <c r="J35" s="18"/>
      <c r="K35" s="74"/>
      <c r="L35" s="75"/>
      <c r="M35" s="109">
        <f t="shared" si="0"/>
        <v>0</v>
      </c>
      <c r="N35" s="24"/>
      <c r="O35" s="50">
        <f>O34+M35-N35</f>
        <v>1.8719999999999977</v>
      </c>
      <c r="P35" s="76"/>
      <c r="Q35" s="50">
        <f t="shared" si="1"/>
        <v>289.81799999999998</v>
      </c>
      <c r="R35" s="166">
        <f t="shared" si="6"/>
        <v>0</v>
      </c>
      <c r="S35" s="160">
        <v>0</v>
      </c>
      <c r="T35" s="86">
        <v>1013326</v>
      </c>
      <c r="U35" s="86">
        <v>3032487.73</v>
      </c>
      <c r="V35" s="87"/>
      <c r="W35" s="153"/>
      <c r="X35" s="94"/>
      <c r="Y35" s="86">
        <v>4019400</v>
      </c>
      <c r="Z35" s="86">
        <v>1690072.16</v>
      </c>
      <c r="AA35" s="86"/>
      <c r="AB35" s="129"/>
      <c r="AC35" s="58"/>
      <c r="AD35" s="87"/>
      <c r="AE35" s="57"/>
      <c r="AF35" s="87"/>
      <c r="AG35" s="58"/>
      <c r="AH35" s="384"/>
      <c r="AI35" s="122"/>
      <c r="AJ35" s="99"/>
      <c r="AK35" s="21"/>
      <c r="AL35" s="21"/>
    </row>
    <row r="36" spans="1:39" ht="15" thickBot="1" x14ac:dyDescent="0.35">
      <c r="A36" s="36" t="s">
        <v>12</v>
      </c>
      <c r="B36" s="37">
        <f>SUM(B5:B35)</f>
        <v>557.77</v>
      </c>
      <c r="C36" s="37">
        <f>SUM(C5:C35)</f>
        <v>50.929000000000002</v>
      </c>
      <c r="D36" s="37">
        <f>SUM(D5:D35)</f>
        <v>422.67099999999999</v>
      </c>
      <c r="E36" s="115">
        <f>INDEX(E5:E35,COUNTA(E5:E35))-12.74</f>
        <v>271.46599999999995</v>
      </c>
      <c r="F36" s="37">
        <f>SUM(F5:F35)</f>
        <v>50.929000000000002</v>
      </c>
      <c r="G36" s="37">
        <f>SUM(G5:G35)</f>
        <v>43.695000000000007</v>
      </c>
      <c r="H36" s="37">
        <f>SUM(H5:H35)</f>
        <v>7.3539999999999992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7.3539999999999992</v>
      </c>
      <c r="N36" s="37">
        <f>SUM(N5:N35)</f>
        <v>7.0760000000000005</v>
      </c>
      <c r="O36" s="41"/>
      <c r="P36" s="40">
        <f>B36+G36+H36+J36</f>
        <v>608.81900000000007</v>
      </c>
      <c r="Q36" s="41"/>
      <c r="R36" s="167">
        <f>SUM(R5:R35)</f>
        <v>608.81899999999996</v>
      </c>
      <c r="S36" s="114">
        <f>INDEX(S5:S35,COUNTA(S5:S35))</f>
        <v>0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/>
      <c r="AI36" s="122"/>
      <c r="AJ36" s="21"/>
      <c r="AK36" s="99"/>
      <c r="AL36" s="21"/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H37" s="384"/>
      <c r="AI37" s="122"/>
      <c r="AJ37" s="473"/>
      <c r="AK37" s="99"/>
      <c r="AL37" s="21"/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271.46599999999995</v>
      </c>
      <c r="AA38" s="111"/>
      <c r="AB38" s="111"/>
      <c r="AC38" s="111"/>
      <c r="AD38" s="112"/>
      <c r="AH38" s="474"/>
      <c r="AI38" s="475"/>
      <c r="AJ38" s="475"/>
      <c r="AK38" s="475"/>
      <c r="AL38" s="475"/>
    </row>
    <row r="39" spans="1:39" s="33" customFormat="1" ht="13.2" customHeight="1" x14ac:dyDescent="0.3">
      <c r="B39" s="2"/>
      <c r="E39" s="110"/>
      <c r="F39" s="60"/>
      <c r="Q39" s="319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0</v>
      </c>
      <c r="AA39" s="111"/>
      <c r="AB39" s="111"/>
      <c r="AC39" s="111"/>
      <c r="AD39" s="112"/>
      <c r="AH39" s="123"/>
      <c r="AI39" s="122"/>
      <c r="AJ39" s="473"/>
      <c r="AK39" s="99"/>
      <c r="AL39" s="475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N93</f>
        <v>426.69363872417102</v>
      </c>
      <c r="AA40" s="111"/>
      <c r="AB40" s="111"/>
      <c r="AC40" s="111"/>
      <c r="AD40" s="112"/>
      <c r="AH40" s="474"/>
      <c r="AI40" s="122"/>
      <c r="AJ40" s="475"/>
      <c r="AK40" s="475"/>
      <c r="AL40" s="475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698.15963872417092</v>
      </c>
      <c r="AA41" s="111"/>
      <c r="AB41" s="111"/>
      <c r="AC41" s="111"/>
      <c r="AD41" s="112"/>
      <c r="AH41" s="474"/>
      <c r="AI41" s="475"/>
      <c r="AJ41" s="475"/>
      <c r="AK41" s="475"/>
      <c r="AL41" s="475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9" hidden="1" x14ac:dyDescent="0.3">
      <c r="E43" s="691" t="s">
        <v>18</v>
      </c>
      <c r="F43" s="692"/>
      <c r="G43" s="693"/>
      <c r="H43" s="552" t="s">
        <v>358</v>
      </c>
      <c r="I43" s="694"/>
      <c r="M43" s="240">
        <v>23874</v>
      </c>
      <c r="N43" s="342"/>
      <c r="O43" s="702" t="s">
        <v>201</v>
      </c>
      <c r="Q43" s="307" t="s">
        <v>303</v>
      </c>
      <c r="R43" s="355" t="s">
        <v>305</v>
      </c>
      <c r="T43" s="174"/>
      <c r="U43" s="174"/>
      <c r="V43" s="175"/>
      <c r="W43" s="175"/>
      <c r="X43" s="176"/>
      <c r="Y43" s="176"/>
      <c r="Z43" s="175"/>
      <c r="AA43" s="151"/>
      <c r="AB43" s="151"/>
      <c r="AC43" s="151"/>
      <c r="AD43" s="152"/>
      <c r="AI43" s="123"/>
      <c r="AJ43" s="103"/>
      <c r="AK43" s="103"/>
      <c r="AL43" s="91"/>
    </row>
    <row r="44" spans="1:39" s="315" customFormat="1" hidden="1" x14ac:dyDescent="0.3">
      <c r="C44" s="338"/>
      <c r="D44" s="98"/>
      <c r="E44" s="691" t="s">
        <v>18</v>
      </c>
      <c r="F44" s="692"/>
      <c r="G44" s="693"/>
      <c r="H44" s="552" t="s">
        <v>348</v>
      </c>
      <c r="I44" s="694"/>
      <c r="J44" s="124"/>
      <c r="K44" s="490"/>
      <c r="L44" s="145"/>
      <c r="M44" s="240">
        <v>27678</v>
      </c>
      <c r="N44" s="342"/>
      <c r="O44" s="702"/>
      <c r="P44" s="138"/>
      <c r="S44" s="355" t="s">
        <v>304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9" s="315" customFormat="1" hidden="1" x14ac:dyDescent="0.3">
      <c r="C45" s="338"/>
      <c r="D45" s="98"/>
      <c r="E45" s="691" t="s">
        <v>18</v>
      </c>
      <c r="F45" s="692"/>
      <c r="G45" s="693"/>
      <c r="H45" s="650" t="s">
        <v>394</v>
      </c>
      <c r="I45" s="651"/>
      <c r="J45" s="124"/>
      <c r="K45" s="490"/>
      <c r="L45" s="145"/>
      <c r="M45" s="240">
        <v>31374</v>
      </c>
      <c r="N45" s="342"/>
      <c r="O45" s="494" t="s">
        <v>351</v>
      </c>
      <c r="P45" s="138"/>
      <c r="Q45" s="307" t="s">
        <v>352</v>
      </c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9" s="315" customFormat="1" hidden="1" x14ac:dyDescent="0.3">
      <c r="C46" s="338"/>
      <c r="D46" s="98"/>
      <c r="E46" s="691" t="s">
        <v>18</v>
      </c>
      <c r="F46" s="692"/>
      <c r="G46" s="693"/>
      <c r="H46" s="650" t="s">
        <v>395</v>
      </c>
      <c r="I46" s="651"/>
      <c r="J46" s="124"/>
      <c r="K46" s="490"/>
      <c r="L46" s="145"/>
      <c r="M46" s="240">
        <v>32874</v>
      </c>
      <c r="N46" s="342"/>
      <c r="O46" s="494"/>
      <c r="P46" s="138"/>
      <c r="Q46" s="307"/>
      <c r="R46" s="307" t="s">
        <v>353</v>
      </c>
      <c r="S46" s="307" t="s">
        <v>354</v>
      </c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9" s="315" customFormat="1" x14ac:dyDescent="0.3">
      <c r="C47" s="338"/>
      <c r="D47" s="98"/>
      <c r="E47" s="672" t="s">
        <v>18</v>
      </c>
      <c r="F47" s="673"/>
      <c r="G47" s="674"/>
      <c r="H47" s="643" t="s">
        <v>522</v>
      </c>
      <c r="I47" s="675"/>
      <c r="J47" s="124"/>
      <c r="K47" s="499"/>
      <c r="L47" s="145"/>
      <c r="M47" s="286">
        <v>28638</v>
      </c>
      <c r="N47" s="378">
        <f>T33/M47</f>
        <v>35.383965360709546</v>
      </c>
      <c r="O47" s="500" t="s">
        <v>499</v>
      </c>
      <c r="P47" s="138"/>
      <c r="Q47" s="319" t="s">
        <v>530</v>
      </c>
      <c r="R47" s="319" t="s">
        <v>545</v>
      </c>
      <c r="S47" s="319" t="s">
        <v>544</v>
      </c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9" s="315" customFormat="1" hidden="1" x14ac:dyDescent="0.3">
      <c r="C48" s="338"/>
      <c r="D48" s="98"/>
      <c r="E48" s="688" t="s">
        <v>18</v>
      </c>
      <c r="F48" s="689"/>
      <c r="G48" s="690"/>
      <c r="H48" s="650" t="s">
        <v>536</v>
      </c>
      <c r="I48" s="651"/>
      <c r="J48" s="124"/>
      <c r="K48" s="503"/>
      <c r="L48" s="145"/>
      <c r="M48" s="240">
        <v>22350</v>
      </c>
      <c r="N48" s="342"/>
      <c r="O48" s="702" t="s">
        <v>499</v>
      </c>
      <c r="P48" s="138"/>
      <c r="Q48" s="319"/>
      <c r="R48" s="319"/>
      <c r="S48" s="307" t="s">
        <v>498</v>
      </c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hidden="1" x14ac:dyDescent="0.3">
      <c r="C49" s="338"/>
      <c r="D49" s="98"/>
      <c r="E49" s="688" t="s">
        <v>18</v>
      </c>
      <c r="F49" s="689"/>
      <c r="G49" s="690"/>
      <c r="H49" s="650" t="s">
        <v>535</v>
      </c>
      <c r="I49" s="651"/>
      <c r="J49" s="124"/>
      <c r="K49" s="498"/>
      <c r="L49" s="145"/>
      <c r="M49" s="240">
        <v>25650</v>
      </c>
      <c r="N49" s="342"/>
      <c r="O49" s="702"/>
      <c r="P49" s="138"/>
      <c r="Q49" s="307"/>
      <c r="R49" s="307" t="s">
        <v>497</v>
      </c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hidden="1" x14ac:dyDescent="0.3">
      <c r="C50" s="338"/>
      <c r="D50" s="98"/>
      <c r="E50" s="688" t="s">
        <v>18</v>
      </c>
      <c r="F50" s="689"/>
      <c r="G50" s="690"/>
      <c r="H50" s="650" t="s">
        <v>521</v>
      </c>
      <c r="I50" s="651"/>
      <c r="J50" s="124"/>
      <c r="K50" s="496"/>
      <c r="L50" s="145"/>
      <c r="M50" s="240">
        <v>28650</v>
      </c>
      <c r="N50" s="147"/>
      <c r="O50" s="702"/>
      <c r="P50" s="138"/>
      <c r="Q50" s="307" t="s">
        <v>515</v>
      </c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hidden="1" x14ac:dyDescent="0.3">
      <c r="D51" s="98"/>
      <c r="E51" s="688" t="s">
        <v>18</v>
      </c>
      <c r="F51" s="689"/>
      <c r="G51" s="690"/>
      <c r="H51" s="650" t="s">
        <v>468</v>
      </c>
      <c r="I51" s="651"/>
      <c r="J51" s="124"/>
      <c r="K51" s="496"/>
      <c r="L51" s="145"/>
      <c r="M51" s="240">
        <v>37074</v>
      </c>
      <c r="N51" s="147"/>
      <c r="O51" s="494"/>
      <c r="P51" s="138"/>
      <c r="Q51" s="164" t="s">
        <v>470</v>
      </c>
      <c r="R51" s="164" t="s">
        <v>491</v>
      </c>
      <c r="S51" s="164"/>
      <c r="T51" s="319"/>
      <c r="U51" s="319"/>
      <c r="V51" s="320"/>
      <c r="W51" s="321"/>
      <c r="X51" s="322"/>
      <c r="Y51" s="322"/>
      <c r="Z51" s="323"/>
      <c r="AA51" s="324"/>
      <c r="AB51" s="324"/>
      <c r="AC51" s="324"/>
      <c r="AD51" s="324"/>
      <c r="AG51" s="325"/>
      <c r="AH51" s="326"/>
      <c r="AI51" s="325"/>
      <c r="AJ51" s="325"/>
      <c r="AK51" s="325"/>
      <c r="AL51" s="324"/>
    </row>
    <row r="52" spans="3:38" s="315" customFormat="1" hidden="1" x14ac:dyDescent="0.3">
      <c r="C52" s="338"/>
      <c r="D52" s="98"/>
      <c r="E52" s="688" t="s">
        <v>18</v>
      </c>
      <c r="F52" s="689"/>
      <c r="G52" s="690"/>
      <c r="H52" s="650" t="s">
        <v>415</v>
      </c>
      <c r="I52" s="651"/>
      <c r="J52" s="124"/>
      <c r="K52" s="496"/>
      <c r="L52" s="145"/>
      <c r="M52" s="240">
        <v>29670</v>
      </c>
      <c r="N52" s="147"/>
      <c r="O52" s="494"/>
      <c r="P52" s="138"/>
      <c r="Q52" s="164" t="s">
        <v>416</v>
      </c>
      <c r="R52" s="164" t="s">
        <v>417</v>
      </c>
      <c r="S52" s="164"/>
      <c r="T52" s="343"/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G52" s="325"/>
      <c r="AH52" s="326"/>
      <c r="AI52" s="325"/>
      <c r="AJ52" s="325"/>
      <c r="AK52" s="325"/>
      <c r="AL52" s="324"/>
    </row>
    <row r="53" spans="3:38" s="315" customFormat="1" hidden="1" x14ac:dyDescent="0.3">
      <c r="C53" s="338"/>
      <c r="D53" s="98"/>
      <c r="E53" s="688" t="s">
        <v>323</v>
      </c>
      <c r="F53" s="689"/>
      <c r="G53" s="690"/>
      <c r="H53" s="697" t="s">
        <v>378</v>
      </c>
      <c r="I53" s="698"/>
      <c r="J53" s="124"/>
      <c r="K53" s="496"/>
      <c r="L53" s="145"/>
      <c r="M53" s="240">
        <v>28000</v>
      </c>
      <c r="N53" s="147"/>
      <c r="O53" s="379"/>
      <c r="P53" s="138"/>
      <c r="Q53" s="495" t="s">
        <v>335</v>
      </c>
      <c r="R53" s="343"/>
      <c r="S53" s="343"/>
      <c r="T53" s="343"/>
      <c r="U53" s="319"/>
      <c r="V53" s="320"/>
      <c r="W53" s="321"/>
      <c r="X53" s="322"/>
      <c r="Y53" s="322"/>
      <c r="Z53" s="323"/>
      <c r="AA53" s="324"/>
      <c r="AB53" s="324"/>
      <c r="AC53" s="324"/>
      <c r="AD53" s="324"/>
      <c r="AG53" s="325"/>
      <c r="AH53" s="326"/>
      <c r="AI53" s="325"/>
      <c r="AJ53" s="325"/>
      <c r="AK53" s="325"/>
      <c r="AL53" s="324"/>
    </row>
    <row r="54" spans="3:38" s="315" customFormat="1" hidden="1" x14ac:dyDescent="0.3">
      <c r="C54" s="338"/>
      <c r="D54" s="98"/>
      <c r="E54" s="688" t="s">
        <v>429</v>
      </c>
      <c r="F54" s="689"/>
      <c r="G54" s="690"/>
      <c r="H54" s="697" t="s">
        <v>388</v>
      </c>
      <c r="I54" s="698"/>
      <c r="J54" s="124"/>
      <c r="K54" s="496"/>
      <c r="L54" s="145"/>
      <c r="M54" s="240">
        <v>28400</v>
      </c>
      <c r="N54" s="147"/>
      <c r="O54" s="494"/>
      <c r="P54" s="138"/>
      <c r="Q54" s="495" t="s">
        <v>335</v>
      </c>
      <c r="R54" s="343"/>
      <c r="S54" s="343"/>
      <c r="T54" s="343"/>
      <c r="U54" s="319"/>
      <c r="V54" s="320"/>
      <c r="W54" s="321"/>
      <c r="X54" s="322"/>
      <c r="Y54" s="322"/>
      <c r="Z54" s="323"/>
      <c r="AA54" s="324"/>
      <c r="AB54" s="324"/>
      <c r="AC54" s="324"/>
      <c r="AD54" s="324"/>
      <c r="AG54" s="325"/>
      <c r="AH54" s="326"/>
      <c r="AI54" s="325"/>
      <c r="AJ54" s="325"/>
      <c r="AK54" s="325"/>
      <c r="AL54" s="324"/>
    </row>
    <row r="55" spans="3:38" s="315" customFormat="1" hidden="1" x14ac:dyDescent="0.3">
      <c r="C55" s="338"/>
      <c r="D55" s="98"/>
      <c r="E55" s="688" t="s">
        <v>323</v>
      </c>
      <c r="F55" s="689"/>
      <c r="G55" s="690"/>
      <c r="H55" s="697" t="s">
        <v>387</v>
      </c>
      <c r="I55" s="698"/>
      <c r="J55" s="124"/>
      <c r="K55" s="496"/>
      <c r="L55" s="145"/>
      <c r="M55" s="240">
        <v>28500</v>
      </c>
      <c r="N55" s="497"/>
      <c r="O55" s="494"/>
      <c r="P55" s="138"/>
      <c r="Q55" s="495" t="s">
        <v>335</v>
      </c>
      <c r="R55" s="343"/>
      <c r="S55" s="343"/>
      <c r="T55" s="343"/>
      <c r="U55" s="319"/>
      <c r="V55" s="320"/>
      <c r="W55" s="321"/>
      <c r="X55" s="322"/>
      <c r="Y55" s="322"/>
      <c r="Z55" s="323"/>
      <c r="AA55" s="324"/>
      <c r="AB55" s="324"/>
      <c r="AC55" s="324"/>
      <c r="AD55" s="324"/>
      <c r="AG55" s="325"/>
      <c r="AH55" s="326"/>
      <c r="AI55" s="325"/>
      <c r="AJ55" s="325"/>
      <c r="AK55" s="325"/>
      <c r="AL55" s="324"/>
    </row>
    <row r="56" spans="3:38" s="315" customFormat="1" hidden="1" x14ac:dyDescent="0.3">
      <c r="C56" s="338"/>
      <c r="D56" s="98"/>
      <c r="E56" s="688" t="s">
        <v>430</v>
      </c>
      <c r="F56" s="689"/>
      <c r="G56" s="690"/>
      <c r="H56" s="697" t="s">
        <v>389</v>
      </c>
      <c r="I56" s="698"/>
      <c r="J56" s="124"/>
      <c r="K56" s="496"/>
      <c r="L56" s="145"/>
      <c r="M56" s="240">
        <v>29000</v>
      </c>
      <c r="N56" s="147"/>
      <c r="O56" s="494"/>
      <c r="P56" s="138"/>
      <c r="Q56" s="495" t="s">
        <v>335</v>
      </c>
      <c r="R56" s="343"/>
      <c r="S56" s="343"/>
      <c r="T56" s="343"/>
      <c r="U56" s="319"/>
      <c r="V56" s="320"/>
      <c r="W56" s="321"/>
      <c r="X56" s="322"/>
      <c r="Y56" s="322"/>
      <c r="Z56" s="323"/>
      <c r="AA56" s="324"/>
      <c r="AB56" s="324"/>
      <c r="AC56" s="324"/>
      <c r="AD56" s="324"/>
      <c r="AG56" s="325"/>
      <c r="AH56" s="326"/>
      <c r="AI56" s="325"/>
      <c r="AJ56" s="325"/>
      <c r="AK56" s="325"/>
      <c r="AL56" s="324"/>
    </row>
    <row r="57" spans="3:38" s="315" customFormat="1" hidden="1" x14ac:dyDescent="0.3">
      <c r="C57" s="338"/>
      <c r="D57" s="98"/>
      <c r="E57" s="688" t="s">
        <v>323</v>
      </c>
      <c r="F57" s="689"/>
      <c r="G57" s="690"/>
      <c r="H57" s="697" t="s">
        <v>399</v>
      </c>
      <c r="I57" s="698"/>
      <c r="J57" s="124"/>
      <c r="K57" s="496"/>
      <c r="L57" s="145"/>
      <c r="M57" s="240">
        <v>30200</v>
      </c>
      <c r="N57" s="497"/>
      <c r="O57" s="477"/>
      <c r="P57" s="138"/>
      <c r="Q57" s="495" t="s">
        <v>335</v>
      </c>
      <c r="R57" s="343"/>
      <c r="S57" s="343"/>
      <c r="T57" s="343"/>
      <c r="U57" s="319"/>
      <c r="V57" s="320"/>
      <c r="W57" s="321"/>
      <c r="X57" s="322"/>
      <c r="Y57" s="322"/>
      <c r="Z57" s="323"/>
      <c r="AA57" s="324"/>
      <c r="AB57" s="324"/>
      <c r="AC57" s="324"/>
      <c r="AD57" s="324"/>
      <c r="AG57" s="325"/>
      <c r="AH57" s="326"/>
      <c r="AI57" s="325"/>
      <c r="AJ57" s="325"/>
      <c r="AK57" s="325"/>
      <c r="AL57" s="324"/>
    </row>
    <row r="58" spans="3:38" s="315" customFormat="1" hidden="1" x14ac:dyDescent="0.3">
      <c r="C58" s="338"/>
      <c r="D58" s="98"/>
      <c r="E58" s="688" t="s">
        <v>229</v>
      </c>
      <c r="F58" s="689"/>
      <c r="G58" s="690"/>
      <c r="H58" s="650" t="s">
        <v>415</v>
      </c>
      <c r="I58" s="651"/>
      <c r="J58" s="124"/>
      <c r="K58" s="496"/>
      <c r="L58" s="145"/>
      <c r="M58" s="240">
        <v>36500</v>
      </c>
      <c r="N58" s="497"/>
      <c r="O58" s="379"/>
      <c r="P58" s="138"/>
      <c r="Q58" s="495"/>
      <c r="R58" s="343"/>
      <c r="S58" s="343"/>
      <c r="T58" s="343"/>
      <c r="U58" s="319"/>
      <c r="V58" s="320"/>
      <c r="W58" s="321"/>
      <c r="X58" s="322"/>
      <c r="Y58" s="322"/>
      <c r="Z58" s="323"/>
      <c r="AA58" s="324"/>
      <c r="AB58" s="324"/>
      <c r="AC58" s="324"/>
      <c r="AD58" s="324"/>
      <c r="AG58" s="325"/>
      <c r="AH58" s="326"/>
      <c r="AI58" s="325"/>
      <c r="AJ58" s="325"/>
      <c r="AK58" s="325"/>
      <c r="AL58" s="324"/>
    </row>
    <row r="59" spans="3:38" s="315" customFormat="1" hidden="1" x14ac:dyDescent="0.3">
      <c r="C59" s="338"/>
      <c r="D59" s="98"/>
      <c r="E59" s="688" t="s">
        <v>323</v>
      </c>
      <c r="F59" s="689"/>
      <c r="G59" s="690"/>
      <c r="H59" s="697" t="s">
        <v>451</v>
      </c>
      <c r="I59" s="698"/>
      <c r="J59" s="124"/>
      <c r="K59" s="496"/>
      <c r="L59" s="145"/>
      <c r="M59" s="240">
        <v>29800</v>
      </c>
      <c r="N59" s="147"/>
      <c r="O59" s="477" t="s">
        <v>493</v>
      </c>
      <c r="P59" s="138"/>
      <c r="Q59" s="495" t="s">
        <v>439</v>
      </c>
      <c r="R59" s="343"/>
      <c r="S59" s="343"/>
      <c r="T59" s="343"/>
      <c r="U59" s="319"/>
      <c r="V59" s="320"/>
      <c r="W59" s="321"/>
      <c r="X59" s="322"/>
      <c r="Y59" s="322"/>
      <c r="Z59" s="323"/>
      <c r="AA59" s="324"/>
      <c r="AB59" s="324"/>
      <c r="AC59" s="324"/>
      <c r="AD59" s="324"/>
      <c r="AG59" s="325"/>
      <c r="AH59" s="326"/>
      <c r="AI59" s="325"/>
      <c r="AJ59" s="325"/>
      <c r="AK59" s="325"/>
      <c r="AL59" s="324"/>
    </row>
    <row r="60" spans="3:38" s="315" customFormat="1" hidden="1" x14ac:dyDescent="0.3">
      <c r="C60" s="338"/>
      <c r="D60" s="98"/>
      <c r="E60" s="688" t="s">
        <v>323</v>
      </c>
      <c r="F60" s="689"/>
      <c r="G60" s="690"/>
      <c r="H60" s="697" t="s">
        <v>452</v>
      </c>
      <c r="I60" s="698"/>
      <c r="J60" s="124"/>
      <c r="K60" s="496"/>
      <c r="L60" s="145"/>
      <c r="M60" s="240">
        <v>29800</v>
      </c>
      <c r="N60" s="147"/>
      <c r="O60" s="477" t="s">
        <v>48</v>
      </c>
      <c r="P60" s="138"/>
      <c r="Q60" s="381" t="s">
        <v>335</v>
      </c>
      <c r="R60" s="343"/>
      <c r="S60" s="343"/>
      <c r="T60" s="343"/>
      <c r="U60" s="319"/>
      <c r="V60" s="320"/>
      <c r="W60" s="321"/>
      <c r="X60" s="322"/>
      <c r="Y60" s="322"/>
      <c r="Z60" s="323"/>
      <c r="AA60" s="324"/>
      <c r="AB60" s="324"/>
      <c r="AC60" s="324"/>
      <c r="AD60" s="324"/>
      <c r="AG60" s="325"/>
      <c r="AH60" s="326"/>
      <c r="AI60" s="325"/>
      <c r="AJ60" s="325"/>
      <c r="AK60" s="325"/>
      <c r="AL60" s="324"/>
    </row>
    <row r="61" spans="3:38" s="315" customFormat="1" hidden="1" x14ac:dyDescent="0.3">
      <c r="C61" s="338"/>
      <c r="D61" s="98"/>
      <c r="E61" s="688" t="s">
        <v>323</v>
      </c>
      <c r="F61" s="689"/>
      <c r="G61" s="690"/>
      <c r="H61" s="697" t="s">
        <v>450</v>
      </c>
      <c r="I61" s="698"/>
      <c r="J61" s="124"/>
      <c r="K61" s="496"/>
      <c r="L61" s="145"/>
      <c r="M61" s="240">
        <v>31400</v>
      </c>
      <c r="N61" s="147"/>
      <c r="O61" s="477"/>
      <c r="P61" s="138"/>
      <c r="Q61" s="338" t="s">
        <v>508</v>
      </c>
      <c r="R61" s="343"/>
      <c r="S61" s="343"/>
      <c r="T61" s="343"/>
      <c r="U61" s="319"/>
      <c r="V61" s="320"/>
      <c r="W61" s="321"/>
      <c r="X61" s="322"/>
      <c r="Y61" s="322"/>
      <c r="Z61" s="323"/>
      <c r="AA61" s="324"/>
      <c r="AB61" s="324"/>
      <c r="AC61" s="324"/>
      <c r="AD61" s="324"/>
      <c r="AG61" s="325"/>
      <c r="AH61" s="326"/>
      <c r="AI61" s="325"/>
      <c r="AJ61" s="325"/>
      <c r="AK61" s="325"/>
      <c r="AL61" s="324"/>
    </row>
    <row r="62" spans="3:38" s="315" customFormat="1" hidden="1" x14ac:dyDescent="0.3">
      <c r="C62" s="338"/>
      <c r="D62" s="98"/>
      <c r="E62" s="688" t="s">
        <v>323</v>
      </c>
      <c r="F62" s="689"/>
      <c r="G62" s="690"/>
      <c r="H62" s="697" t="s">
        <v>442</v>
      </c>
      <c r="I62" s="698"/>
      <c r="J62" s="124"/>
      <c r="K62" s="496"/>
      <c r="L62" s="145"/>
      <c r="M62" s="240">
        <v>31400</v>
      </c>
      <c r="N62" s="147"/>
      <c r="O62" s="477">
        <v>108</v>
      </c>
      <c r="P62" s="138"/>
      <c r="Q62" s="495" t="s">
        <v>439</v>
      </c>
      <c r="R62" s="343"/>
      <c r="S62" s="343"/>
      <c r="T62" s="343"/>
      <c r="U62" s="319"/>
      <c r="V62" s="320"/>
      <c r="W62" s="321"/>
      <c r="X62" s="322"/>
      <c r="Y62" s="322"/>
      <c r="Z62" s="323"/>
      <c r="AA62" s="324"/>
      <c r="AB62" s="324"/>
      <c r="AC62" s="324"/>
      <c r="AD62" s="324"/>
      <c r="AG62" s="325"/>
      <c r="AH62" s="326"/>
      <c r="AI62" s="325"/>
      <c r="AJ62" s="325"/>
      <c r="AK62" s="325"/>
      <c r="AL62" s="324"/>
    </row>
    <row r="63" spans="3:38" s="315" customFormat="1" hidden="1" x14ac:dyDescent="0.3">
      <c r="C63" s="338"/>
      <c r="D63" s="98"/>
      <c r="E63" s="688" t="s">
        <v>323</v>
      </c>
      <c r="F63" s="689"/>
      <c r="G63" s="690"/>
      <c r="H63" s="697" t="s">
        <v>441</v>
      </c>
      <c r="I63" s="698"/>
      <c r="J63" s="124"/>
      <c r="K63" s="496"/>
      <c r="L63" s="145"/>
      <c r="M63" s="240">
        <v>30900</v>
      </c>
      <c r="N63" s="147"/>
      <c r="O63" s="477">
        <v>144</v>
      </c>
      <c r="P63" s="138"/>
      <c r="Q63" s="495" t="s">
        <v>440</v>
      </c>
      <c r="R63" s="343"/>
      <c r="S63" s="343"/>
      <c r="T63" s="343"/>
      <c r="U63" s="319"/>
      <c r="V63" s="320"/>
      <c r="W63" s="321"/>
      <c r="X63" s="322"/>
      <c r="Y63" s="322"/>
      <c r="Z63" s="323"/>
      <c r="AA63" s="324"/>
      <c r="AB63" s="324"/>
      <c r="AC63" s="324"/>
      <c r="AD63" s="324"/>
      <c r="AG63" s="325"/>
      <c r="AH63" s="326"/>
      <c r="AI63" s="325"/>
      <c r="AJ63" s="325"/>
      <c r="AK63" s="325"/>
      <c r="AL63" s="324"/>
    </row>
    <row r="64" spans="3:38" s="315" customFormat="1" hidden="1" x14ac:dyDescent="0.3">
      <c r="C64" s="338"/>
      <c r="D64" s="98"/>
      <c r="E64" s="688" t="s">
        <v>323</v>
      </c>
      <c r="F64" s="689"/>
      <c r="G64" s="690"/>
      <c r="H64" s="697" t="s">
        <v>438</v>
      </c>
      <c r="I64" s="698"/>
      <c r="J64" s="124"/>
      <c r="K64" s="496"/>
      <c r="L64" s="145"/>
      <c r="M64" s="240">
        <v>29900</v>
      </c>
      <c r="N64" s="147"/>
      <c r="O64" s="477">
        <v>72</v>
      </c>
      <c r="P64" s="138"/>
      <c r="Q64" s="495" t="s">
        <v>439</v>
      </c>
      <c r="R64" s="343"/>
      <c r="S64" s="343"/>
      <c r="T64" s="343"/>
      <c r="U64" s="319"/>
      <c r="V64" s="320"/>
      <c r="W64" s="321"/>
      <c r="X64" s="322"/>
      <c r="Y64" s="322"/>
      <c r="Z64" s="323"/>
      <c r="AA64" s="324"/>
      <c r="AB64" s="324"/>
      <c r="AC64" s="324"/>
      <c r="AD64" s="324"/>
      <c r="AG64" s="325"/>
      <c r="AH64" s="326"/>
      <c r="AI64" s="325"/>
      <c r="AJ64" s="325"/>
      <c r="AK64" s="325"/>
      <c r="AL64" s="324"/>
    </row>
    <row r="65" spans="3:38" s="315" customFormat="1" hidden="1" x14ac:dyDescent="0.3">
      <c r="C65" s="338"/>
      <c r="D65" s="98"/>
      <c r="E65" s="688" t="s">
        <v>456</v>
      </c>
      <c r="F65" s="689"/>
      <c r="G65" s="690"/>
      <c r="H65" s="697" t="s">
        <v>433</v>
      </c>
      <c r="I65" s="698"/>
      <c r="J65" s="124"/>
      <c r="K65" s="496"/>
      <c r="L65" s="145"/>
      <c r="M65" s="240">
        <v>29150</v>
      </c>
      <c r="N65" s="147"/>
      <c r="O65" s="477"/>
      <c r="P65" s="138"/>
      <c r="Q65" s="338" t="s">
        <v>508</v>
      </c>
      <c r="R65" s="343"/>
      <c r="S65" s="343"/>
      <c r="T65" s="343"/>
      <c r="U65" s="319"/>
      <c r="V65" s="320"/>
      <c r="W65" s="321"/>
      <c r="X65" s="322"/>
      <c r="Y65" s="322"/>
      <c r="Z65" s="323"/>
      <c r="AA65" s="324"/>
      <c r="AB65" s="324"/>
      <c r="AC65" s="324"/>
      <c r="AD65" s="324"/>
      <c r="AG65" s="325"/>
      <c r="AH65" s="326"/>
      <c r="AI65" s="325"/>
      <c r="AJ65" s="325"/>
      <c r="AK65" s="325"/>
      <c r="AL65" s="324"/>
    </row>
    <row r="66" spans="3:38" s="315" customFormat="1" hidden="1" x14ac:dyDescent="0.3">
      <c r="C66" s="338"/>
      <c r="D66" s="98"/>
      <c r="E66" s="688" t="s">
        <v>448</v>
      </c>
      <c r="F66" s="689"/>
      <c r="G66" s="690"/>
      <c r="H66" s="697" t="s">
        <v>425</v>
      </c>
      <c r="I66" s="698"/>
      <c r="J66" s="124"/>
      <c r="K66" s="496"/>
      <c r="L66" s="145"/>
      <c r="M66" s="240">
        <v>31250</v>
      </c>
      <c r="N66" s="147"/>
      <c r="O66" s="477">
        <v>34</v>
      </c>
      <c r="P66" s="138"/>
      <c r="Q66" s="338" t="s">
        <v>508</v>
      </c>
      <c r="R66" s="343"/>
      <c r="S66" s="343"/>
      <c r="T66" s="343"/>
      <c r="U66" s="319"/>
      <c r="V66" s="320"/>
      <c r="W66" s="321"/>
      <c r="X66" s="322"/>
      <c r="Y66" s="322"/>
      <c r="Z66" s="323"/>
      <c r="AA66" s="324"/>
      <c r="AB66" s="324"/>
      <c r="AC66" s="324"/>
      <c r="AD66" s="324"/>
      <c r="AG66" s="325"/>
      <c r="AH66" s="326"/>
      <c r="AI66" s="325"/>
      <c r="AJ66" s="325"/>
      <c r="AK66" s="325"/>
      <c r="AL66" s="324"/>
    </row>
    <row r="67" spans="3:38" s="315" customFormat="1" hidden="1" x14ac:dyDescent="0.3">
      <c r="C67" s="338"/>
      <c r="D67" s="98"/>
      <c r="E67" s="688" t="s">
        <v>455</v>
      </c>
      <c r="F67" s="689"/>
      <c r="G67" s="690"/>
      <c r="H67" s="697" t="s">
        <v>418</v>
      </c>
      <c r="I67" s="698"/>
      <c r="J67" s="124"/>
      <c r="K67" s="496"/>
      <c r="L67" s="145"/>
      <c r="M67" s="240">
        <v>32000</v>
      </c>
      <c r="N67" s="147"/>
      <c r="O67" s="477"/>
      <c r="P67" s="138"/>
      <c r="Q67" s="338" t="s">
        <v>508</v>
      </c>
      <c r="R67" s="343"/>
      <c r="S67" s="343"/>
      <c r="T67" s="343"/>
      <c r="U67" s="319"/>
      <c r="V67" s="320"/>
      <c r="W67" s="321"/>
      <c r="X67" s="322"/>
      <c r="Y67" s="322"/>
      <c r="Z67" s="323"/>
      <c r="AA67" s="324"/>
      <c r="AB67" s="324"/>
      <c r="AC67" s="324"/>
      <c r="AD67" s="324"/>
      <c r="AG67" s="325"/>
      <c r="AH67" s="326"/>
      <c r="AI67" s="325"/>
      <c r="AJ67" s="325"/>
      <c r="AK67" s="325"/>
      <c r="AL67" s="324"/>
    </row>
    <row r="68" spans="3:38" s="315" customFormat="1" hidden="1" x14ac:dyDescent="0.3">
      <c r="C68" s="338"/>
      <c r="D68" s="98"/>
      <c r="E68" s="688" t="s">
        <v>447</v>
      </c>
      <c r="F68" s="689"/>
      <c r="G68" s="690"/>
      <c r="H68" s="697" t="s">
        <v>435</v>
      </c>
      <c r="I68" s="698"/>
      <c r="J68" s="124"/>
      <c r="K68" s="496"/>
      <c r="L68" s="145"/>
      <c r="M68" s="240">
        <v>32600</v>
      </c>
      <c r="N68" s="147"/>
      <c r="O68" s="477">
        <v>34</v>
      </c>
      <c r="P68" s="138"/>
      <c r="Q68" s="338" t="s">
        <v>508</v>
      </c>
      <c r="R68" s="343"/>
      <c r="S68" s="343"/>
      <c r="T68" s="343"/>
      <c r="U68" s="319"/>
      <c r="V68" s="320"/>
      <c r="W68" s="321"/>
      <c r="X68" s="322"/>
      <c r="Y68" s="322"/>
      <c r="Z68" s="323"/>
      <c r="AA68" s="324"/>
      <c r="AB68" s="324"/>
      <c r="AC68" s="324"/>
      <c r="AD68" s="324"/>
      <c r="AG68" s="325"/>
      <c r="AH68" s="326"/>
      <c r="AI68" s="325"/>
      <c r="AJ68" s="325"/>
      <c r="AK68" s="325"/>
      <c r="AL68" s="324"/>
    </row>
    <row r="69" spans="3:38" s="315" customFormat="1" hidden="1" x14ac:dyDescent="0.3">
      <c r="C69" s="338"/>
      <c r="D69" s="98"/>
      <c r="E69" s="688" t="s">
        <v>446</v>
      </c>
      <c r="F69" s="689"/>
      <c r="G69" s="690"/>
      <c r="H69" s="697" t="s">
        <v>436</v>
      </c>
      <c r="I69" s="698"/>
      <c r="J69" s="124"/>
      <c r="K69" s="496"/>
      <c r="L69" s="145"/>
      <c r="M69" s="240">
        <v>35250</v>
      </c>
      <c r="N69" s="147"/>
      <c r="O69" s="477">
        <v>68</v>
      </c>
      <c r="P69" s="138"/>
      <c r="Q69" s="338" t="s">
        <v>508</v>
      </c>
      <c r="R69" s="343"/>
      <c r="S69" s="343"/>
      <c r="T69" s="343"/>
      <c r="U69" s="319"/>
      <c r="V69" s="320"/>
      <c r="W69" s="321"/>
      <c r="X69" s="322"/>
      <c r="Y69" s="322"/>
      <c r="Z69" s="323"/>
      <c r="AA69" s="324"/>
      <c r="AB69" s="324"/>
      <c r="AC69" s="324"/>
      <c r="AD69" s="324"/>
      <c r="AG69" s="325"/>
      <c r="AH69" s="326"/>
      <c r="AI69" s="325"/>
      <c r="AJ69" s="325"/>
      <c r="AK69" s="325"/>
      <c r="AL69" s="324"/>
    </row>
    <row r="70" spans="3:38" s="315" customFormat="1" hidden="1" x14ac:dyDescent="0.3">
      <c r="C70" s="338"/>
      <c r="D70" s="98"/>
      <c r="E70" s="688" t="s">
        <v>392</v>
      </c>
      <c r="F70" s="689"/>
      <c r="G70" s="690"/>
      <c r="H70" s="697" t="s">
        <v>325</v>
      </c>
      <c r="I70" s="703"/>
      <c r="J70" s="124"/>
      <c r="K70" s="496"/>
      <c r="L70" s="145"/>
      <c r="M70" s="240">
        <v>23400</v>
      </c>
      <c r="N70" s="147"/>
      <c r="O70" s="494" t="s">
        <v>324</v>
      </c>
      <c r="P70" s="138"/>
      <c r="Q70" s="381" t="s">
        <v>326</v>
      </c>
      <c r="R70" s="343"/>
      <c r="S70" s="343"/>
      <c r="T70" s="343"/>
      <c r="U70" s="319"/>
      <c r="V70" s="320"/>
      <c r="W70" s="321"/>
      <c r="X70" s="322"/>
      <c r="Y70" s="322"/>
      <c r="Z70" s="323"/>
      <c r="AA70" s="324"/>
      <c r="AB70" s="324"/>
      <c r="AC70" s="324"/>
      <c r="AD70" s="324"/>
      <c r="AG70" s="325"/>
      <c r="AH70" s="326"/>
      <c r="AI70" s="325"/>
      <c r="AJ70" s="325"/>
      <c r="AK70" s="325"/>
      <c r="AL70" s="324"/>
    </row>
    <row r="71" spans="3:38" s="315" customFormat="1" hidden="1" x14ac:dyDescent="0.3">
      <c r="C71" s="338"/>
      <c r="D71" s="98"/>
      <c r="E71" s="688" t="s">
        <v>408</v>
      </c>
      <c r="F71" s="689"/>
      <c r="G71" s="690"/>
      <c r="H71" s="697" t="s">
        <v>327</v>
      </c>
      <c r="I71" s="698"/>
      <c r="J71" s="124"/>
      <c r="K71" s="496"/>
      <c r="L71" s="145"/>
      <c r="M71" s="240">
        <v>23200</v>
      </c>
      <c r="N71" s="147"/>
      <c r="O71" s="494" t="s">
        <v>49</v>
      </c>
      <c r="P71" s="138"/>
      <c r="Q71" s="381" t="s">
        <v>326</v>
      </c>
      <c r="R71" s="343"/>
      <c r="S71" s="343"/>
      <c r="T71" s="343"/>
      <c r="U71" s="319"/>
      <c r="V71" s="320"/>
      <c r="W71" s="321"/>
      <c r="X71" s="322"/>
      <c r="Y71" s="322"/>
      <c r="Z71" s="323"/>
      <c r="AA71" s="324"/>
      <c r="AB71" s="324"/>
      <c r="AC71" s="324"/>
      <c r="AD71" s="324"/>
      <c r="AG71" s="325"/>
      <c r="AH71" s="326"/>
      <c r="AI71" s="325"/>
      <c r="AJ71" s="325"/>
      <c r="AK71" s="325"/>
      <c r="AL71" s="324"/>
    </row>
    <row r="72" spans="3:38" s="315" customFormat="1" hidden="1" x14ac:dyDescent="0.3">
      <c r="C72" s="338"/>
      <c r="D72" s="98"/>
      <c r="E72" s="688" t="s">
        <v>323</v>
      </c>
      <c r="F72" s="689"/>
      <c r="G72" s="690"/>
      <c r="H72" s="697" t="s">
        <v>334</v>
      </c>
      <c r="I72" s="698"/>
      <c r="J72" s="124"/>
      <c r="K72" s="496"/>
      <c r="L72" s="145"/>
      <c r="M72" s="240">
        <v>22700</v>
      </c>
      <c r="N72" s="147"/>
      <c r="O72" s="494" t="s">
        <v>308</v>
      </c>
      <c r="P72" s="138"/>
      <c r="Q72" s="381" t="s">
        <v>335</v>
      </c>
      <c r="R72" s="343"/>
      <c r="S72" s="343"/>
      <c r="T72" s="343"/>
      <c r="U72" s="319"/>
      <c r="V72" s="320"/>
      <c r="W72" s="321"/>
      <c r="X72" s="322"/>
      <c r="Y72" s="322"/>
      <c r="Z72" s="323"/>
      <c r="AA72" s="324"/>
      <c r="AB72" s="324"/>
      <c r="AC72" s="324"/>
      <c r="AD72" s="324"/>
      <c r="AG72" s="325"/>
      <c r="AH72" s="326"/>
      <c r="AI72" s="325"/>
      <c r="AJ72" s="325"/>
      <c r="AK72" s="325"/>
      <c r="AL72" s="324"/>
    </row>
    <row r="73" spans="3:38" s="315" customFormat="1" hidden="1" x14ac:dyDescent="0.3">
      <c r="C73" s="338"/>
      <c r="D73" s="98"/>
      <c r="E73" s="688" t="s">
        <v>323</v>
      </c>
      <c r="F73" s="689"/>
      <c r="G73" s="690"/>
      <c r="H73" s="697" t="s">
        <v>338</v>
      </c>
      <c r="I73" s="698"/>
      <c r="J73" s="124"/>
      <c r="K73" s="496"/>
      <c r="L73" s="145"/>
      <c r="M73" s="240">
        <v>23100</v>
      </c>
      <c r="N73" s="147"/>
      <c r="O73" s="494" t="s">
        <v>308</v>
      </c>
      <c r="P73" s="138"/>
      <c r="Q73" s="381" t="s">
        <v>335</v>
      </c>
      <c r="R73" s="343"/>
      <c r="S73" s="343"/>
      <c r="T73" s="343"/>
      <c r="U73" s="319"/>
      <c r="V73" s="320"/>
      <c r="W73" s="321"/>
      <c r="X73" s="322"/>
      <c r="Y73" s="322"/>
      <c r="Z73" s="323"/>
      <c r="AA73" s="324"/>
      <c r="AB73" s="324"/>
      <c r="AC73" s="324"/>
      <c r="AD73" s="324"/>
      <c r="AG73" s="325"/>
      <c r="AH73" s="326"/>
      <c r="AI73" s="325"/>
      <c r="AJ73" s="325"/>
      <c r="AK73" s="325"/>
      <c r="AL73" s="324"/>
    </row>
    <row r="74" spans="3:38" s="315" customFormat="1" hidden="1" x14ac:dyDescent="0.3">
      <c r="C74" s="338"/>
      <c r="D74" s="98"/>
      <c r="E74" s="688" t="s">
        <v>323</v>
      </c>
      <c r="F74" s="689"/>
      <c r="G74" s="690"/>
      <c r="H74" s="697" t="s">
        <v>341</v>
      </c>
      <c r="I74" s="698"/>
      <c r="J74" s="124"/>
      <c r="K74" s="496"/>
      <c r="L74" s="145"/>
      <c r="M74" s="240">
        <v>23150</v>
      </c>
      <c r="N74" s="147"/>
      <c r="O74" s="494" t="s">
        <v>308</v>
      </c>
      <c r="P74" s="138"/>
      <c r="Q74" s="381" t="s">
        <v>335</v>
      </c>
      <c r="R74" s="343"/>
      <c r="S74" s="343"/>
      <c r="T74" s="343"/>
      <c r="U74" s="319"/>
      <c r="V74" s="320"/>
      <c r="W74" s="321"/>
      <c r="X74" s="322"/>
      <c r="Y74" s="322"/>
      <c r="Z74" s="323"/>
      <c r="AA74" s="324"/>
      <c r="AB74" s="324"/>
      <c r="AC74" s="324"/>
      <c r="AD74" s="324"/>
      <c r="AG74" s="325"/>
      <c r="AH74" s="326"/>
      <c r="AI74" s="325"/>
      <c r="AJ74" s="325"/>
      <c r="AK74" s="325"/>
      <c r="AL74" s="324"/>
    </row>
    <row r="75" spans="3:38" s="315" customFormat="1" hidden="1" x14ac:dyDescent="0.3">
      <c r="C75" s="338"/>
      <c r="D75" s="98"/>
      <c r="E75" s="688" t="s">
        <v>323</v>
      </c>
      <c r="F75" s="689"/>
      <c r="G75" s="690"/>
      <c r="H75" s="697" t="s">
        <v>344</v>
      </c>
      <c r="I75" s="698"/>
      <c r="J75" s="124"/>
      <c r="K75" s="496"/>
      <c r="L75" s="145"/>
      <c r="M75" s="240">
        <v>23150</v>
      </c>
      <c r="N75" s="147"/>
      <c r="O75" s="494" t="s">
        <v>308</v>
      </c>
      <c r="P75" s="138"/>
      <c r="Q75" s="381" t="s">
        <v>335</v>
      </c>
      <c r="R75" s="343"/>
      <c r="S75" s="343"/>
      <c r="T75" s="343"/>
      <c r="U75" s="319"/>
      <c r="V75" s="320"/>
      <c r="W75" s="321"/>
      <c r="X75" s="322"/>
      <c r="Y75" s="322"/>
      <c r="Z75" s="323"/>
      <c r="AA75" s="324"/>
      <c r="AB75" s="324"/>
      <c r="AC75" s="324"/>
      <c r="AD75" s="324"/>
      <c r="AG75" s="325"/>
      <c r="AH75" s="326"/>
      <c r="AI75" s="325"/>
      <c r="AJ75" s="325"/>
      <c r="AK75" s="325"/>
      <c r="AL75" s="324"/>
    </row>
    <row r="76" spans="3:38" s="315" customFormat="1" hidden="1" x14ac:dyDescent="0.3">
      <c r="C76" s="338"/>
      <c r="D76" s="98"/>
      <c r="E76" s="688" t="s">
        <v>14</v>
      </c>
      <c r="F76" s="689"/>
      <c r="G76" s="690"/>
      <c r="H76" s="650" t="s">
        <v>336</v>
      </c>
      <c r="I76" s="651"/>
      <c r="J76" s="124"/>
      <c r="K76" s="496"/>
      <c r="L76" s="145"/>
      <c r="M76" s="240">
        <v>24750</v>
      </c>
      <c r="N76" s="147"/>
      <c r="O76" s="494" t="s">
        <v>49</v>
      </c>
      <c r="P76" s="138"/>
      <c r="Q76" s="381" t="s">
        <v>326</v>
      </c>
      <c r="R76" s="164"/>
      <c r="S76" s="343"/>
      <c r="T76" s="343"/>
      <c r="U76" s="319"/>
      <c r="V76" s="320"/>
      <c r="W76" s="321"/>
      <c r="X76" s="322"/>
      <c r="Y76" s="322"/>
      <c r="Z76" s="323"/>
      <c r="AA76" s="324"/>
      <c r="AB76" s="324"/>
      <c r="AC76" s="324"/>
      <c r="AD76" s="324"/>
      <c r="AG76" s="325"/>
      <c r="AH76" s="326"/>
      <c r="AI76" s="325"/>
      <c r="AJ76" s="325"/>
      <c r="AK76" s="325"/>
      <c r="AL76" s="324"/>
    </row>
    <row r="77" spans="3:38" s="315" customFormat="1" hidden="1" x14ac:dyDescent="0.3">
      <c r="C77" s="338"/>
      <c r="D77" s="98"/>
      <c r="E77" s="688" t="s">
        <v>406</v>
      </c>
      <c r="F77" s="689"/>
      <c r="G77" s="690"/>
      <c r="H77" s="650" t="s">
        <v>337</v>
      </c>
      <c r="I77" s="651"/>
      <c r="J77" s="124"/>
      <c r="K77" s="496"/>
      <c r="L77" s="145"/>
      <c r="M77" s="240">
        <v>25000</v>
      </c>
      <c r="N77" s="147"/>
      <c r="O77" s="494" t="s">
        <v>49</v>
      </c>
      <c r="P77" s="138"/>
      <c r="Q77" s="381" t="s">
        <v>326</v>
      </c>
      <c r="R77" s="164"/>
      <c r="S77" s="343"/>
      <c r="T77" s="343"/>
      <c r="U77" s="319"/>
      <c r="V77" s="320"/>
      <c r="W77" s="321"/>
      <c r="X77" s="322"/>
      <c r="Y77" s="322"/>
      <c r="Z77" s="323"/>
      <c r="AA77" s="324"/>
      <c r="AB77" s="324"/>
      <c r="AC77" s="324"/>
      <c r="AD77" s="324"/>
      <c r="AG77" s="325"/>
      <c r="AH77" s="326"/>
      <c r="AI77" s="325"/>
      <c r="AJ77" s="325"/>
      <c r="AK77" s="325"/>
      <c r="AL77" s="324"/>
    </row>
    <row r="78" spans="3:38" s="315" customFormat="1" hidden="1" x14ac:dyDescent="0.3">
      <c r="C78" s="338"/>
      <c r="D78" s="98"/>
      <c r="E78" s="688" t="s">
        <v>320</v>
      </c>
      <c r="F78" s="689"/>
      <c r="G78" s="690"/>
      <c r="H78" s="650" t="s">
        <v>321</v>
      </c>
      <c r="I78" s="651"/>
      <c r="J78" s="124"/>
      <c r="K78" s="496"/>
      <c r="L78" s="145"/>
      <c r="M78" s="240">
        <v>23600</v>
      </c>
      <c r="N78" s="147"/>
      <c r="O78" s="494" t="s">
        <v>308</v>
      </c>
      <c r="P78" s="138"/>
      <c r="Q78" s="379" t="s">
        <v>359</v>
      </c>
      <c r="R78" s="164"/>
      <c r="S78" s="343"/>
      <c r="T78" s="343"/>
      <c r="U78" s="319"/>
      <c r="V78" s="320"/>
      <c r="W78" s="321"/>
      <c r="X78" s="322"/>
      <c r="Y78" s="322"/>
      <c r="Z78" s="323"/>
      <c r="AA78" s="324"/>
      <c r="AB78" s="324"/>
      <c r="AC78" s="324"/>
      <c r="AD78" s="324"/>
      <c r="AG78" s="325"/>
      <c r="AH78" s="326"/>
      <c r="AI78" s="325"/>
      <c r="AJ78" s="325"/>
      <c r="AK78" s="325"/>
      <c r="AL78" s="324"/>
    </row>
    <row r="79" spans="3:38" s="315" customFormat="1" hidden="1" x14ac:dyDescent="0.3">
      <c r="C79" s="338"/>
      <c r="D79" s="98"/>
      <c r="E79" s="688" t="s">
        <v>360</v>
      </c>
      <c r="F79" s="689"/>
      <c r="G79" s="690"/>
      <c r="H79" s="697" t="s">
        <v>411</v>
      </c>
      <c r="I79" s="698"/>
      <c r="J79" s="124"/>
      <c r="K79" s="496"/>
      <c r="L79" s="145"/>
      <c r="M79" s="240">
        <v>42500</v>
      </c>
      <c r="N79" s="147"/>
      <c r="O79" s="494"/>
      <c r="P79" s="138"/>
      <c r="Q79" s="164"/>
      <c r="R79" s="164"/>
      <c r="S79" s="343"/>
      <c r="T79" s="343"/>
      <c r="U79" s="319"/>
      <c r="V79" s="320"/>
      <c r="W79" s="321"/>
      <c r="X79" s="322"/>
      <c r="Y79" s="322"/>
      <c r="Z79" s="323"/>
      <c r="AA79" s="324"/>
      <c r="AB79" s="324"/>
      <c r="AC79" s="324"/>
      <c r="AD79" s="324"/>
      <c r="AG79" s="325"/>
      <c r="AH79" s="326"/>
      <c r="AI79" s="325"/>
      <c r="AJ79" s="325"/>
      <c r="AK79" s="325"/>
      <c r="AL79" s="324"/>
    </row>
    <row r="80" spans="3:38" s="315" customFormat="1" hidden="1" x14ac:dyDescent="0.3">
      <c r="C80" s="338"/>
      <c r="D80" s="98"/>
      <c r="E80" s="688" t="s">
        <v>229</v>
      </c>
      <c r="F80" s="689"/>
      <c r="G80" s="690"/>
      <c r="H80" s="697" t="s">
        <v>412</v>
      </c>
      <c r="I80" s="698"/>
      <c r="J80" s="124"/>
      <c r="K80" s="496"/>
      <c r="L80" s="145"/>
      <c r="M80" s="240">
        <v>33500</v>
      </c>
      <c r="N80" s="497"/>
      <c r="O80" s="379" t="s">
        <v>413</v>
      </c>
      <c r="P80" s="138"/>
      <c r="Q80" s="164"/>
      <c r="R80" s="379" t="s">
        <v>343</v>
      </c>
      <c r="S80" s="343"/>
      <c r="T80" s="343"/>
      <c r="U80" s="319"/>
      <c r="V80" s="320"/>
      <c r="W80" s="321"/>
      <c r="X80" s="322"/>
      <c r="Y80" s="322"/>
      <c r="Z80" s="323"/>
      <c r="AA80" s="324"/>
      <c r="AB80" s="324"/>
      <c r="AC80" s="324"/>
      <c r="AD80" s="324"/>
      <c r="AG80" s="325"/>
      <c r="AH80" s="326"/>
      <c r="AI80" s="325"/>
      <c r="AJ80" s="325"/>
      <c r="AK80" s="325"/>
      <c r="AL80" s="324"/>
    </row>
    <row r="81" spans="3:38" s="315" customFormat="1" x14ac:dyDescent="0.3">
      <c r="C81" s="338"/>
      <c r="D81" s="259" t="s">
        <v>28</v>
      </c>
      <c r="E81" s="672" t="s">
        <v>60</v>
      </c>
      <c r="F81" s="673"/>
      <c r="G81" s="674"/>
      <c r="H81" s="643" t="s">
        <v>522</v>
      </c>
      <c r="I81" s="675"/>
      <c r="J81" s="124"/>
      <c r="K81" s="499"/>
      <c r="L81" s="145"/>
      <c r="M81" s="286">
        <f>12313+10036</f>
        <v>22349</v>
      </c>
      <c r="N81" s="497">
        <f>Z25/M81</f>
        <v>75.621824690142731</v>
      </c>
      <c r="O81" s="500" t="s">
        <v>529</v>
      </c>
      <c r="P81" s="138"/>
      <c r="Q81" s="319" t="s">
        <v>526</v>
      </c>
      <c r="R81" s="319" t="s">
        <v>527</v>
      </c>
      <c r="S81" s="319" t="s">
        <v>528</v>
      </c>
      <c r="T81" s="343"/>
      <c r="U81" s="319"/>
      <c r="V81" s="320"/>
      <c r="W81" s="321"/>
      <c r="X81" s="322"/>
      <c r="Y81" s="322"/>
      <c r="Z81" s="323"/>
      <c r="AA81" s="324"/>
      <c r="AB81" s="324"/>
      <c r="AC81" s="324"/>
      <c r="AD81" s="324"/>
      <c r="AG81" s="325"/>
      <c r="AH81" s="326"/>
      <c r="AI81" s="325"/>
      <c r="AJ81" s="325"/>
      <c r="AK81" s="325"/>
      <c r="AL81" s="324"/>
    </row>
    <row r="82" spans="3:38" s="315" customFormat="1" x14ac:dyDescent="0.3">
      <c r="C82" s="338"/>
      <c r="D82" s="259" t="s">
        <v>21</v>
      </c>
      <c r="E82" s="672" t="s">
        <v>60</v>
      </c>
      <c r="F82" s="673"/>
      <c r="G82" s="674"/>
      <c r="H82" s="643" t="s">
        <v>522</v>
      </c>
      <c r="I82" s="675"/>
      <c r="J82" s="124"/>
      <c r="K82" s="499"/>
      <c r="L82" s="145"/>
      <c r="M82" s="286">
        <f>12313+10036</f>
        <v>22349</v>
      </c>
      <c r="N82" s="497">
        <f>U28/M82</f>
        <v>135.68784867331871</v>
      </c>
      <c r="O82" s="500" t="s">
        <v>509</v>
      </c>
      <c r="P82" s="138"/>
      <c r="Q82" s="319" t="s">
        <v>523</v>
      </c>
      <c r="R82" s="319" t="s">
        <v>524</v>
      </c>
      <c r="S82" s="319" t="s">
        <v>525</v>
      </c>
      <c r="T82" s="343"/>
      <c r="U82" s="319"/>
      <c r="V82" s="320"/>
      <c r="W82" s="321"/>
      <c r="X82" s="322"/>
      <c r="Y82" s="322"/>
      <c r="Z82" s="323"/>
      <c r="AA82" s="324"/>
      <c r="AB82" s="324"/>
      <c r="AC82" s="324"/>
      <c r="AD82" s="324"/>
      <c r="AG82" s="325"/>
      <c r="AH82" s="326"/>
      <c r="AI82" s="325"/>
      <c r="AJ82" s="325"/>
      <c r="AK82" s="325"/>
      <c r="AL82" s="324"/>
    </row>
    <row r="83" spans="3:38" s="315" customFormat="1" hidden="1" x14ac:dyDescent="0.3">
      <c r="C83" s="338"/>
      <c r="D83" s="211" t="s">
        <v>28</v>
      </c>
      <c r="E83" s="688" t="s">
        <v>60</v>
      </c>
      <c r="F83" s="689"/>
      <c r="G83" s="690"/>
      <c r="H83" s="650" t="s">
        <v>496</v>
      </c>
      <c r="I83" s="651"/>
      <c r="J83" s="124"/>
      <c r="K83" s="496"/>
      <c r="L83" s="145"/>
      <c r="M83" s="240">
        <f>24313+10036</f>
        <v>34349</v>
      </c>
      <c r="N83" s="147"/>
      <c r="O83" s="494" t="s">
        <v>510</v>
      </c>
      <c r="P83" s="138"/>
      <c r="Q83" s="307" t="s">
        <v>69</v>
      </c>
      <c r="R83" s="307" t="s">
        <v>520</v>
      </c>
      <c r="S83" s="307" t="s">
        <v>538</v>
      </c>
      <c r="T83" s="343"/>
      <c r="U83" s="319"/>
      <c r="V83" s="320"/>
      <c r="W83" s="321"/>
      <c r="X83" s="322"/>
      <c r="Y83" s="322"/>
      <c r="Z83" s="323"/>
      <c r="AA83" s="324"/>
      <c r="AB83" s="324"/>
      <c r="AC83" s="324"/>
      <c r="AD83" s="324"/>
      <c r="AG83" s="325"/>
      <c r="AH83" s="326"/>
      <c r="AI83" s="325"/>
      <c r="AJ83" s="325"/>
      <c r="AK83" s="325"/>
      <c r="AL83" s="324"/>
    </row>
    <row r="84" spans="3:38" s="315" customFormat="1" hidden="1" x14ac:dyDescent="0.3">
      <c r="C84" s="338"/>
      <c r="D84" s="211" t="s">
        <v>21</v>
      </c>
      <c r="E84" s="688" t="s">
        <v>60</v>
      </c>
      <c r="F84" s="689"/>
      <c r="G84" s="690"/>
      <c r="H84" s="650" t="s">
        <v>496</v>
      </c>
      <c r="I84" s="651"/>
      <c r="J84" s="124"/>
      <c r="K84" s="496"/>
      <c r="L84" s="145"/>
      <c r="M84" s="240">
        <f>24313+10036</f>
        <v>34349</v>
      </c>
      <c r="N84" s="147"/>
      <c r="O84" s="494" t="s">
        <v>509</v>
      </c>
      <c r="P84" s="138"/>
      <c r="Q84" s="307" t="s">
        <v>514</v>
      </c>
      <c r="R84" s="307" t="s">
        <v>534</v>
      </c>
      <c r="S84" s="307" t="s">
        <v>543</v>
      </c>
      <c r="T84" s="343"/>
      <c r="U84" s="319"/>
      <c r="V84" s="320"/>
      <c r="W84" s="321"/>
      <c r="X84" s="322"/>
      <c r="Y84" s="322"/>
      <c r="Z84" s="323"/>
      <c r="AA84" s="324"/>
      <c r="AB84" s="324"/>
      <c r="AC84" s="324"/>
      <c r="AD84" s="324"/>
      <c r="AG84" s="325"/>
      <c r="AH84" s="326"/>
      <c r="AI84" s="325"/>
      <c r="AJ84" s="325"/>
      <c r="AK84" s="325"/>
      <c r="AL84" s="324"/>
    </row>
    <row r="85" spans="3:38" s="315" customFormat="1" x14ac:dyDescent="0.3">
      <c r="C85" s="338"/>
      <c r="D85" s="211"/>
      <c r="E85" s="688" t="s">
        <v>323</v>
      </c>
      <c r="F85" s="689"/>
      <c r="G85" s="690"/>
      <c r="H85" s="697" t="s">
        <v>541</v>
      </c>
      <c r="I85" s="698"/>
      <c r="J85" s="124"/>
      <c r="K85" s="506"/>
      <c r="L85" s="145"/>
      <c r="M85" s="240">
        <v>22700</v>
      </c>
      <c r="N85" s="147">
        <v>108</v>
      </c>
      <c r="O85" s="507" t="s">
        <v>308</v>
      </c>
      <c r="P85" s="138"/>
      <c r="Q85" s="381" t="s">
        <v>439</v>
      </c>
      <c r="R85" s="307"/>
      <c r="S85" s="343"/>
      <c r="T85" s="343"/>
      <c r="U85" s="319"/>
      <c r="V85" s="320"/>
      <c r="W85" s="321"/>
      <c r="X85" s="322"/>
      <c r="Y85" s="322"/>
      <c r="Z85" s="323"/>
      <c r="AA85" s="324"/>
      <c r="AB85" s="324"/>
      <c r="AC85" s="324"/>
      <c r="AD85" s="324"/>
      <c r="AG85" s="325"/>
      <c r="AH85" s="326"/>
      <c r="AI85" s="325"/>
      <c r="AJ85" s="325"/>
      <c r="AK85" s="325"/>
      <c r="AL85" s="324"/>
    </row>
    <row r="86" spans="3:38" s="315" customFormat="1" x14ac:dyDescent="0.3">
      <c r="C86" s="338"/>
      <c r="D86" s="211"/>
      <c r="E86" s="688" t="s">
        <v>323</v>
      </c>
      <c r="F86" s="689"/>
      <c r="G86" s="690"/>
      <c r="H86" s="697" t="s">
        <v>539</v>
      </c>
      <c r="I86" s="698"/>
      <c r="J86" s="124"/>
      <c r="K86" s="504"/>
      <c r="L86" s="145"/>
      <c r="M86" s="240">
        <v>22550</v>
      </c>
      <c r="N86" s="342">
        <v>36</v>
      </c>
      <c r="O86" s="505" t="s">
        <v>49</v>
      </c>
      <c r="P86" s="138"/>
      <c r="Q86" s="381" t="s">
        <v>326</v>
      </c>
      <c r="R86" s="307"/>
      <c r="S86" s="343"/>
      <c r="T86" s="343"/>
      <c r="U86" s="319"/>
      <c r="V86" s="320"/>
      <c r="W86" s="321"/>
      <c r="X86" s="322"/>
      <c r="Y86" s="322"/>
      <c r="Z86" s="323"/>
      <c r="AA86" s="324"/>
      <c r="AB86" s="324"/>
      <c r="AC86" s="324"/>
      <c r="AD86" s="324"/>
      <c r="AG86" s="325"/>
      <c r="AH86" s="326"/>
      <c r="AI86" s="325"/>
      <c r="AJ86" s="325"/>
      <c r="AK86" s="325"/>
      <c r="AL86" s="324"/>
    </row>
    <row r="87" spans="3:38" s="315" customFormat="1" ht="15" thickBot="1" x14ac:dyDescent="0.35">
      <c r="C87" s="338"/>
      <c r="D87" s="211"/>
      <c r="E87" s="688" t="s">
        <v>323</v>
      </c>
      <c r="F87" s="689"/>
      <c r="G87" s="690"/>
      <c r="H87" s="697" t="s">
        <v>531</v>
      </c>
      <c r="I87" s="698"/>
      <c r="J87" s="124"/>
      <c r="K87" s="501"/>
      <c r="L87" s="145"/>
      <c r="M87" s="240">
        <v>21000</v>
      </c>
      <c r="N87" s="342">
        <v>36</v>
      </c>
      <c r="O87" s="502" t="s">
        <v>49</v>
      </c>
      <c r="P87" s="138"/>
      <c r="Q87" s="381" t="s">
        <v>326</v>
      </c>
      <c r="R87" s="307"/>
      <c r="S87" s="319"/>
      <c r="T87" s="343"/>
      <c r="U87" s="319"/>
      <c r="V87" s="320"/>
      <c r="W87" s="321"/>
      <c r="X87" s="322"/>
      <c r="Y87" s="322"/>
      <c r="Z87" s="323"/>
      <c r="AA87" s="324"/>
      <c r="AB87" s="324"/>
      <c r="AC87" s="324"/>
      <c r="AD87" s="324"/>
      <c r="AG87" s="325"/>
      <c r="AH87" s="326"/>
      <c r="AI87" s="325"/>
      <c r="AJ87" s="325"/>
      <c r="AK87" s="325"/>
      <c r="AL87" s="324"/>
    </row>
    <row r="88" spans="3:38" s="315" customFormat="1" hidden="1" x14ac:dyDescent="0.3">
      <c r="C88" s="338"/>
      <c r="D88" s="211"/>
      <c r="E88" s="691"/>
      <c r="F88" s="692"/>
      <c r="G88" s="693"/>
      <c r="H88" s="650"/>
      <c r="I88" s="651"/>
      <c r="J88" s="124"/>
      <c r="K88" s="490"/>
      <c r="L88" s="145"/>
      <c r="M88" s="240"/>
      <c r="N88" s="342"/>
      <c r="O88" s="379"/>
      <c r="P88" s="138"/>
      <c r="Q88" s="307"/>
      <c r="R88" s="307"/>
      <c r="S88" s="307"/>
      <c r="T88" s="343"/>
      <c r="U88" s="319"/>
      <c r="V88" s="320"/>
      <c r="W88" s="321"/>
      <c r="X88" s="322"/>
      <c r="Y88" s="322"/>
      <c r="Z88" s="323"/>
      <c r="AA88" s="324"/>
      <c r="AB88" s="324"/>
      <c r="AC88" s="324"/>
      <c r="AD88" s="324"/>
      <c r="AG88" s="325"/>
      <c r="AH88" s="326"/>
      <c r="AI88" s="325"/>
      <c r="AJ88" s="325"/>
      <c r="AK88" s="325"/>
      <c r="AL88" s="324"/>
    </row>
    <row r="89" spans="3:38" s="315" customFormat="1" hidden="1" x14ac:dyDescent="0.3">
      <c r="C89" s="338"/>
      <c r="D89" s="211"/>
      <c r="E89" s="691"/>
      <c r="F89" s="692"/>
      <c r="G89" s="693"/>
      <c r="H89" s="552"/>
      <c r="I89" s="694"/>
      <c r="J89" s="124"/>
      <c r="K89" s="490"/>
      <c r="L89" s="145"/>
      <c r="M89" s="240"/>
      <c r="N89" s="342"/>
      <c r="O89" s="379"/>
      <c r="P89" s="138"/>
      <c r="Q89" s="307"/>
      <c r="R89" s="307"/>
      <c r="S89" s="307"/>
      <c r="T89" s="343"/>
      <c r="U89" s="319"/>
      <c r="V89" s="320"/>
      <c r="W89" s="321"/>
      <c r="X89" s="322"/>
      <c r="Y89" s="322"/>
      <c r="Z89" s="323"/>
      <c r="AA89" s="324"/>
      <c r="AB89" s="324"/>
      <c r="AC89" s="324"/>
      <c r="AD89" s="324"/>
      <c r="AG89" s="325"/>
      <c r="AH89" s="326"/>
      <c r="AI89" s="325"/>
      <c r="AJ89" s="325"/>
      <c r="AK89" s="325"/>
      <c r="AL89" s="324"/>
    </row>
    <row r="90" spans="3:38" s="315" customFormat="1" hidden="1" x14ac:dyDescent="0.3">
      <c r="C90" s="338"/>
      <c r="D90" s="211"/>
      <c r="E90" s="691"/>
      <c r="F90" s="692"/>
      <c r="G90" s="693"/>
      <c r="H90" s="552"/>
      <c r="I90" s="694"/>
      <c r="J90" s="124"/>
      <c r="K90" s="490"/>
      <c r="L90" s="145"/>
      <c r="M90" s="240"/>
      <c r="N90" s="342"/>
      <c r="O90" s="379"/>
      <c r="P90" s="138"/>
      <c r="Q90" s="307"/>
      <c r="R90" s="307"/>
      <c r="S90" s="307"/>
      <c r="T90" s="343"/>
      <c r="U90" s="319"/>
      <c r="V90" s="320"/>
      <c r="W90" s="321"/>
      <c r="X90" s="322"/>
      <c r="Y90" s="322"/>
      <c r="Z90" s="323"/>
      <c r="AA90" s="324"/>
      <c r="AB90" s="324"/>
      <c r="AC90" s="324"/>
      <c r="AD90" s="324"/>
      <c r="AG90" s="325"/>
      <c r="AH90" s="326"/>
      <c r="AI90" s="325"/>
      <c r="AJ90" s="325"/>
      <c r="AK90" s="325"/>
      <c r="AL90" s="324"/>
    </row>
    <row r="91" spans="3:38" s="315" customFormat="1" hidden="1" x14ac:dyDescent="0.3">
      <c r="C91" s="338"/>
      <c r="D91" s="211"/>
      <c r="E91" s="691"/>
      <c r="F91" s="692"/>
      <c r="G91" s="693"/>
      <c r="H91" s="552"/>
      <c r="I91" s="694"/>
      <c r="J91" s="124"/>
      <c r="K91" s="490"/>
      <c r="L91" s="145"/>
      <c r="M91" s="240"/>
      <c r="N91" s="342"/>
      <c r="O91" s="494"/>
      <c r="P91" s="138"/>
      <c r="Q91" s="307"/>
      <c r="R91" s="307"/>
      <c r="S91" s="307"/>
      <c r="T91" s="343"/>
      <c r="U91" s="319"/>
      <c r="V91" s="320"/>
      <c r="W91" s="321"/>
      <c r="X91" s="322"/>
      <c r="Y91" s="322"/>
      <c r="Z91" s="323"/>
      <c r="AA91" s="324"/>
      <c r="AB91" s="324"/>
      <c r="AC91" s="324"/>
      <c r="AD91" s="324"/>
      <c r="AG91" s="325"/>
      <c r="AH91" s="326"/>
      <c r="AI91" s="325"/>
      <c r="AJ91" s="325"/>
      <c r="AK91" s="325"/>
      <c r="AL91" s="324"/>
    </row>
    <row r="92" spans="3:38" s="315" customFormat="1" ht="15" hidden="1" thickBot="1" x14ac:dyDescent="0.35">
      <c r="C92" s="338"/>
      <c r="D92" s="211"/>
      <c r="E92" s="691"/>
      <c r="F92" s="692"/>
      <c r="G92" s="693"/>
      <c r="H92" s="552"/>
      <c r="I92" s="694"/>
      <c r="J92" s="124"/>
      <c r="K92" s="490"/>
      <c r="L92" s="145"/>
      <c r="M92" s="240"/>
      <c r="N92" s="342"/>
      <c r="O92" s="494"/>
      <c r="P92" s="138"/>
      <c r="Q92" s="307"/>
      <c r="R92" s="307"/>
      <c r="S92" s="307"/>
      <c r="T92" s="343"/>
      <c r="U92" s="319"/>
      <c r="V92" s="320"/>
      <c r="W92" s="321"/>
      <c r="X92" s="322"/>
      <c r="Y92" s="322"/>
      <c r="Z92" s="323"/>
      <c r="AA92" s="324"/>
      <c r="AB92" s="324"/>
      <c r="AC92" s="324"/>
      <c r="AD92" s="324"/>
      <c r="AG92" s="325"/>
      <c r="AH92" s="326"/>
      <c r="AI92" s="325"/>
      <c r="AJ92" s="325"/>
      <c r="AK92" s="325"/>
      <c r="AL92" s="324"/>
    </row>
    <row r="93" spans="3:38" ht="13.95" customHeight="1" thickBot="1" x14ac:dyDescent="0.35">
      <c r="E93" s="634"/>
      <c r="F93" s="635"/>
      <c r="G93" s="636"/>
      <c r="H93" s="637"/>
      <c r="I93" s="638"/>
      <c r="J93" s="141"/>
      <c r="K93" s="141"/>
      <c r="L93" s="142"/>
      <c r="M93" s="424" t="s">
        <v>33</v>
      </c>
      <c r="N93" s="425">
        <f>SUBTOTAL(109,N44:N92)</f>
        <v>426.69363872417102</v>
      </c>
      <c r="O93" s="150"/>
      <c r="T93" s="181"/>
      <c r="U93" s="181"/>
      <c r="V93" s="177"/>
      <c r="W93" s="178"/>
      <c r="X93" s="178"/>
      <c r="Y93" s="178"/>
      <c r="Z93" s="180"/>
      <c r="AA93" s="90"/>
      <c r="AB93" s="90"/>
      <c r="AC93" s="21"/>
      <c r="AD93" s="21"/>
    </row>
    <row r="94" spans="3:38" ht="13.95" customHeight="1" x14ac:dyDescent="0.3">
      <c r="E94" s="359" t="s">
        <v>494</v>
      </c>
      <c r="F94" s="154"/>
      <c r="G94" s="154"/>
      <c r="H94" s="478"/>
      <c r="I94" s="479"/>
      <c r="J94" s="480"/>
      <c r="K94" s="480"/>
      <c r="L94" s="480"/>
      <c r="M94" s="481"/>
      <c r="N94" s="482"/>
      <c r="O94" s="483"/>
      <c r="T94" s="181"/>
      <c r="U94" s="181"/>
      <c r="V94" s="177"/>
      <c r="W94" s="178"/>
      <c r="X94" s="178"/>
      <c r="Y94" s="178"/>
      <c r="Z94" s="180"/>
      <c r="AA94" s="90"/>
      <c r="AB94" s="90"/>
      <c r="AC94" s="21"/>
      <c r="AD94" s="21"/>
    </row>
    <row r="95" spans="3:38" x14ac:dyDescent="0.3">
      <c r="E95" s="1" t="s">
        <v>116</v>
      </c>
      <c r="O95" s="139"/>
      <c r="V95" s="178"/>
      <c r="W95" s="178"/>
      <c r="X95" s="178"/>
      <c r="Y95" s="178"/>
      <c r="Z95" s="180"/>
      <c r="AA95" s="21"/>
      <c r="AB95" s="21"/>
      <c r="AC95" s="21"/>
      <c r="AD95" s="21"/>
    </row>
    <row r="96" spans="3:38" hidden="1" x14ac:dyDescent="0.3">
      <c r="E96" s="1" t="s">
        <v>57</v>
      </c>
      <c r="O96" s="1"/>
      <c r="P96" s="1"/>
      <c r="Q96" s="1"/>
      <c r="R96" s="224"/>
      <c r="V96" s="178"/>
      <c r="W96" s="178"/>
      <c r="X96" s="178"/>
      <c r="Y96" s="178"/>
      <c r="Z96" s="178"/>
      <c r="AA96" s="21"/>
      <c r="AB96" s="21"/>
      <c r="AC96" s="21"/>
      <c r="AD96" s="21"/>
    </row>
    <row r="97" spans="5:30" x14ac:dyDescent="0.3">
      <c r="E97" s="359" t="s">
        <v>379</v>
      </c>
      <c r="O97" s="1"/>
      <c r="P97" s="1"/>
      <c r="Q97" s="1"/>
      <c r="R97" s="224"/>
      <c r="V97" s="178"/>
      <c r="W97" s="178"/>
      <c r="X97" s="178"/>
      <c r="Y97" s="178"/>
      <c r="Z97" s="178"/>
      <c r="AA97" s="21"/>
      <c r="AB97" s="21"/>
      <c r="AC97" s="21"/>
      <c r="AD97" s="21"/>
    </row>
    <row r="98" spans="5:30" hidden="1" x14ac:dyDescent="0.3">
      <c r="E98" s="1" t="s">
        <v>288</v>
      </c>
      <c r="O98" s="1"/>
      <c r="P98" s="1"/>
      <c r="Q98" s="1"/>
      <c r="R98" s="224"/>
      <c r="V98" s="178"/>
      <c r="W98" s="178"/>
      <c r="X98" s="178"/>
      <c r="Y98" s="178"/>
      <c r="Z98" s="178"/>
      <c r="AA98" s="21"/>
      <c r="AB98" s="21"/>
      <c r="AC98" s="21"/>
      <c r="AD98" s="21"/>
    </row>
    <row r="99" spans="5:30" hidden="1" x14ac:dyDescent="0.3">
      <c r="E99" s="1" t="s">
        <v>287</v>
      </c>
    </row>
    <row r="100" spans="5:30" x14ac:dyDescent="0.3">
      <c r="E100" s="359" t="s">
        <v>339</v>
      </c>
    </row>
    <row r="101" spans="5:30" x14ac:dyDescent="0.3">
      <c r="E101" s="359" t="s">
        <v>290</v>
      </c>
    </row>
    <row r="102" spans="5:30" hidden="1" x14ac:dyDescent="0.3">
      <c r="E102" s="1" t="s">
        <v>289</v>
      </c>
      <c r="V102" s="175"/>
      <c r="W102" s="175"/>
      <c r="X102" s="175"/>
      <c r="Y102" s="175"/>
      <c r="Z102" s="175"/>
      <c r="AA102" s="21"/>
      <c r="AB102" s="21"/>
      <c r="AC102" s="21"/>
      <c r="AD102" s="21"/>
    </row>
    <row r="103" spans="5:30" x14ac:dyDescent="0.3">
      <c r="E103" s="359" t="s">
        <v>495</v>
      </c>
    </row>
    <row r="104" spans="5:30" x14ac:dyDescent="0.3">
      <c r="E104" s="1" t="s">
        <v>291</v>
      </c>
    </row>
    <row r="105" spans="5:30" x14ac:dyDescent="0.3">
      <c r="E105" s="1" t="s">
        <v>292</v>
      </c>
    </row>
  </sheetData>
  <mergeCells count="139">
    <mergeCell ref="E92:G92"/>
    <mergeCell ref="H92:I92"/>
    <mergeCell ref="E93:G93"/>
    <mergeCell ref="H93:I93"/>
    <mergeCell ref="E89:G89"/>
    <mergeCell ref="H89:I89"/>
    <mergeCell ref="E90:G90"/>
    <mergeCell ref="H90:I90"/>
    <mergeCell ref="E91:G91"/>
    <mergeCell ref="H91:I91"/>
    <mergeCell ref="E84:G84"/>
    <mergeCell ref="H84:I84"/>
    <mergeCell ref="E87:G87"/>
    <mergeCell ref="H87:I87"/>
    <mergeCell ref="E88:G88"/>
    <mergeCell ref="H88:I88"/>
    <mergeCell ref="E79:G79"/>
    <mergeCell ref="H79:I79"/>
    <mergeCell ref="E80:G80"/>
    <mergeCell ref="H80:I80"/>
    <mergeCell ref="E83:G83"/>
    <mergeCell ref="H83:I83"/>
    <mergeCell ref="H81:I81"/>
    <mergeCell ref="H82:I82"/>
    <mergeCell ref="E81:G81"/>
    <mergeCell ref="E82:G82"/>
    <mergeCell ref="E86:G86"/>
    <mergeCell ref="H86:I86"/>
    <mergeCell ref="E85:G85"/>
    <mergeCell ref="H85:I85"/>
    <mergeCell ref="E76:G76"/>
    <mergeCell ref="H76:I76"/>
    <mergeCell ref="E77:G77"/>
    <mergeCell ref="H77:I77"/>
    <mergeCell ref="E78:G78"/>
    <mergeCell ref="H78:I78"/>
    <mergeCell ref="E73:G73"/>
    <mergeCell ref="H73:I73"/>
    <mergeCell ref="E74:G74"/>
    <mergeCell ref="H74:I74"/>
    <mergeCell ref="E75:G75"/>
    <mergeCell ref="H75:I75"/>
    <mergeCell ref="E70:G70"/>
    <mergeCell ref="H70:I70"/>
    <mergeCell ref="E71:G71"/>
    <mergeCell ref="H71:I71"/>
    <mergeCell ref="E72:G72"/>
    <mergeCell ref="H72:I72"/>
    <mergeCell ref="E67:G67"/>
    <mergeCell ref="H67:I67"/>
    <mergeCell ref="E68:G68"/>
    <mergeCell ref="H68:I68"/>
    <mergeCell ref="E69:G69"/>
    <mergeCell ref="H69:I69"/>
    <mergeCell ref="E64:G64"/>
    <mergeCell ref="H64:I64"/>
    <mergeCell ref="E65:G65"/>
    <mergeCell ref="H65:I65"/>
    <mergeCell ref="E66:G66"/>
    <mergeCell ref="H66:I66"/>
    <mergeCell ref="E61:G61"/>
    <mergeCell ref="H61:I61"/>
    <mergeCell ref="E62:G62"/>
    <mergeCell ref="H62:I62"/>
    <mergeCell ref="E63:G63"/>
    <mergeCell ref="H63:I63"/>
    <mergeCell ref="E58:G58"/>
    <mergeCell ref="H58:I58"/>
    <mergeCell ref="E59:G59"/>
    <mergeCell ref="H59:I59"/>
    <mergeCell ref="E60:G60"/>
    <mergeCell ref="H60:I60"/>
    <mergeCell ref="E55:G55"/>
    <mergeCell ref="H55:I55"/>
    <mergeCell ref="E56:G56"/>
    <mergeCell ref="H56:I56"/>
    <mergeCell ref="E57:G57"/>
    <mergeCell ref="H57:I57"/>
    <mergeCell ref="E52:G52"/>
    <mergeCell ref="H52:I52"/>
    <mergeCell ref="E53:G53"/>
    <mergeCell ref="H53:I53"/>
    <mergeCell ref="E54:G54"/>
    <mergeCell ref="H54:I54"/>
    <mergeCell ref="E46:G46"/>
    <mergeCell ref="H46:I46"/>
    <mergeCell ref="E50:G50"/>
    <mergeCell ref="H50:I50"/>
    <mergeCell ref="E51:G51"/>
    <mergeCell ref="H51:I51"/>
    <mergeCell ref="E49:G49"/>
    <mergeCell ref="H49:I49"/>
    <mergeCell ref="E47:G47"/>
    <mergeCell ref="H47:I47"/>
    <mergeCell ref="H48:I48"/>
    <mergeCell ref="E48:G48"/>
    <mergeCell ref="E45:G45"/>
    <mergeCell ref="H45:I45"/>
    <mergeCell ref="AF3:AF4"/>
    <mergeCell ref="AG3:AG4"/>
    <mergeCell ref="T38:V38"/>
    <mergeCell ref="T39:V39"/>
    <mergeCell ref="T40:V40"/>
    <mergeCell ref="U41:Y41"/>
    <mergeCell ref="Z3:Z4"/>
    <mergeCell ref="AA3:AA4"/>
    <mergeCell ref="AB3:AB4"/>
    <mergeCell ref="AC3:AC4"/>
    <mergeCell ref="AD3:AD4"/>
    <mergeCell ref="AE3:AE4"/>
    <mergeCell ref="T3:T4"/>
    <mergeCell ref="U3:U4"/>
    <mergeCell ref="V3:V4"/>
    <mergeCell ref="W3:W4"/>
    <mergeCell ref="X3:X4"/>
    <mergeCell ref="O48:O50"/>
    <mergeCell ref="A1:A4"/>
    <mergeCell ref="B1:E1"/>
    <mergeCell ref="F1:I2"/>
    <mergeCell ref="J1:L3"/>
    <mergeCell ref="M1:O3"/>
    <mergeCell ref="P1:P4"/>
    <mergeCell ref="G3:I3"/>
    <mergeCell ref="Y3:Y4"/>
    <mergeCell ref="Q1:Q4"/>
    <mergeCell ref="R1:R4"/>
    <mergeCell ref="S1:S3"/>
    <mergeCell ref="T1:V2"/>
    <mergeCell ref="W1:AG2"/>
    <mergeCell ref="B2:C2"/>
    <mergeCell ref="D2:D3"/>
    <mergeCell ref="E2:E4"/>
    <mergeCell ref="B3:C3"/>
    <mergeCell ref="F3:F4"/>
    <mergeCell ref="E43:G43"/>
    <mergeCell ref="H43:I43"/>
    <mergeCell ref="O43:O44"/>
    <mergeCell ref="E44:G44"/>
    <mergeCell ref="H44:I44"/>
  </mergeCells>
  <pageMargins left="0.7" right="0.17" top="0.72" bottom="0.34" header="0.77" footer="0.3"/>
  <pageSetup paperSize="9" scale="64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9"/>
  <sheetViews>
    <sheetView zoomScaleNormal="100" workbookViewId="0">
      <pane ySplit="4" topLeftCell="A5" activePane="bottomLeft" state="frozen"/>
      <selection pane="bottomLeft" activeCell="Z8" sqref="Z8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10.77734375" style="20" hidden="1" customWidth="1"/>
    <col min="24" max="25" width="10.6640625" style="20" hidden="1" customWidth="1"/>
    <col min="26" max="26" width="10.6640625" style="20" customWidth="1"/>
    <col min="27" max="28" width="9.6640625" style="2" hidden="1" customWidth="1"/>
    <col min="29" max="29" width="10.6640625" style="2" hidden="1" customWidth="1"/>
    <col min="30" max="30" width="10.33203125" style="2" hidden="1" customWidth="1"/>
    <col min="31" max="32" width="0.109375" style="2" customWidth="1"/>
    <col min="33" max="33" width="9" style="2" hidden="1" customWidth="1"/>
    <col min="34" max="34" width="6" style="77" customWidth="1" outlineLevel="1"/>
    <col min="35" max="35" width="8.33203125" style="2" customWidth="1" outlineLevel="1"/>
    <col min="36" max="36" width="9.7773437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546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509" t="s">
        <v>10</v>
      </c>
      <c r="K4" s="510" t="s">
        <v>2</v>
      </c>
      <c r="L4" s="511" t="s">
        <v>9</v>
      </c>
      <c r="M4" s="509" t="s">
        <v>10</v>
      </c>
      <c r="N4" s="510" t="s">
        <v>2</v>
      </c>
      <c r="O4" s="511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3">
        <v>45292</v>
      </c>
      <c r="B5" s="28"/>
      <c r="C5" s="30"/>
      <c r="D5" s="22"/>
      <c r="E5" s="42">
        <f>'12.2023'!E35-B5-C5+D5</f>
        <v>284.20599999999996</v>
      </c>
      <c r="F5" s="51">
        <f>C5</f>
        <v>0</v>
      </c>
      <c r="G5" s="9"/>
      <c r="H5" s="10"/>
      <c r="I5" s="161">
        <f>'12.2023'!I35+F5-G5-H5</f>
        <v>3.7399999999999989</v>
      </c>
      <c r="J5" s="8"/>
      <c r="K5" s="11"/>
      <c r="L5" s="25"/>
      <c r="M5" s="51">
        <f t="shared" ref="M5:M35" si="0">H5</f>
        <v>0</v>
      </c>
      <c r="N5" s="24"/>
      <c r="O5" s="47">
        <f>'12.2023'!O35+M5-N5</f>
        <v>1.8719999999999977</v>
      </c>
      <c r="P5" s="46">
        <v>0</v>
      </c>
      <c r="Q5" s="45">
        <f t="shared" ref="Q5:Q35" si="1">E5+I5+L5+O5</f>
        <v>289.81799999999998</v>
      </c>
      <c r="R5" s="165">
        <f>B5+G5+H5+J5</f>
        <v>0</v>
      </c>
      <c r="S5" s="159">
        <v>0</v>
      </c>
      <c r="T5" s="58">
        <f>'12.2023'!T35</f>
        <v>1013326</v>
      </c>
      <c r="U5" s="58">
        <f>'12.2023'!U35</f>
        <v>3032487.73</v>
      </c>
      <c r="V5" s="58">
        <f>'12.2023'!V35</f>
        <v>0</v>
      </c>
      <c r="W5" s="58">
        <f>'12.2023'!W35</f>
        <v>0</v>
      </c>
      <c r="X5" s="58">
        <f>'12.2023'!X35</f>
        <v>0</v>
      </c>
      <c r="Y5" s="58">
        <f>'12.2023'!Y35</f>
        <v>4019400</v>
      </c>
      <c r="Z5" s="58">
        <f>'12.2023'!Z35</f>
        <v>1690072.16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/>
      <c r="AH5" s="123"/>
      <c r="AI5" s="122"/>
      <c r="AJ5" s="473"/>
      <c r="AK5" s="99"/>
      <c r="AL5" s="21"/>
      <c r="AM5" s="21"/>
    </row>
    <row r="6" spans="1:40" ht="13.2" customHeight="1" thickBot="1" x14ac:dyDescent="0.35">
      <c r="A6" s="3">
        <v>45293</v>
      </c>
      <c r="B6" s="28"/>
      <c r="C6" s="30"/>
      <c r="D6" s="22"/>
      <c r="E6" s="43">
        <f t="shared" ref="E6:E34" si="2">E5+D6-B6-C6</f>
        <v>284.20599999999996</v>
      </c>
      <c r="F6" s="51">
        <f t="shared" ref="F6:F35" si="3">C6</f>
        <v>0</v>
      </c>
      <c r="G6" s="9"/>
      <c r="H6" s="10"/>
      <c r="I6" s="161">
        <f t="shared" ref="I6:I34" si="4">I5+F6-G6-H6</f>
        <v>3.7399999999999989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1.8719999999999977</v>
      </c>
      <c r="P6" s="48"/>
      <c r="Q6" s="47">
        <f t="shared" si="1"/>
        <v>289.81799999999998</v>
      </c>
      <c r="R6" s="165">
        <f t="shared" ref="R6:R35" si="6">B6+G6+H6+J6</f>
        <v>0</v>
      </c>
      <c r="S6" s="159">
        <f>AI6</f>
        <v>69.653000000000006</v>
      </c>
      <c r="T6" s="58">
        <f>T5</f>
        <v>1013326</v>
      </c>
      <c r="U6" s="407">
        <f>U5-AI6*M86</f>
        <v>1309760.0809999998</v>
      </c>
      <c r="V6" s="58"/>
      <c r="W6" s="87"/>
      <c r="X6" s="58"/>
      <c r="Y6" s="58">
        <f>Y5</f>
        <v>4019400</v>
      </c>
      <c r="Z6" s="87">
        <f>Z5</f>
        <v>1690072.16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/>
      <c r="AH6" s="128" t="s">
        <v>48</v>
      </c>
      <c r="AI6" s="120">
        <v>69.653000000000006</v>
      </c>
      <c r="AJ6" s="349" t="s">
        <v>547</v>
      </c>
      <c r="AK6" s="21" t="s">
        <v>555</v>
      </c>
      <c r="AL6" s="21"/>
      <c r="AM6" s="21"/>
    </row>
    <row r="7" spans="1:40" ht="13.2" customHeight="1" thickBot="1" x14ac:dyDescent="0.35">
      <c r="A7" s="3">
        <v>45294</v>
      </c>
      <c r="B7" s="28">
        <v>37.369999999999997</v>
      </c>
      <c r="C7" s="30"/>
      <c r="D7" s="22"/>
      <c r="E7" s="43">
        <f t="shared" si="2"/>
        <v>246.83599999999996</v>
      </c>
      <c r="F7" s="51">
        <f t="shared" si="3"/>
        <v>0</v>
      </c>
      <c r="G7" s="9"/>
      <c r="H7" s="10"/>
      <c r="I7" s="161">
        <f t="shared" si="4"/>
        <v>3.7399999999999989</v>
      </c>
      <c r="J7" s="8"/>
      <c r="K7" s="11"/>
      <c r="L7" s="12"/>
      <c r="M7" s="51">
        <f t="shared" si="0"/>
        <v>0</v>
      </c>
      <c r="N7" s="24"/>
      <c r="O7" s="47">
        <f t="shared" si="5"/>
        <v>1.8719999999999977</v>
      </c>
      <c r="P7" s="48"/>
      <c r="Q7" s="47">
        <f t="shared" si="1"/>
        <v>252.44799999999995</v>
      </c>
      <c r="R7" s="165">
        <f t="shared" si="6"/>
        <v>37.369999999999997</v>
      </c>
      <c r="S7" s="159">
        <v>69.653000000000006</v>
      </c>
      <c r="T7" s="58">
        <v>1013326</v>
      </c>
      <c r="U7" s="58">
        <f>U6</f>
        <v>1309760.0809999998</v>
      </c>
      <c r="V7" s="58"/>
      <c r="W7" s="87"/>
      <c r="X7" s="58"/>
      <c r="Y7" s="58">
        <v>4019400</v>
      </c>
      <c r="Z7" s="87">
        <v>1690072.16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/>
      <c r="AH7" s="128"/>
      <c r="AI7" s="120"/>
      <c r="AJ7" s="99"/>
      <c r="AK7" s="21"/>
      <c r="AL7" s="120"/>
      <c r="AM7" s="21"/>
    </row>
    <row r="8" spans="1:40" ht="12.75" customHeight="1" thickBot="1" x14ac:dyDescent="0.35">
      <c r="A8" s="3">
        <v>45295</v>
      </c>
      <c r="B8" s="28"/>
      <c r="C8" s="30"/>
      <c r="D8" s="186"/>
      <c r="E8" s="43">
        <f t="shared" si="2"/>
        <v>246.83599999999996</v>
      </c>
      <c r="F8" s="51">
        <f t="shared" si="3"/>
        <v>0</v>
      </c>
      <c r="G8" s="9"/>
      <c r="H8" s="10"/>
      <c r="I8" s="161">
        <f t="shared" si="4"/>
        <v>3.7399999999999989</v>
      </c>
      <c r="J8" s="8"/>
      <c r="K8" s="11"/>
      <c r="L8" s="12"/>
      <c r="M8" s="51">
        <f t="shared" si="0"/>
        <v>0</v>
      </c>
      <c r="N8" s="24">
        <v>0.13700000000000001</v>
      </c>
      <c r="O8" s="47">
        <f t="shared" si="5"/>
        <v>1.7349999999999977</v>
      </c>
      <c r="P8" s="48"/>
      <c r="Q8" s="47">
        <f t="shared" si="1"/>
        <v>252.31099999999995</v>
      </c>
      <c r="R8" s="165">
        <f t="shared" si="6"/>
        <v>0</v>
      </c>
      <c r="S8" s="159">
        <f>AI6+AI8</f>
        <v>105.05600000000001</v>
      </c>
      <c r="T8" s="58">
        <f>T5</f>
        <v>1013326</v>
      </c>
      <c r="U8" s="58">
        <f>U6</f>
        <v>1309760.0809999998</v>
      </c>
      <c r="V8" s="58"/>
      <c r="W8" s="87"/>
      <c r="X8" s="58"/>
      <c r="Y8" s="58">
        <f>Y5</f>
        <v>4019400</v>
      </c>
      <c r="Z8" s="107">
        <f>Z5-AI8*M85</f>
        <v>814449.76099999994</v>
      </c>
      <c r="AA8" s="58"/>
      <c r="AB8" s="58">
        <v>0</v>
      </c>
      <c r="AC8" s="59" t="e">
        <f>1800000-#REF!*M78</f>
        <v>#REF!</v>
      </c>
      <c r="AD8" s="314">
        <f>891000-AI8*M77</f>
        <v>14775.75</v>
      </c>
      <c r="AE8" s="58"/>
      <c r="AF8" s="58"/>
      <c r="AG8" s="58"/>
      <c r="AH8" s="123" t="s">
        <v>49</v>
      </c>
      <c r="AI8" s="122">
        <v>35.402999999999999</v>
      </c>
      <c r="AJ8" s="99" t="s">
        <v>548</v>
      </c>
      <c r="AK8" s="417">
        <v>50811967</v>
      </c>
      <c r="AL8" s="239"/>
      <c r="AM8" s="21"/>
    </row>
    <row r="9" spans="1:40" ht="13.2" customHeight="1" thickBot="1" x14ac:dyDescent="0.35">
      <c r="A9" s="3">
        <v>45296</v>
      </c>
      <c r="B9" s="28">
        <v>17.8</v>
      </c>
      <c r="C9" s="30"/>
      <c r="D9" s="186"/>
      <c r="E9" s="43">
        <f t="shared" si="2"/>
        <v>229.03599999999994</v>
      </c>
      <c r="F9" s="51">
        <f t="shared" si="3"/>
        <v>0</v>
      </c>
      <c r="G9" s="9"/>
      <c r="H9" s="10"/>
      <c r="I9" s="161">
        <f t="shared" si="4"/>
        <v>3.7399999999999989</v>
      </c>
      <c r="J9" s="8"/>
      <c r="K9" s="11"/>
      <c r="L9" s="12"/>
      <c r="M9" s="51">
        <f t="shared" si="0"/>
        <v>0</v>
      </c>
      <c r="N9" s="24"/>
      <c r="O9" s="47">
        <f t="shared" si="5"/>
        <v>1.7349999999999977</v>
      </c>
      <c r="P9" s="48"/>
      <c r="Q9" s="47">
        <f t="shared" si="1"/>
        <v>234.51099999999994</v>
      </c>
      <c r="R9" s="165">
        <f t="shared" si="6"/>
        <v>17.8</v>
      </c>
      <c r="S9" s="159">
        <v>105.05600000000001</v>
      </c>
      <c r="T9" s="58">
        <v>1013326</v>
      </c>
      <c r="U9" s="58">
        <f>U6</f>
        <v>1309760.0809999998</v>
      </c>
      <c r="V9" s="58"/>
      <c r="W9" s="87"/>
      <c r="X9" s="58"/>
      <c r="Y9" s="58">
        <v>4019400</v>
      </c>
      <c r="Z9" s="87">
        <f>Z8</f>
        <v>814449.76099999994</v>
      </c>
      <c r="AA9" s="87"/>
      <c r="AB9" s="80">
        <v>0</v>
      </c>
      <c r="AC9" s="58"/>
      <c r="AD9" s="87">
        <v>89545.5</v>
      </c>
      <c r="AE9" s="55"/>
      <c r="AF9" s="14"/>
      <c r="AG9" s="58"/>
      <c r="AH9" s="384"/>
      <c r="AI9" s="122"/>
      <c r="AJ9" s="99"/>
      <c r="AK9" s="255"/>
      <c r="AL9" s="99"/>
      <c r="AM9" s="21"/>
      <c r="AN9" s="21"/>
    </row>
    <row r="10" spans="1:40" s="1" customFormat="1" ht="13.2" customHeight="1" thickBot="1" x14ac:dyDescent="0.35">
      <c r="A10" s="3">
        <v>45297</v>
      </c>
      <c r="B10" s="28">
        <v>22.56</v>
      </c>
      <c r="C10" s="30"/>
      <c r="D10" s="186"/>
      <c r="E10" s="43">
        <f t="shared" si="2"/>
        <v>206.47599999999994</v>
      </c>
      <c r="F10" s="51">
        <f t="shared" si="3"/>
        <v>0</v>
      </c>
      <c r="G10" s="30"/>
      <c r="H10" s="10"/>
      <c r="I10" s="161">
        <f t="shared" si="4"/>
        <v>3.7399999999999989</v>
      </c>
      <c r="J10" s="8"/>
      <c r="K10" s="11"/>
      <c r="L10" s="12"/>
      <c r="M10" s="51">
        <f t="shared" si="0"/>
        <v>0</v>
      </c>
      <c r="N10" s="24"/>
      <c r="O10" s="47">
        <f t="shared" si="5"/>
        <v>1.7349999999999977</v>
      </c>
      <c r="P10" s="48"/>
      <c r="Q10" s="47">
        <f t="shared" si="1"/>
        <v>211.95099999999994</v>
      </c>
      <c r="R10" s="165">
        <f t="shared" si="6"/>
        <v>22.56</v>
      </c>
      <c r="S10" s="159">
        <f>AI6+AI8+AI10+AI11+AI12</f>
        <v>280.68299999999999</v>
      </c>
      <c r="T10" s="59">
        <f>T5</f>
        <v>1013326</v>
      </c>
      <c r="U10" s="407">
        <f>U6-AI12*M86</f>
        <v>-310919.2100000002</v>
      </c>
      <c r="V10" s="58"/>
      <c r="W10" s="87"/>
      <c r="X10" s="58"/>
      <c r="Y10" s="59">
        <f>Y5-AI10*M89</f>
        <v>1520130</v>
      </c>
      <c r="Z10" s="87">
        <f>Z8</f>
        <v>814449.76099999994</v>
      </c>
      <c r="AA10" s="87"/>
      <c r="AB10" s="80">
        <v>0</v>
      </c>
      <c r="AC10" s="58"/>
      <c r="AD10" s="87">
        <v>89545.5</v>
      </c>
      <c r="AE10" s="55"/>
      <c r="AF10" s="14"/>
      <c r="AG10" s="58"/>
      <c r="AH10" s="384" t="s">
        <v>323</v>
      </c>
      <c r="AI10" s="122">
        <v>110.1</v>
      </c>
      <c r="AJ10" s="99" t="s">
        <v>559</v>
      </c>
      <c r="AK10" s="27"/>
      <c r="AL10" s="239"/>
      <c r="AM10" s="27"/>
      <c r="AN10" s="27"/>
    </row>
    <row r="11" spans="1:40" ht="13.2" customHeight="1" thickBot="1" x14ac:dyDescent="0.35">
      <c r="A11" s="3">
        <v>45298</v>
      </c>
      <c r="B11" s="28"/>
      <c r="C11" s="30"/>
      <c r="D11" s="186"/>
      <c r="E11" s="43">
        <f>E10+D11-B11-C11</f>
        <v>206.47599999999994</v>
      </c>
      <c r="F11" s="51">
        <f t="shared" si="3"/>
        <v>0</v>
      </c>
      <c r="G11" s="9"/>
      <c r="H11" s="10"/>
      <c r="I11" s="161">
        <f>I10+F11-G11-H11</f>
        <v>3.7399999999999989</v>
      </c>
      <c r="J11" s="8"/>
      <c r="K11" s="11"/>
      <c r="L11" s="12"/>
      <c r="M11" s="51">
        <f t="shared" si="0"/>
        <v>0</v>
      </c>
      <c r="N11" s="24"/>
      <c r="O11" s="47">
        <f t="shared" si="5"/>
        <v>1.7349999999999977</v>
      </c>
      <c r="P11" s="48"/>
      <c r="Q11" s="47">
        <f t="shared" si="1"/>
        <v>211.95099999999994</v>
      </c>
      <c r="R11" s="165">
        <f>B11+G11+H11+J11</f>
        <v>0</v>
      </c>
      <c r="S11" s="159">
        <v>280.68299999999999</v>
      </c>
      <c r="T11" s="58">
        <v>1013326</v>
      </c>
      <c r="U11" s="58">
        <f>U10</f>
        <v>-310919.2100000002</v>
      </c>
      <c r="V11" s="58"/>
      <c r="W11" s="87"/>
      <c r="X11" s="58"/>
      <c r="Y11" s="58">
        <v>1520130</v>
      </c>
      <c r="Z11" s="87">
        <f>Z8</f>
        <v>814449.76099999994</v>
      </c>
      <c r="AA11" s="87"/>
      <c r="AB11" s="80">
        <v>0</v>
      </c>
      <c r="AC11" s="58"/>
      <c r="AD11" s="87">
        <v>89545.5</v>
      </c>
      <c r="AE11" s="55"/>
      <c r="AF11" s="14"/>
      <c r="AG11" s="58"/>
      <c r="AH11" s="123"/>
      <c r="AI11" s="122"/>
      <c r="AJ11" s="256"/>
      <c r="AK11" s="91"/>
      <c r="AL11" s="21"/>
      <c r="AM11" s="21"/>
      <c r="AN11" s="21"/>
    </row>
    <row r="12" spans="1:40" ht="13.2" customHeight="1" thickBot="1" x14ac:dyDescent="0.35">
      <c r="A12" s="3">
        <v>45299</v>
      </c>
      <c r="B12" s="28"/>
      <c r="C12" s="30"/>
      <c r="D12" s="186"/>
      <c r="E12" s="43">
        <f>E11+D12-B12-C12</f>
        <v>206.47599999999994</v>
      </c>
      <c r="F12" s="51">
        <f t="shared" si="3"/>
        <v>0</v>
      </c>
      <c r="G12" s="30"/>
      <c r="H12" s="24"/>
      <c r="I12" s="161">
        <f t="shared" si="4"/>
        <v>3.7399999999999989</v>
      </c>
      <c r="J12" s="8"/>
      <c r="K12" s="11"/>
      <c r="L12" s="12"/>
      <c r="M12" s="51">
        <f t="shared" si="0"/>
        <v>0</v>
      </c>
      <c r="N12" s="24"/>
      <c r="O12" s="47">
        <f t="shared" si="5"/>
        <v>1.7349999999999977</v>
      </c>
      <c r="P12" s="48"/>
      <c r="Q12" s="47">
        <f t="shared" si="1"/>
        <v>211.95099999999994</v>
      </c>
      <c r="R12" s="165">
        <f>B12+G12+H12+J12</f>
        <v>0</v>
      </c>
      <c r="S12" s="159">
        <v>280.68299999999999</v>
      </c>
      <c r="T12" s="58">
        <v>1013326</v>
      </c>
      <c r="U12" s="58">
        <f>U10</f>
        <v>-310919.2100000002</v>
      </c>
      <c r="V12" s="58"/>
      <c r="W12" s="87"/>
      <c r="X12" s="58"/>
      <c r="Y12" s="58">
        <v>1520130</v>
      </c>
      <c r="Z12" s="87">
        <f>Z8</f>
        <v>814449.76099999994</v>
      </c>
      <c r="AA12" s="86"/>
      <c r="AB12" s="80">
        <v>0</v>
      </c>
      <c r="AC12" s="58"/>
      <c r="AD12" s="87">
        <v>89545.5</v>
      </c>
      <c r="AE12" s="55"/>
      <c r="AF12" s="14"/>
      <c r="AG12" s="58"/>
      <c r="AH12" s="128" t="s">
        <v>48</v>
      </c>
      <c r="AI12" s="120">
        <f>32.324+33.203</f>
        <v>65.527000000000001</v>
      </c>
      <c r="AJ12" s="103" t="s">
        <v>554</v>
      </c>
      <c r="AK12" s="91" t="s">
        <v>553</v>
      </c>
      <c r="AL12" s="21"/>
      <c r="AM12" s="21"/>
      <c r="AN12" s="21"/>
    </row>
    <row r="13" spans="1:40" ht="13.2" customHeight="1" thickBot="1" x14ac:dyDescent="0.35">
      <c r="A13" s="7">
        <v>45300</v>
      </c>
      <c r="B13" s="28">
        <v>17.75</v>
      </c>
      <c r="C13" s="30">
        <v>0.79</v>
      </c>
      <c r="D13" s="186"/>
      <c r="E13" s="43">
        <f t="shared" si="2"/>
        <v>187.93599999999995</v>
      </c>
      <c r="F13" s="51">
        <f t="shared" si="3"/>
        <v>0.79</v>
      </c>
      <c r="G13" s="9">
        <f>0.47</f>
        <v>0.47</v>
      </c>
      <c r="H13" s="10"/>
      <c r="I13" s="161">
        <f t="shared" si="4"/>
        <v>4.0599999999999996</v>
      </c>
      <c r="J13" s="8"/>
      <c r="K13" s="26"/>
      <c r="L13" s="12"/>
      <c r="M13" s="51">
        <f t="shared" si="0"/>
        <v>0</v>
      </c>
      <c r="N13" s="24">
        <v>0.19500000000000001</v>
      </c>
      <c r="O13" s="47">
        <f t="shared" si="5"/>
        <v>1.5399999999999976</v>
      </c>
      <c r="P13" s="48"/>
      <c r="Q13" s="47">
        <f t="shared" si="1"/>
        <v>193.53599999999994</v>
      </c>
      <c r="R13" s="165">
        <f t="shared" si="6"/>
        <v>18.22</v>
      </c>
      <c r="S13" s="159">
        <v>280.68299999999999</v>
      </c>
      <c r="T13" s="58">
        <v>1013326</v>
      </c>
      <c r="U13" s="58">
        <f>U10</f>
        <v>-310919.2100000002</v>
      </c>
      <c r="V13" s="58"/>
      <c r="W13" s="87"/>
      <c r="X13" s="58"/>
      <c r="Y13" s="58">
        <v>1520130</v>
      </c>
      <c r="Z13" s="87">
        <f>Z8</f>
        <v>814449.76099999994</v>
      </c>
      <c r="AA13" s="86"/>
      <c r="AB13" s="80"/>
      <c r="AC13" s="58"/>
      <c r="AD13" s="87">
        <v>89545.5</v>
      </c>
      <c r="AE13" s="55" t="e">
        <f>D12*#REF!</f>
        <v>#REF!</v>
      </c>
      <c r="AF13" s="14"/>
      <c r="AG13" s="58"/>
      <c r="AH13" s="127" t="s">
        <v>43</v>
      </c>
      <c r="AI13" s="126">
        <v>38.450000000000003</v>
      </c>
      <c r="AJ13" s="103" t="s">
        <v>556</v>
      </c>
      <c r="AK13" s="91">
        <v>77471993</v>
      </c>
      <c r="AL13" s="135"/>
      <c r="AM13" s="21"/>
      <c r="AN13" s="21"/>
    </row>
    <row r="14" spans="1:40" ht="13.2" customHeight="1" thickBot="1" x14ac:dyDescent="0.35">
      <c r="A14" s="7">
        <v>45301</v>
      </c>
      <c r="B14" s="28">
        <v>24.33</v>
      </c>
      <c r="C14" s="30">
        <v>0.75900000000000001</v>
      </c>
      <c r="D14" s="186"/>
      <c r="E14" s="43">
        <f t="shared" si="2"/>
        <v>162.84699999999995</v>
      </c>
      <c r="F14" s="51">
        <f t="shared" si="3"/>
        <v>0.75900000000000001</v>
      </c>
      <c r="G14" s="30">
        <f>0.619-H14</f>
        <v>0</v>
      </c>
      <c r="H14" s="24">
        <v>0.61899999999999999</v>
      </c>
      <c r="I14" s="161">
        <f t="shared" si="4"/>
        <v>4.2</v>
      </c>
      <c r="J14" s="8"/>
      <c r="K14" s="11"/>
      <c r="L14" s="12"/>
      <c r="M14" s="51">
        <f t="shared" si="0"/>
        <v>0.61899999999999999</v>
      </c>
      <c r="N14" s="24">
        <v>0.26900000000000002</v>
      </c>
      <c r="O14" s="47">
        <f t="shared" si="5"/>
        <v>1.8899999999999975</v>
      </c>
      <c r="P14" s="48"/>
      <c r="Q14" s="47">
        <f t="shared" si="1"/>
        <v>168.93699999999993</v>
      </c>
      <c r="R14" s="165">
        <f t="shared" si="6"/>
        <v>24.948999999999998</v>
      </c>
      <c r="S14" s="159">
        <f>AI6+AI8+AI10+AI11+AI12+AI13</f>
        <v>319.13299999999998</v>
      </c>
      <c r="T14" s="59">
        <f>T10-AI13*M48</f>
        <v>-87805.100000000093</v>
      </c>
      <c r="U14" s="58">
        <f>U10</f>
        <v>-310919.2100000002</v>
      </c>
      <c r="V14" s="58"/>
      <c r="W14" s="87"/>
      <c r="X14" s="58"/>
      <c r="Y14" s="58">
        <v>1520130</v>
      </c>
      <c r="Z14" s="87">
        <f>Z8</f>
        <v>814449.76099999994</v>
      </c>
      <c r="AA14" s="86"/>
      <c r="AB14" s="80"/>
      <c r="AC14" s="58"/>
      <c r="AD14" s="87">
        <v>89545.5</v>
      </c>
      <c r="AE14" s="55" t="e">
        <f>481844-19.55*#REF!</f>
        <v>#REF!</v>
      </c>
      <c r="AF14" s="14"/>
      <c r="AG14" s="58"/>
      <c r="AH14" s="123"/>
      <c r="AI14" s="122"/>
      <c r="AJ14" s="99"/>
      <c r="AK14" s="91"/>
      <c r="AL14" s="239"/>
      <c r="AM14" s="21"/>
      <c r="AN14" s="21"/>
    </row>
    <row r="15" spans="1:40" ht="13.2" customHeight="1" thickBot="1" x14ac:dyDescent="0.35">
      <c r="A15" s="7">
        <v>45302</v>
      </c>
      <c r="B15" s="28">
        <v>3.12</v>
      </c>
      <c r="C15" s="30">
        <v>0.7</v>
      </c>
      <c r="D15" s="186"/>
      <c r="E15" s="43">
        <f t="shared" si="2"/>
        <v>159.02699999999996</v>
      </c>
      <c r="F15" s="51">
        <f t="shared" si="3"/>
        <v>0.7</v>
      </c>
      <c r="G15" s="9">
        <v>0.5</v>
      </c>
      <c r="H15" s="10"/>
      <c r="I15" s="161">
        <f t="shared" si="4"/>
        <v>4.4000000000000004</v>
      </c>
      <c r="J15" s="8"/>
      <c r="K15" s="11"/>
      <c r="L15" s="12"/>
      <c r="M15" s="51">
        <f>H15</f>
        <v>0</v>
      </c>
      <c r="N15" s="24">
        <v>0.10100000000000001</v>
      </c>
      <c r="O15" s="47">
        <f t="shared" si="5"/>
        <v>1.7889999999999975</v>
      </c>
      <c r="P15" s="48"/>
      <c r="Q15" s="47">
        <f t="shared" si="1"/>
        <v>165.21599999999995</v>
      </c>
      <c r="R15" s="165">
        <f t="shared" si="6"/>
        <v>3.62</v>
      </c>
      <c r="S15" s="159">
        <f>S14</f>
        <v>319.13299999999998</v>
      </c>
      <c r="T15" s="58">
        <f>T14+88000+1003000</f>
        <v>1003194.8999999999</v>
      </c>
      <c r="U15" s="58">
        <f>U10+311000</f>
        <v>80.789999999804422</v>
      </c>
      <c r="V15" s="58"/>
      <c r="W15" s="87"/>
      <c r="X15" s="58"/>
      <c r="Y15" s="58">
        <v>1520130</v>
      </c>
      <c r="Z15" s="87">
        <f>Z8</f>
        <v>814449.76099999994</v>
      </c>
      <c r="AA15" s="86"/>
      <c r="AB15" s="80"/>
      <c r="AC15" s="58"/>
      <c r="AD15" s="87">
        <v>89545.5</v>
      </c>
      <c r="AE15" s="271"/>
      <c r="AF15" s="14"/>
      <c r="AG15" s="58"/>
      <c r="AH15" s="128"/>
      <c r="AI15" s="120"/>
      <c r="AJ15" s="208"/>
      <c r="AK15" s="91"/>
      <c r="AL15" s="239"/>
      <c r="AM15" s="21"/>
      <c r="AN15" s="21"/>
    </row>
    <row r="16" spans="1:40" ht="13.2" customHeight="1" thickBot="1" x14ac:dyDescent="0.35">
      <c r="A16" s="7">
        <v>45303</v>
      </c>
      <c r="B16" s="28">
        <v>32.28</v>
      </c>
      <c r="C16" s="30">
        <v>2.4900000000000002</v>
      </c>
      <c r="D16" s="186">
        <f>AI6</f>
        <v>69.653000000000006</v>
      </c>
      <c r="E16" s="43">
        <f t="shared" si="2"/>
        <v>193.90999999999994</v>
      </c>
      <c r="F16" s="51">
        <f t="shared" si="3"/>
        <v>2.4900000000000002</v>
      </c>
      <c r="G16" s="9">
        <v>2.09</v>
      </c>
      <c r="H16" s="10"/>
      <c r="I16" s="161">
        <f t="shared" si="4"/>
        <v>4.8000000000000007</v>
      </c>
      <c r="J16" s="8"/>
      <c r="K16" s="11"/>
      <c r="L16" s="12"/>
      <c r="M16" s="51">
        <f t="shared" si="0"/>
        <v>0</v>
      </c>
      <c r="N16" s="24">
        <v>0.125</v>
      </c>
      <c r="O16" s="47">
        <f t="shared" si="5"/>
        <v>1.6639999999999975</v>
      </c>
      <c r="P16" s="48"/>
      <c r="Q16" s="47">
        <f t="shared" si="1"/>
        <v>200.37399999999994</v>
      </c>
      <c r="R16" s="165">
        <f t="shared" si="6"/>
        <v>34.370000000000005</v>
      </c>
      <c r="S16" s="159">
        <f>AI8+AI10+AI12+AI13</f>
        <v>249.47999999999996</v>
      </c>
      <c r="T16" s="58">
        <v>1003194.8999999999</v>
      </c>
      <c r="U16" s="58">
        <v>80.789999999804422</v>
      </c>
      <c r="V16" s="58"/>
      <c r="W16" s="87"/>
      <c r="X16" s="58"/>
      <c r="Y16" s="58">
        <v>1520130</v>
      </c>
      <c r="Z16" s="87">
        <v>814449.76099999994</v>
      </c>
      <c r="AA16" s="86"/>
      <c r="AB16" s="80"/>
      <c r="AC16" s="58"/>
      <c r="AD16" s="87">
        <v>89545.5</v>
      </c>
      <c r="AE16" s="55"/>
      <c r="AF16" s="14"/>
      <c r="AG16" s="58"/>
      <c r="AH16" s="128"/>
      <c r="AI16" s="120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3">
        <v>45304</v>
      </c>
      <c r="B17" s="28">
        <f>5.71+9.12</f>
        <v>14.829999999999998</v>
      </c>
      <c r="C17" s="30"/>
      <c r="D17" s="186">
        <f>AI10+AI8</f>
        <v>145.50299999999999</v>
      </c>
      <c r="E17" s="43">
        <f t="shared" si="2"/>
        <v>324.58299999999991</v>
      </c>
      <c r="F17" s="51">
        <f t="shared" si="3"/>
        <v>0</v>
      </c>
      <c r="G17" s="9"/>
      <c r="H17" s="10"/>
      <c r="I17" s="161">
        <f t="shared" si="4"/>
        <v>4.8000000000000007</v>
      </c>
      <c r="J17" s="4"/>
      <c r="K17" s="5"/>
      <c r="L17" s="6"/>
      <c r="M17" s="51">
        <f t="shared" si="0"/>
        <v>0</v>
      </c>
      <c r="N17" s="24"/>
      <c r="O17" s="47">
        <f t="shared" si="5"/>
        <v>1.6639999999999975</v>
      </c>
      <c r="P17" s="49"/>
      <c r="Q17" s="47">
        <f t="shared" si="1"/>
        <v>331.04699999999991</v>
      </c>
      <c r="R17" s="165">
        <f t="shared" si="6"/>
        <v>14.829999999999998</v>
      </c>
      <c r="S17" s="160">
        <f>AI12+AI13</f>
        <v>103.977</v>
      </c>
      <c r="T17" s="58">
        <v>1003194.8999999999</v>
      </c>
      <c r="U17" s="86">
        <v>80.789999999804422</v>
      </c>
      <c r="V17" s="80"/>
      <c r="W17" s="87"/>
      <c r="X17" s="79"/>
      <c r="Y17" s="58">
        <v>1520130</v>
      </c>
      <c r="Z17" s="87">
        <v>814449.76099999994</v>
      </c>
      <c r="AA17" s="86"/>
      <c r="AB17" s="80"/>
      <c r="AC17" s="58"/>
      <c r="AD17" s="87">
        <v>0</v>
      </c>
      <c r="AE17" s="55"/>
      <c r="AF17" s="14"/>
      <c r="AG17" s="58"/>
      <c r="AH17" s="384" t="s">
        <v>323</v>
      </c>
      <c r="AI17" s="122">
        <v>39.098999999999997</v>
      </c>
      <c r="AJ17" s="103" t="s">
        <v>558</v>
      </c>
      <c r="AK17" s="91">
        <v>54639083</v>
      </c>
      <c r="AL17" s="130"/>
      <c r="AM17" s="99"/>
      <c r="AN17" s="27"/>
    </row>
    <row r="18" spans="1:40" ht="13.2" customHeight="1" thickBot="1" x14ac:dyDescent="0.35">
      <c r="A18" s="3">
        <v>45305</v>
      </c>
      <c r="B18" s="28"/>
      <c r="C18" s="30"/>
      <c r="D18" s="186"/>
      <c r="E18" s="43">
        <f t="shared" si="2"/>
        <v>324.58299999999991</v>
      </c>
      <c r="F18" s="51">
        <f t="shared" si="3"/>
        <v>0</v>
      </c>
      <c r="G18" s="9"/>
      <c r="H18" s="10"/>
      <c r="I18" s="161">
        <f t="shared" si="4"/>
        <v>4.8000000000000007</v>
      </c>
      <c r="J18" s="8"/>
      <c r="K18" s="11"/>
      <c r="L18" s="12"/>
      <c r="M18" s="51">
        <f t="shared" si="0"/>
        <v>0</v>
      </c>
      <c r="N18" s="24"/>
      <c r="O18" s="47">
        <f t="shared" si="5"/>
        <v>1.6639999999999975</v>
      </c>
      <c r="P18" s="48"/>
      <c r="Q18" s="47">
        <f t="shared" si="1"/>
        <v>331.04699999999991</v>
      </c>
      <c r="R18" s="165">
        <f t="shared" si="6"/>
        <v>0</v>
      </c>
      <c r="S18" s="160">
        <f>S17</f>
        <v>103.977</v>
      </c>
      <c r="T18" s="58">
        <v>1003194.8999999999</v>
      </c>
      <c r="U18" s="86">
        <v>80.789999999804422</v>
      </c>
      <c r="V18" s="80"/>
      <c r="W18" s="87"/>
      <c r="X18" s="79"/>
      <c r="Y18" s="58">
        <v>1520130</v>
      </c>
      <c r="Z18" s="87">
        <v>814449.76099999994</v>
      </c>
      <c r="AA18" s="86"/>
      <c r="AB18" s="80"/>
      <c r="AC18" s="58"/>
      <c r="AD18" s="87">
        <v>0</v>
      </c>
      <c r="AE18" s="55"/>
      <c r="AF18" s="14"/>
      <c r="AG18" s="58"/>
      <c r="AH18" s="384" t="s">
        <v>323</v>
      </c>
      <c r="AI18" s="122">
        <v>34.853000000000002</v>
      </c>
      <c r="AJ18" s="103" t="s">
        <v>557</v>
      </c>
      <c r="AK18" s="91">
        <v>50874759</v>
      </c>
      <c r="AL18" s="239"/>
      <c r="AM18" s="21"/>
      <c r="AN18" s="21"/>
    </row>
    <row r="19" spans="1:40" ht="13.2" customHeight="1" thickBot="1" x14ac:dyDescent="0.35">
      <c r="A19" s="7">
        <v>45306</v>
      </c>
      <c r="B19" s="28">
        <f>44.5-3.11</f>
        <v>41.39</v>
      </c>
      <c r="C19" s="30">
        <v>0.94</v>
      </c>
      <c r="D19" s="186">
        <f>AI12</f>
        <v>65.527000000000001</v>
      </c>
      <c r="E19" s="43">
        <f t="shared" si="2"/>
        <v>347.77999999999992</v>
      </c>
      <c r="F19" s="51">
        <f t="shared" si="3"/>
        <v>0.94</v>
      </c>
      <c r="G19" s="9">
        <f>1.72</f>
        <v>1.72</v>
      </c>
      <c r="H19" s="10"/>
      <c r="I19" s="161">
        <f t="shared" si="4"/>
        <v>4.0200000000000005</v>
      </c>
      <c r="J19" s="8"/>
      <c r="K19" s="11"/>
      <c r="L19" s="12"/>
      <c r="M19" s="51">
        <f t="shared" si="0"/>
        <v>0</v>
      </c>
      <c r="N19" s="24">
        <v>0.24199999999999999</v>
      </c>
      <c r="O19" s="47">
        <f t="shared" si="5"/>
        <v>1.4219999999999975</v>
      </c>
      <c r="P19" s="48"/>
      <c r="Q19" s="47">
        <f t="shared" si="1"/>
        <v>353.22199999999992</v>
      </c>
      <c r="R19" s="165">
        <f t="shared" si="6"/>
        <v>43.11</v>
      </c>
      <c r="S19" s="160">
        <f>AI13+AI17+AI18</f>
        <v>112.40200000000002</v>
      </c>
      <c r="T19" s="58">
        <v>1003194.8999999999</v>
      </c>
      <c r="U19" s="86">
        <f>80.79+817000</f>
        <v>817080.79</v>
      </c>
      <c r="V19" s="80"/>
      <c r="W19" s="87"/>
      <c r="X19" s="79"/>
      <c r="Y19" s="59">
        <f>Y10-AI17*M90-AI18*M91</f>
        <v>-93465.449999999953</v>
      </c>
      <c r="Z19" s="87">
        <f>814449.76+967000</f>
        <v>1781449.76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137" t="s">
        <v>571</v>
      </c>
      <c r="AI19" s="520">
        <v>35.450000000000003</v>
      </c>
      <c r="AJ19" s="519">
        <v>77958157</v>
      </c>
      <c r="AK19" s="91">
        <v>57887325</v>
      </c>
      <c r="AL19" s="239"/>
      <c r="AM19" s="21"/>
      <c r="AN19" s="21"/>
    </row>
    <row r="20" spans="1:40" ht="13.2" customHeight="1" thickBot="1" x14ac:dyDescent="0.35">
      <c r="A20" s="7">
        <v>45307</v>
      </c>
      <c r="B20" s="28">
        <v>19.940000000000001</v>
      </c>
      <c r="C20" s="30">
        <v>6.8010000000000002</v>
      </c>
      <c r="D20" s="186">
        <f>AI13</f>
        <v>38.450000000000003</v>
      </c>
      <c r="E20" s="43">
        <f t="shared" si="2"/>
        <v>359.48899999999992</v>
      </c>
      <c r="F20" s="51">
        <f t="shared" si="3"/>
        <v>6.8010000000000002</v>
      </c>
      <c r="G20" s="9">
        <f>7.671-H20</f>
        <v>7.1070000000000002</v>
      </c>
      <c r="H20" s="10">
        <v>0.56399999999999995</v>
      </c>
      <c r="I20" s="161">
        <f t="shared" si="4"/>
        <v>3.1500000000000012</v>
      </c>
      <c r="J20" s="8"/>
      <c r="K20" s="11"/>
      <c r="L20" s="12"/>
      <c r="M20" s="51">
        <f t="shared" si="0"/>
        <v>0.56399999999999995</v>
      </c>
      <c r="N20" s="24">
        <v>0.5</v>
      </c>
      <c r="O20" s="47">
        <f t="shared" si="5"/>
        <v>1.4859999999999975</v>
      </c>
      <c r="P20" s="48"/>
      <c r="Q20" s="47">
        <f t="shared" si="1"/>
        <v>364.12499999999989</v>
      </c>
      <c r="R20" s="165">
        <f t="shared" si="6"/>
        <v>27.611000000000001</v>
      </c>
      <c r="S20" s="160">
        <f>AI17+AI18</f>
        <v>73.951999999999998</v>
      </c>
      <c r="T20" s="86">
        <v>1003194.8999999999</v>
      </c>
      <c r="U20" s="86">
        <v>817080.79</v>
      </c>
      <c r="V20" s="288"/>
      <c r="W20" s="388"/>
      <c r="X20" s="79"/>
      <c r="Y20" s="58">
        <v>-93465.449999999953</v>
      </c>
      <c r="Z20" s="87">
        <v>1781449.76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37" t="s">
        <v>571</v>
      </c>
      <c r="AI20" s="520">
        <v>35.65</v>
      </c>
      <c r="AJ20" s="519">
        <v>77958158</v>
      </c>
      <c r="AK20" s="91">
        <v>57816019</v>
      </c>
      <c r="AL20" s="239"/>
      <c r="AM20" s="21"/>
      <c r="AN20" s="21"/>
    </row>
    <row r="21" spans="1:40" ht="13.2" customHeight="1" thickBot="1" x14ac:dyDescent="0.35">
      <c r="A21" s="7">
        <v>45308</v>
      </c>
      <c r="B21" s="28">
        <v>30.71</v>
      </c>
      <c r="C21" s="28">
        <v>0.67200000000000004</v>
      </c>
      <c r="D21" s="186"/>
      <c r="E21" s="43">
        <f t="shared" si="2"/>
        <v>328.10699999999991</v>
      </c>
      <c r="F21" s="51">
        <f t="shared" si="3"/>
        <v>0.67200000000000004</v>
      </c>
      <c r="G21" s="9">
        <v>0.82199999999999995</v>
      </c>
      <c r="H21" s="10"/>
      <c r="I21" s="161">
        <f t="shared" si="4"/>
        <v>3.0000000000000013</v>
      </c>
      <c r="J21" s="8"/>
      <c r="K21" s="11"/>
      <c r="L21" s="12"/>
      <c r="M21" s="51">
        <f t="shared" si="0"/>
        <v>0</v>
      </c>
      <c r="N21" s="24">
        <v>0.20899999999999999</v>
      </c>
      <c r="O21" s="47">
        <f t="shared" si="5"/>
        <v>1.2769999999999975</v>
      </c>
      <c r="P21" s="48"/>
      <c r="Q21" s="47">
        <f t="shared" si="1"/>
        <v>332.3839999999999</v>
      </c>
      <c r="R21" s="165">
        <f t="shared" si="6"/>
        <v>31.532</v>
      </c>
      <c r="S21" s="160">
        <f>AI17+AI18+AI21+AI22</f>
        <v>148.61399999999998</v>
      </c>
      <c r="T21" s="88">
        <f>1003194.9-AI21*M48</f>
        <v>-87912.900000000023</v>
      </c>
      <c r="U21" s="88">
        <f>817080.79-AI22*M86</f>
        <v>-87207.155999999959</v>
      </c>
      <c r="V21" s="288"/>
      <c r="W21" s="388"/>
      <c r="X21" s="79"/>
      <c r="Y21" s="58">
        <v>0</v>
      </c>
      <c r="Z21" s="87">
        <v>1781449.76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127" t="s">
        <v>43</v>
      </c>
      <c r="AI21" s="126">
        <v>38.1</v>
      </c>
      <c r="AJ21" s="103" t="s">
        <v>561</v>
      </c>
      <c r="AK21" s="91">
        <v>58185737</v>
      </c>
      <c r="AL21" s="21"/>
      <c r="AM21" s="21"/>
      <c r="AN21" s="21"/>
    </row>
    <row r="22" spans="1:40" ht="13.2" customHeight="1" thickBot="1" x14ac:dyDescent="0.35">
      <c r="A22" s="7">
        <v>45309</v>
      </c>
      <c r="B22" s="28">
        <v>27.61</v>
      </c>
      <c r="C22" s="146">
        <v>1.649</v>
      </c>
      <c r="D22" s="186"/>
      <c r="E22" s="43">
        <f t="shared" si="2"/>
        <v>298.8479999999999</v>
      </c>
      <c r="F22" s="51">
        <f t="shared" si="3"/>
        <v>1.649</v>
      </c>
      <c r="G22" s="9">
        <f>1.249-H22</f>
        <v>0.60000000000000009</v>
      </c>
      <c r="H22" s="10">
        <v>0.64900000000000002</v>
      </c>
      <c r="I22" s="161">
        <f t="shared" si="4"/>
        <v>3.4000000000000012</v>
      </c>
      <c r="J22" s="8"/>
      <c r="K22" s="11"/>
      <c r="L22" s="12"/>
      <c r="M22" s="51">
        <f t="shared" si="0"/>
        <v>0.64900000000000002</v>
      </c>
      <c r="N22" s="24">
        <v>0.16700000000000001</v>
      </c>
      <c r="O22" s="47">
        <f t="shared" si="5"/>
        <v>1.7589999999999975</v>
      </c>
      <c r="P22" s="48"/>
      <c r="Q22" s="47">
        <f t="shared" si="1"/>
        <v>304.00699999999989</v>
      </c>
      <c r="R22" s="165">
        <f t="shared" si="6"/>
        <v>28.859000000000002</v>
      </c>
      <c r="S22" s="160">
        <f>AI17+AI18+AI21+AI22</f>
        <v>148.61399999999998</v>
      </c>
      <c r="T22" s="86">
        <f>-87912.9+88000</f>
        <v>87.100000000005821</v>
      </c>
      <c r="U22" s="86">
        <f>-87207.16+88000</f>
        <v>792.83999999999651</v>
      </c>
      <c r="V22" s="288"/>
      <c r="W22" s="388"/>
      <c r="X22" s="79"/>
      <c r="Y22" s="58">
        <v>0</v>
      </c>
      <c r="Z22" s="87">
        <v>1781449.76</v>
      </c>
      <c r="AA22" s="287"/>
      <c r="AB22" s="428"/>
      <c r="AC22" s="59">
        <f>965650-AI19*M78</f>
        <v>79399.999999999884</v>
      </c>
      <c r="AD22" s="427">
        <v>0</v>
      </c>
      <c r="AE22" s="55"/>
      <c r="AF22" s="14"/>
      <c r="AG22" s="58">
        <v>57820.000000000116</v>
      </c>
      <c r="AH22" s="128" t="s">
        <v>48</v>
      </c>
      <c r="AI22" s="521">
        <v>36.561999999999998</v>
      </c>
      <c r="AJ22" s="103" t="s">
        <v>562</v>
      </c>
      <c r="AK22" s="91">
        <v>58241506</v>
      </c>
      <c r="AL22" s="21"/>
      <c r="AM22" s="21"/>
      <c r="AN22" s="21"/>
    </row>
    <row r="23" spans="1:40" ht="13.2" customHeight="1" thickBot="1" x14ac:dyDescent="0.35">
      <c r="A23" s="7">
        <v>45310</v>
      </c>
      <c r="B23" s="28">
        <v>38.11</v>
      </c>
      <c r="C23" s="30">
        <v>1.38</v>
      </c>
      <c r="D23" s="186"/>
      <c r="E23" s="43">
        <f t="shared" si="2"/>
        <v>259.35799999999989</v>
      </c>
      <c r="F23" s="51">
        <f t="shared" si="3"/>
        <v>1.38</v>
      </c>
      <c r="G23" s="9">
        <f>0.43</f>
        <v>0.43</v>
      </c>
      <c r="H23" s="10"/>
      <c r="I23" s="161">
        <f t="shared" si="4"/>
        <v>4.3500000000000014</v>
      </c>
      <c r="J23" s="8"/>
      <c r="K23" s="11"/>
      <c r="L23" s="12"/>
      <c r="M23" s="51">
        <f t="shared" si="0"/>
        <v>0</v>
      </c>
      <c r="N23" s="24">
        <v>0.438</v>
      </c>
      <c r="O23" s="47">
        <f t="shared" si="5"/>
        <v>1.3209999999999975</v>
      </c>
      <c r="P23" s="48"/>
      <c r="Q23" s="47">
        <f t="shared" si="1"/>
        <v>265.02899999999988</v>
      </c>
      <c r="R23" s="165">
        <f t="shared" si="6"/>
        <v>38.54</v>
      </c>
      <c r="S23" s="160">
        <v>148.61399999999998</v>
      </c>
      <c r="T23" s="86">
        <v>87.100000000005821</v>
      </c>
      <c r="U23" s="86">
        <v>792.83999999999651</v>
      </c>
      <c r="V23" s="86"/>
      <c r="W23" s="388"/>
      <c r="X23" s="79"/>
      <c r="Y23" s="58">
        <v>0</v>
      </c>
      <c r="Z23" s="87">
        <v>1781449.76</v>
      </c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123" t="s">
        <v>49</v>
      </c>
      <c r="AI23" s="524">
        <v>38.323</v>
      </c>
      <c r="AJ23" t="s">
        <v>576</v>
      </c>
      <c r="AK23" s="523">
        <v>58269713</v>
      </c>
      <c r="AL23" s="523"/>
      <c r="AM23" s="21"/>
      <c r="AN23" s="21"/>
    </row>
    <row r="24" spans="1:40" ht="13.2" customHeight="1" thickBot="1" x14ac:dyDescent="0.35">
      <c r="A24" s="3">
        <v>45311</v>
      </c>
      <c r="B24" s="28">
        <v>5.76</v>
      </c>
      <c r="C24" s="30"/>
      <c r="D24" s="186"/>
      <c r="E24" s="43">
        <f t="shared" si="2"/>
        <v>253.5979999999999</v>
      </c>
      <c r="F24" s="51">
        <f t="shared" si="3"/>
        <v>0</v>
      </c>
      <c r="G24" s="9"/>
      <c r="H24" s="10"/>
      <c r="I24" s="161">
        <f t="shared" si="4"/>
        <v>4.3500000000000014</v>
      </c>
      <c r="J24" s="8"/>
      <c r="K24" s="11"/>
      <c r="L24" s="12"/>
      <c r="M24" s="51">
        <f t="shared" si="0"/>
        <v>0</v>
      </c>
      <c r="N24" s="24"/>
      <c r="O24" s="47">
        <f t="shared" si="5"/>
        <v>1.3209999999999975</v>
      </c>
      <c r="P24" s="48"/>
      <c r="Q24" s="47">
        <f t="shared" si="1"/>
        <v>259.26899999999989</v>
      </c>
      <c r="R24" s="165">
        <f t="shared" si="6"/>
        <v>5.76</v>
      </c>
      <c r="S24" s="160">
        <v>148.61399999999998</v>
      </c>
      <c r="T24" s="86">
        <v>87.100000000005821</v>
      </c>
      <c r="U24" s="82">
        <v>792.83999999999651</v>
      </c>
      <c r="V24" s="86"/>
      <c r="W24" s="388"/>
      <c r="X24" s="79"/>
      <c r="Y24" s="58">
        <v>0</v>
      </c>
      <c r="Z24" s="87">
        <v>1781449.76</v>
      </c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127"/>
      <c r="AI24" s="126"/>
      <c r="AJ24" s="103"/>
      <c r="AK24" s="91"/>
      <c r="AL24" s="21"/>
      <c r="AM24" s="21"/>
      <c r="AN24" s="21"/>
    </row>
    <row r="25" spans="1:40" ht="13.2" customHeight="1" thickBot="1" x14ac:dyDescent="0.35">
      <c r="A25" s="3">
        <v>45312</v>
      </c>
      <c r="B25" s="28"/>
      <c r="C25" s="30"/>
      <c r="D25" s="186"/>
      <c r="E25" s="43">
        <f t="shared" si="2"/>
        <v>253.5979999999999</v>
      </c>
      <c r="F25" s="51">
        <f t="shared" si="3"/>
        <v>0</v>
      </c>
      <c r="G25" s="219"/>
      <c r="H25" s="10"/>
      <c r="I25" s="161">
        <f t="shared" si="4"/>
        <v>4.3500000000000014</v>
      </c>
      <c r="J25" s="8"/>
      <c r="K25" s="11"/>
      <c r="L25" s="12"/>
      <c r="M25" s="51">
        <f t="shared" si="0"/>
        <v>0</v>
      </c>
      <c r="N25" s="24"/>
      <c r="O25" s="47">
        <f t="shared" si="5"/>
        <v>1.3209999999999975</v>
      </c>
      <c r="P25" s="48"/>
      <c r="Q25" s="47">
        <f t="shared" si="1"/>
        <v>259.26899999999989</v>
      </c>
      <c r="R25" s="165">
        <f t="shared" si="6"/>
        <v>0</v>
      </c>
      <c r="S25" s="160">
        <v>148.61399999999998</v>
      </c>
      <c r="T25" s="86">
        <v>87.100000000005821</v>
      </c>
      <c r="U25" s="82">
        <v>792.83999999999651</v>
      </c>
      <c r="V25" s="86"/>
      <c r="W25" s="388"/>
      <c r="X25" s="79"/>
      <c r="Y25" s="58">
        <v>0</v>
      </c>
      <c r="Z25" s="87">
        <v>1781449.76</v>
      </c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384"/>
      <c r="AI25" s="121"/>
      <c r="AJ25" s="103"/>
      <c r="AK25" s="91"/>
      <c r="AL25" s="438"/>
      <c r="AM25" s="21"/>
      <c r="AN25" s="21"/>
    </row>
    <row r="26" spans="1:40" ht="12" customHeight="1" thickBot="1" x14ac:dyDescent="0.35">
      <c r="A26" s="7">
        <v>45313</v>
      </c>
      <c r="B26" s="28">
        <v>27.6</v>
      </c>
      <c r="C26" s="30">
        <v>1.625</v>
      </c>
      <c r="D26" s="186">
        <f>AI17+AI18+AI21</f>
        <v>112.05199999999999</v>
      </c>
      <c r="E26" s="43">
        <f>E25+D26-B26-C26</f>
        <v>336.42499999999984</v>
      </c>
      <c r="F26" s="51">
        <f t="shared" si="3"/>
        <v>1.625</v>
      </c>
      <c r="G26" s="9">
        <f>1.875-H26</f>
        <v>1.3159999999999998</v>
      </c>
      <c r="H26" s="10">
        <v>0.55900000000000005</v>
      </c>
      <c r="I26" s="161">
        <f t="shared" si="4"/>
        <v>4.1000000000000014</v>
      </c>
      <c r="J26" s="8"/>
      <c r="K26" s="11"/>
      <c r="L26" s="12"/>
      <c r="M26" s="51">
        <f t="shared" si="0"/>
        <v>0.55900000000000005</v>
      </c>
      <c r="N26" s="24">
        <v>0.23100000000000001</v>
      </c>
      <c r="O26" s="47">
        <f t="shared" si="5"/>
        <v>1.6489999999999976</v>
      </c>
      <c r="P26" s="48"/>
      <c r="Q26" s="47">
        <f t="shared" si="1"/>
        <v>342.17399999999986</v>
      </c>
      <c r="R26" s="165">
        <f t="shared" si="6"/>
        <v>29.475000000000001</v>
      </c>
      <c r="S26" s="160">
        <f>AI22+AI26+AI19+AI20</f>
        <v>142.30699999999999</v>
      </c>
      <c r="T26" s="86">
        <f>87.1+1003000</f>
        <v>1003087.1</v>
      </c>
      <c r="U26" s="82">
        <v>792.83999999999651</v>
      </c>
      <c r="V26" s="86"/>
      <c r="W26" s="388">
        <f>(AI19+AI20)*M84</f>
        <v>1777499.9999999998</v>
      </c>
      <c r="X26" s="79"/>
      <c r="Y26" s="58"/>
      <c r="Z26" s="314">
        <f>Z25-AI26*M85</f>
        <v>924574.97499999998</v>
      </c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 t="s">
        <v>49</v>
      </c>
      <c r="AI26" s="122">
        <v>34.645000000000003</v>
      </c>
      <c r="AJ26" s="208" t="s">
        <v>564</v>
      </c>
      <c r="AK26" s="91">
        <v>58248527</v>
      </c>
      <c r="AL26" s="21"/>
      <c r="AM26" s="21"/>
      <c r="AN26" s="21"/>
    </row>
    <row r="27" spans="1:40" ht="13.2" customHeight="1" thickBot="1" x14ac:dyDescent="0.35">
      <c r="A27" s="7">
        <v>45314</v>
      </c>
      <c r="B27" s="28">
        <v>22.72</v>
      </c>
      <c r="C27" s="28">
        <v>1.94</v>
      </c>
      <c r="D27" s="186"/>
      <c r="E27" s="43">
        <f>E26+D27-B27-C27</f>
        <v>311.76499999999982</v>
      </c>
      <c r="F27" s="51">
        <f t="shared" si="3"/>
        <v>1.94</v>
      </c>
      <c r="G27" s="9">
        <v>3.44</v>
      </c>
      <c r="H27" s="10"/>
      <c r="I27" s="161">
        <f t="shared" si="4"/>
        <v>2.600000000000001</v>
      </c>
      <c r="J27" s="8"/>
      <c r="K27" s="11"/>
      <c r="L27" s="12"/>
      <c r="M27" s="51">
        <f t="shared" si="0"/>
        <v>0</v>
      </c>
      <c r="N27" s="24">
        <v>0.42599999999999999</v>
      </c>
      <c r="O27" s="47">
        <f t="shared" si="5"/>
        <v>1.2229999999999976</v>
      </c>
      <c r="P27" s="48"/>
      <c r="Q27" s="47">
        <f t="shared" si="1"/>
        <v>315.58799999999985</v>
      </c>
      <c r="R27" s="165">
        <f t="shared" si="6"/>
        <v>26.16</v>
      </c>
      <c r="S27" s="160">
        <f>AI22+AI26+AI19+AI20+AI23</f>
        <v>180.63</v>
      </c>
      <c r="T27" s="86">
        <v>1003087.1</v>
      </c>
      <c r="U27" s="82">
        <v>792.83999999999651</v>
      </c>
      <c r="V27" s="86"/>
      <c r="W27" s="388">
        <v>0</v>
      </c>
      <c r="X27" s="79"/>
      <c r="Y27" s="58"/>
      <c r="Z27" s="314">
        <f>Z26-AI23*M85</f>
        <v>-23267.783999999985</v>
      </c>
      <c r="AA27" s="86"/>
      <c r="AB27" s="80"/>
      <c r="AC27" s="58">
        <v>0</v>
      </c>
      <c r="AD27" s="87"/>
      <c r="AE27" s="55"/>
      <c r="AF27" s="14"/>
      <c r="AG27" s="58"/>
      <c r="AH27" s="128"/>
      <c r="AI27" s="120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7">
        <v>45315</v>
      </c>
      <c r="B28" s="28">
        <v>12.75</v>
      </c>
      <c r="C28" s="30">
        <v>2.4710000000000001</v>
      </c>
      <c r="D28" s="186"/>
      <c r="E28" s="43">
        <f t="shared" si="2"/>
        <v>296.54399999999981</v>
      </c>
      <c r="F28" s="51">
        <f t="shared" si="3"/>
        <v>2.4710000000000001</v>
      </c>
      <c r="G28" s="9">
        <f>1.821-H28</f>
        <v>1.04</v>
      </c>
      <c r="H28" s="10">
        <v>0.78100000000000003</v>
      </c>
      <c r="I28" s="161">
        <f t="shared" si="4"/>
        <v>3.2500000000000013</v>
      </c>
      <c r="J28" s="8"/>
      <c r="K28" s="11"/>
      <c r="L28" s="12"/>
      <c r="M28" s="51">
        <f t="shared" si="0"/>
        <v>0.78100000000000003</v>
      </c>
      <c r="N28" s="24">
        <v>0.216</v>
      </c>
      <c r="O28" s="47">
        <f t="shared" si="5"/>
        <v>1.7879999999999978</v>
      </c>
      <c r="P28" s="48"/>
      <c r="Q28" s="47">
        <f t="shared" si="1"/>
        <v>301.58199999999982</v>
      </c>
      <c r="R28" s="165">
        <f t="shared" si="6"/>
        <v>14.571</v>
      </c>
      <c r="S28" s="160">
        <f>S27</f>
        <v>180.63</v>
      </c>
      <c r="T28" s="86">
        <v>1003087.1</v>
      </c>
      <c r="U28" s="82">
        <f>792.84+1878000</f>
        <v>1878792.84</v>
      </c>
      <c r="V28" s="86"/>
      <c r="W28" s="388">
        <v>0</v>
      </c>
      <c r="X28" s="79"/>
      <c r="Y28" s="58"/>
      <c r="Z28" s="87">
        <f>Z27+1229000</f>
        <v>1205732.216</v>
      </c>
      <c r="AA28" s="86"/>
      <c r="AB28" s="80"/>
      <c r="AC28" s="58">
        <v>0</v>
      </c>
      <c r="AD28" s="87"/>
      <c r="AE28" s="55"/>
      <c r="AF28" s="93"/>
      <c r="AG28" s="58"/>
      <c r="AH28" s="384"/>
      <c r="AI28" s="385"/>
      <c r="AJ28" s="356"/>
      <c r="AK28" s="91"/>
      <c r="AL28" s="21"/>
      <c r="AM28" s="21"/>
      <c r="AN28" s="21"/>
    </row>
    <row r="29" spans="1:40" ht="13.2" customHeight="1" outlineLevel="1" thickBot="1" x14ac:dyDescent="0.35">
      <c r="A29" s="7">
        <v>45316</v>
      </c>
      <c r="B29" s="28">
        <v>12.81</v>
      </c>
      <c r="C29" s="30">
        <v>1.1000000000000001</v>
      </c>
      <c r="D29" s="186"/>
      <c r="E29" s="43">
        <f>E28+D29-B29-C29</f>
        <v>282.63399999999979</v>
      </c>
      <c r="F29" s="51">
        <f t="shared" si="3"/>
        <v>1.1000000000000001</v>
      </c>
      <c r="G29" s="9">
        <f>0.9</f>
        <v>0.9</v>
      </c>
      <c r="H29" s="10"/>
      <c r="I29" s="161">
        <f t="shared" si="4"/>
        <v>3.4500000000000015</v>
      </c>
      <c r="J29" s="8"/>
      <c r="K29" s="11"/>
      <c r="L29" s="12"/>
      <c r="M29" s="51">
        <f t="shared" si="0"/>
        <v>0</v>
      </c>
      <c r="N29" s="24">
        <v>0.218</v>
      </c>
      <c r="O29" s="47">
        <f t="shared" si="5"/>
        <v>1.5699999999999978</v>
      </c>
      <c r="P29" s="48"/>
      <c r="Q29" s="47">
        <f t="shared" si="1"/>
        <v>287.65399999999977</v>
      </c>
      <c r="R29" s="165">
        <f t="shared" si="6"/>
        <v>13.71</v>
      </c>
      <c r="S29" s="160">
        <f>AI19+AI20+AI22+AI23+AI26+AI29</f>
        <v>218.28</v>
      </c>
      <c r="T29" s="88">
        <f>T26-AI29*M47+22047.1</f>
        <v>0</v>
      </c>
      <c r="U29" s="86">
        <v>1878792.84</v>
      </c>
      <c r="V29" s="294"/>
      <c r="W29" s="66">
        <v>0</v>
      </c>
      <c r="X29" s="94"/>
      <c r="Y29" s="58"/>
      <c r="Z29" s="86">
        <f>Z28</f>
        <v>1205732.216</v>
      </c>
      <c r="AA29" s="86"/>
      <c r="AB29" s="129"/>
      <c r="AC29" s="58">
        <v>0</v>
      </c>
      <c r="AD29" s="87"/>
      <c r="AE29" s="56"/>
      <c r="AF29" s="14"/>
      <c r="AG29" s="58"/>
      <c r="AH29" s="127" t="s">
        <v>43</v>
      </c>
      <c r="AI29" s="126">
        <v>37.65</v>
      </c>
      <c r="AJ29" s="103" t="s">
        <v>572</v>
      </c>
      <c r="AK29" s="118">
        <v>77457992</v>
      </c>
      <c r="AL29" s="21"/>
      <c r="AM29" s="21"/>
      <c r="AN29" s="21"/>
    </row>
    <row r="30" spans="1:40" s="21" customFormat="1" ht="13.2" customHeight="1" outlineLevel="1" thickBot="1" x14ac:dyDescent="0.35">
      <c r="A30" s="7">
        <v>45317</v>
      </c>
      <c r="B30" s="28">
        <v>25.9</v>
      </c>
      <c r="C30" s="146">
        <v>1.0740000000000001</v>
      </c>
      <c r="D30" s="186"/>
      <c r="E30" s="43">
        <f>E29+D30-B30-C30</f>
        <v>255.6599999999998</v>
      </c>
      <c r="F30" s="51">
        <f t="shared" si="3"/>
        <v>1.0740000000000001</v>
      </c>
      <c r="G30" s="30">
        <v>0.52400000000000002</v>
      </c>
      <c r="H30" s="24"/>
      <c r="I30" s="161">
        <f t="shared" si="4"/>
        <v>4.0000000000000018</v>
      </c>
      <c r="J30" s="28"/>
      <c r="K30" s="26"/>
      <c r="L30" s="53"/>
      <c r="M30" s="51">
        <f t="shared" si="0"/>
        <v>0</v>
      </c>
      <c r="N30" s="24">
        <v>0.20200000000000001</v>
      </c>
      <c r="O30" s="47">
        <f t="shared" si="5"/>
        <v>1.3679999999999979</v>
      </c>
      <c r="P30" s="54"/>
      <c r="Q30" s="47">
        <f t="shared" si="1"/>
        <v>261.02799999999979</v>
      </c>
      <c r="R30" s="165">
        <f t="shared" si="6"/>
        <v>26.423999999999999</v>
      </c>
      <c r="S30" s="160">
        <f>S29</f>
        <v>218.28</v>
      </c>
      <c r="T30" s="86">
        <v>0</v>
      </c>
      <c r="U30" s="86">
        <v>1878792.84</v>
      </c>
      <c r="V30" s="294"/>
      <c r="W30" s="66">
        <v>0</v>
      </c>
      <c r="X30" s="94"/>
      <c r="Y30" s="58"/>
      <c r="Z30" s="86">
        <f>Z28</f>
        <v>1205732.216</v>
      </c>
      <c r="AA30" s="86"/>
      <c r="AB30" s="129"/>
      <c r="AC30" s="58">
        <v>0</v>
      </c>
      <c r="AD30" s="87"/>
      <c r="AE30" s="191"/>
      <c r="AF30" s="14"/>
      <c r="AG30" s="58"/>
      <c r="AH30" s="384"/>
      <c r="AI30" s="122"/>
      <c r="AJ30" s="103"/>
      <c r="AK30" s="91"/>
    </row>
    <row r="31" spans="1:40" s="21" customFormat="1" ht="13.2" customHeight="1" outlineLevel="1" thickBot="1" x14ac:dyDescent="0.35">
      <c r="A31" s="3">
        <v>45318</v>
      </c>
      <c r="B31" s="28"/>
      <c r="C31" s="30"/>
      <c r="D31" s="186"/>
      <c r="E31" s="43">
        <f t="shared" si="2"/>
        <v>255.6599999999998</v>
      </c>
      <c r="F31" s="51">
        <f t="shared" si="3"/>
        <v>0</v>
      </c>
      <c r="G31" s="68"/>
      <c r="H31" s="69"/>
      <c r="I31" s="161">
        <f t="shared" si="4"/>
        <v>4.0000000000000018</v>
      </c>
      <c r="J31" s="67"/>
      <c r="K31" s="70"/>
      <c r="L31" s="71"/>
      <c r="M31" s="51">
        <f t="shared" si="0"/>
        <v>0</v>
      </c>
      <c r="N31" s="24"/>
      <c r="O31" s="47">
        <f t="shared" si="5"/>
        <v>1.3679999999999979</v>
      </c>
      <c r="P31" s="72"/>
      <c r="Q31" s="47">
        <f t="shared" si="1"/>
        <v>261.02799999999979</v>
      </c>
      <c r="R31" s="165">
        <f t="shared" si="6"/>
        <v>0</v>
      </c>
      <c r="S31" s="160">
        <f>S30</f>
        <v>218.28</v>
      </c>
      <c r="T31" s="86">
        <v>0</v>
      </c>
      <c r="U31" s="86">
        <v>1878792.84</v>
      </c>
      <c r="V31" s="294"/>
      <c r="W31" s="66">
        <v>0</v>
      </c>
      <c r="X31" s="94"/>
      <c r="Y31" s="58"/>
      <c r="Z31" s="86">
        <f>Z29</f>
        <v>1205732.216</v>
      </c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3">
        <v>45319</v>
      </c>
      <c r="B32" s="28">
        <v>8.94</v>
      </c>
      <c r="C32" s="30"/>
      <c r="D32" s="186">
        <f>AI19+AI20+AI22+AI23</f>
        <v>145.98499999999999</v>
      </c>
      <c r="E32" s="43">
        <f t="shared" si="2"/>
        <v>392.70499999999976</v>
      </c>
      <c r="F32" s="51">
        <f t="shared" si="3"/>
        <v>0</v>
      </c>
      <c r="G32" s="62"/>
      <c r="H32" s="62"/>
      <c r="I32" s="161">
        <f t="shared" si="4"/>
        <v>4.0000000000000018</v>
      </c>
      <c r="J32" s="62"/>
      <c r="K32" s="64"/>
      <c r="L32" s="13"/>
      <c r="M32" s="51">
        <f t="shared" si="0"/>
        <v>0</v>
      </c>
      <c r="N32" s="24"/>
      <c r="O32" s="47">
        <f t="shared" si="5"/>
        <v>1.3679999999999979</v>
      </c>
      <c r="P32" s="65"/>
      <c r="Q32" s="47">
        <f t="shared" si="1"/>
        <v>398.07299999999975</v>
      </c>
      <c r="R32" s="165">
        <f t="shared" si="6"/>
        <v>8.94</v>
      </c>
      <c r="S32" s="160">
        <f>AI26+AI29</f>
        <v>72.295000000000002</v>
      </c>
      <c r="T32" s="86">
        <v>0</v>
      </c>
      <c r="U32" s="86">
        <v>1878792.84</v>
      </c>
      <c r="V32" s="294"/>
      <c r="W32" s="66">
        <v>0</v>
      </c>
      <c r="X32" s="94"/>
      <c r="Y32" s="58"/>
      <c r="Z32" s="86">
        <f>Z30</f>
        <v>1205732.216</v>
      </c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  <c r="AM32" s="21"/>
    </row>
    <row r="33" spans="1:39" ht="13.2" customHeight="1" outlineLevel="1" thickBot="1" x14ac:dyDescent="0.35">
      <c r="A33" s="7">
        <v>45320</v>
      </c>
      <c r="B33" s="28">
        <v>31.33</v>
      </c>
      <c r="C33" s="30">
        <v>1.96</v>
      </c>
      <c r="D33" s="186">
        <f>AI26</f>
        <v>34.645000000000003</v>
      </c>
      <c r="E33" s="43">
        <f t="shared" si="2"/>
        <v>394.05999999999977</v>
      </c>
      <c r="F33" s="51">
        <f t="shared" si="3"/>
        <v>1.96</v>
      </c>
      <c r="G33" s="62">
        <f>1.29-H33</f>
        <v>0.75</v>
      </c>
      <c r="H33" s="62">
        <v>0.54</v>
      </c>
      <c r="I33" s="161">
        <f t="shared" si="4"/>
        <v>4.6700000000000017</v>
      </c>
      <c r="J33" s="62"/>
      <c r="K33" s="64"/>
      <c r="L33" s="13"/>
      <c r="M33" s="51">
        <f t="shared" si="0"/>
        <v>0.54</v>
      </c>
      <c r="N33" s="24">
        <v>0.16200000000000001</v>
      </c>
      <c r="O33" s="47">
        <f t="shared" si="5"/>
        <v>1.745999999999998</v>
      </c>
      <c r="P33" s="65"/>
      <c r="Q33" s="47">
        <f t="shared" si="1"/>
        <v>400.47599999999977</v>
      </c>
      <c r="R33" s="165">
        <f>B33+G33+H33+J33</f>
        <v>32.619999999999997</v>
      </c>
      <c r="S33" s="160">
        <f>AI29</f>
        <v>37.65</v>
      </c>
      <c r="T33" s="86">
        <v>0</v>
      </c>
      <c r="U33" s="86">
        <v>1878792.84</v>
      </c>
      <c r="V33" s="294"/>
      <c r="W33" s="66">
        <v>0</v>
      </c>
      <c r="X33" s="94"/>
      <c r="Y33" s="58"/>
      <c r="Z33" s="86">
        <f>Z31</f>
        <v>1205732.216</v>
      </c>
      <c r="AA33" s="86"/>
      <c r="AB33" s="80"/>
      <c r="AC33" s="58"/>
      <c r="AD33" s="87"/>
      <c r="AE33" s="57"/>
      <c r="AF33" s="131"/>
      <c r="AG33" s="58"/>
      <c r="AH33" s="384"/>
      <c r="AI33" s="120"/>
      <c r="AJ33" s="99"/>
      <c r="AK33" s="99"/>
      <c r="AL33" s="21"/>
      <c r="AM33" s="21"/>
    </row>
    <row r="34" spans="1:39" ht="13.2" customHeight="1" outlineLevel="1" thickBot="1" x14ac:dyDescent="0.35">
      <c r="A34" s="7">
        <v>45321</v>
      </c>
      <c r="B34" s="28">
        <v>30.71</v>
      </c>
      <c r="C34" s="30">
        <v>0.84</v>
      </c>
      <c r="D34" s="92"/>
      <c r="E34" s="43">
        <f t="shared" si="2"/>
        <v>362.50999999999982</v>
      </c>
      <c r="F34" s="51">
        <f t="shared" si="3"/>
        <v>0.84</v>
      </c>
      <c r="G34" s="62">
        <v>0.6</v>
      </c>
      <c r="H34" s="62"/>
      <c r="I34" s="161">
        <f t="shared" si="4"/>
        <v>4.9100000000000019</v>
      </c>
      <c r="J34" s="44"/>
      <c r="K34" s="44"/>
      <c r="L34" s="44"/>
      <c r="M34" s="63">
        <f t="shared" si="0"/>
        <v>0</v>
      </c>
      <c r="N34" s="24">
        <v>0.23200000000000001</v>
      </c>
      <c r="O34" s="47">
        <f t="shared" si="5"/>
        <v>1.513999999999998</v>
      </c>
      <c r="P34" s="65">
        <v>0</v>
      </c>
      <c r="Q34" s="47">
        <f t="shared" si="1"/>
        <v>368.93399999999986</v>
      </c>
      <c r="R34" s="165">
        <f t="shared" si="6"/>
        <v>31.310000000000002</v>
      </c>
      <c r="S34" s="160">
        <v>37.65</v>
      </c>
      <c r="T34" s="86">
        <v>0</v>
      </c>
      <c r="U34" s="86">
        <v>1878792.84</v>
      </c>
      <c r="V34" s="87"/>
      <c r="W34" s="153">
        <v>0</v>
      </c>
      <c r="X34" s="94"/>
      <c r="Y34" s="58"/>
      <c r="Z34" s="86">
        <v>1205732.216</v>
      </c>
      <c r="AA34" s="86"/>
      <c r="AB34" s="129"/>
      <c r="AC34" s="58"/>
      <c r="AD34" s="87"/>
      <c r="AE34" s="57"/>
      <c r="AF34" s="87"/>
      <c r="AG34" s="58"/>
      <c r="AH34" s="384"/>
      <c r="AI34" s="122"/>
      <c r="AJ34" s="99"/>
      <c r="AK34" s="21"/>
      <c r="AL34" s="21"/>
      <c r="AM34" s="21"/>
    </row>
    <row r="35" spans="1:39" ht="15" outlineLevel="1" thickBot="1" x14ac:dyDescent="0.35">
      <c r="A35" s="7">
        <v>45322</v>
      </c>
      <c r="B35" s="108">
        <v>19.05</v>
      </c>
      <c r="C35" s="19">
        <v>0.88600000000000001</v>
      </c>
      <c r="D35" s="92">
        <f>AI29</f>
        <v>37.65</v>
      </c>
      <c r="E35" s="73">
        <f>E34+D35-B35-C35</f>
        <v>380.22399999999976</v>
      </c>
      <c r="F35" s="100">
        <f t="shared" si="3"/>
        <v>0.88600000000000001</v>
      </c>
      <c r="G35" s="108">
        <f>0.986-H35</f>
        <v>0.6</v>
      </c>
      <c r="H35" s="108">
        <v>0.38600000000000001</v>
      </c>
      <c r="I35" s="161">
        <f>I34+F35-G35-H35</f>
        <v>4.8100000000000023</v>
      </c>
      <c r="J35" s="18"/>
      <c r="K35" s="74"/>
      <c r="L35" s="75"/>
      <c r="M35" s="109">
        <f t="shared" si="0"/>
        <v>0.38600000000000001</v>
      </c>
      <c r="N35" s="24">
        <v>0.187</v>
      </c>
      <c r="O35" s="50">
        <f>O34+M35-N35</f>
        <v>1.7129999999999981</v>
      </c>
      <c r="P35" s="76"/>
      <c r="Q35" s="50">
        <f t="shared" si="1"/>
        <v>386.74699999999979</v>
      </c>
      <c r="R35" s="166">
        <f t="shared" si="6"/>
        <v>20.036000000000001</v>
      </c>
      <c r="S35" s="160">
        <v>0</v>
      </c>
      <c r="T35" s="86">
        <v>0</v>
      </c>
      <c r="U35" s="86">
        <v>1878792.84</v>
      </c>
      <c r="V35" s="87"/>
      <c r="W35" s="153">
        <v>0</v>
      </c>
      <c r="X35" s="94"/>
      <c r="Y35" s="58"/>
      <c r="Z35" s="86">
        <v>1205732.216</v>
      </c>
      <c r="AA35" s="86"/>
      <c r="AB35" s="129"/>
      <c r="AC35" s="58"/>
      <c r="AD35" s="87"/>
      <c r="AE35" s="57"/>
      <c r="AF35" s="87"/>
      <c r="AG35" s="58"/>
      <c r="AH35" s="384"/>
      <c r="AI35" s="122"/>
      <c r="AJ35" s="99"/>
      <c r="AK35" s="21"/>
      <c r="AL35" s="21"/>
    </row>
    <row r="36" spans="1:39" ht="15" thickBot="1" x14ac:dyDescent="0.35">
      <c r="A36" s="36" t="s">
        <v>12</v>
      </c>
      <c r="B36" s="37">
        <f>SUM(B5:B35)</f>
        <v>525.36999999999989</v>
      </c>
      <c r="C36" s="37">
        <f>SUM(C5:C35)</f>
        <v>28.077000000000005</v>
      </c>
      <c r="D36" s="37">
        <f>SUM(D5:D35)</f>
        <v>649.46499999999992</v>
      </c>
      <c r="E36" s="115">
        <f>INDEX(E5:E35,COUNTA(E5:E35))-12.74</f>
        <v>367.48399999999975</v>
      </c>
      <c r="F36" s="37">
        <f>SUM(F5:F35)</f>
        <v>28.077000000000005</v>
      </c>
      <c r="G36" s="37">
        <f>SUM(G5:G35)</f>
        <v>22.909000000000002</v>
      </c>
      <c r="H36" s="37">
        <f>SUM(H5:H35)</f>
        <v>4.0979999999999999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4.0979999999999999</v>
      </c>
      <c r="N36" s="37">
        <f>SUM(N5:N35)</f>
        <v>4.2570000000000006</v>
      </c>
      <c r="O36" s="41"/>
      <c r="P36" s="40">
        <f>B36+G36+H36+J36</f>
        <v>552.37699999999984</v>
      </c>
      <c r="Q36" s="41"/>
      <c r="R36" s="167">
        <f>SUM(R5:R35)</f>
        <v>552.37699999999995</v>
      </c>
      <c r="S36" s="114">
        <f>INDEX(S5:S35,COUNTA(S5:S35))</f>
        <v>0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/>
      <c r="AI36" s="122"/>
      <c r="AJ36" s="21"/>
      <c r="AK36" s="99"/>
      <c r="AL36" s="21"/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H37" s="384"/>
      <c r="AI37" s="122"/>
      <c r="AJ37" s="473"/>
      <c r="AK37" s="99"/>
      <c r="AL37" s="21"/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367.48399999999975</v>
      </c>
      <c r="AA38" s="111"/>
      <c r="AB38" s="111"/>
      <c r="AC38" s="111"/>
      <c r="AD38" s="112"/>
      <c r="AH38" s="474"/>
      <c r="AI38" s="475"/>
      <c r="AJ38" s="475"/>
      <c r="AK38" s="475"/>
      <c r="AL38" s="475"/>
    </row>
    <row r="39" spans="1:39" s="33" customFormat="1" ht="13.2" customHeight="1" x14ac:dyDescent="0.3">
      <c r="B39" s="2"/>
      <c r="E39" s="110"/>
      <c r="F39" s="60"/>
      <c r="Q39" s="319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0</v>
      </c>
      <c r="AA39" s="111"/>
      <c r="AB39" s="111"/>
      <c r="AC39" s="111"/>
      <c r="AD39" s="112"/>
      <c r="AH39" s="123"/>
      <c r="AI39" s="122"/>
      <c r="AJ39" s="473"/>
      <c r="AK39" s="99"/>
      <c r="AL39" s="475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N97</f>
        <v>108.42678065241844</v>
      </c>
      <c r="AA40" s="111"/>
      <c r="AB40" s="111"/>
      <c r="AC40" s="111"/>
      <c r="AD40" s="112"/>
      <c r="AH40" s="474"/>
      <c r="AI40" s="122"/>
      <c r="AJ40" s="475"/>
      <c r="AK40" s="475"/>
      <c r="AL40" s="475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475.91078065241823</v>
      </c>
      <c r="AA41" s="111"/>
      <c r="AB41" s="111"/>
      <c r="AC41" s="111"/>
      <c r="AD41" s="112"/>
      <c r="AH41" s="474"/>
      <c r="AI41" s="475"/>
      <c r="AJ41" s="475"/>
      <c r="AK41" s="475"/>
      <c r="AL41" s="475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9" hidden="1" x14ac:dyDescent="0.3">
      <c r="E43" s="691" t="s">
        <v>18</v>
      </c>
      <c r="F43" s="692"/>
      <c r="G43" s="693"/>
      <c r="H43" s="552" t="s">
        <v>358</v>
      </c>
      <c r="I43" s="694"/>
      <c r="M43" s="240">
        <v>23874</v>
      </c>
      <c r="N43" s="342"/>
      <c r="O43" s="702" t="s">
        <v>201</v>
      </c>
      <c r="Q43" s="307" t="s">
        <v>303</v>
      </c>
      <c r="R43" s="355" t="s">
        <v>305</v>
      </c>
      <c r="T43" s="174"/>
      <c r="U43" s="174"/>
      <c r="V43" s="175"/>
      <c r="W43" s="175"/>
      <c r="X43" s="176"/>
      <c r="Y43" s="176"/>
      <c r="Z43" s="175"/>
      <c r="AA43" s="151"/>
      <c r="AB43" s="151"/>
      <c r="AC43" s="151"/>
      <c r="AD43" s="152"/>
      <c r="AI43" s="123"/>
      <c r="AJ43" s="103"/>
      <c r="AK43" s="103"/>
      <c r="AL43" s="91"/>
    </row>
    <row r="44" spans="1:39" s="315" customFormat="1" hidden="1" x14ac:dyDescent="0.3">
      <c r="C44" s="338"/>
      <c r="D44" s="98"/>
      <c r="E44" s="691" t="s">
        <v>18</v>
      </c>
      <c r="F44" s="692"/>
      <c r="G44" s="693"/>
      <c r="H44" s="552" t="s">
        <v>348</v>
      </c>
      <c r="I44" s="694"/>
      <c r="J44" s="124"/>
      <c r="K44" s="508"/>
      <c r="L44" s="145"/>
      <c r="M44" s="240">
        <v>27678</v>
      </c>
      <c r="N44" s="342"/>
      <c r="O44" s="702"/>
      <c r="P44" s="138"/>
      <c r="S44" s="355" t="s">
        <v>304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9" s="315" customFormat="1" hidden="1" x14ac:dyDescent="0.3">
      <c r="C45" s="338"/>
      <c r="D45" s="98"/>
      <c r="E45" s="691" t="s">
        <v>18</v>
      </c>
      <c r="F45" s="692"/>
      <c r="G45" s="693"/>
      <c r="H45" s="650" t="s">
        <v>394</v>
      </c>
      <c r="I45" s="651"/>
      <c r="J45" s="124"/>
      <c r="K45" s="508"/>
      <c r="L45" s="145"/>
      <c r="M45" s="240">
        <v>31374</v>
      </c>
      <c r="N45" s="342"/>
      <c r="O45" s="512" t="s">
        <v>351</v>
      </c>
      <c r="P45" s="138"/>
      <c r="Q45" s="307" t="s">
        <v>352</v>
      </c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9" s="315" customFormat="1" hidden="1" x14ac:dyDescent="0.3">
      <c r="C46" s="338"/>
      <c r="D46" s="98"/>
      <c r="E46" s="691" t="s">
        <v>18</v>
      </c>
      <c r="F46" s="692"/>
      <c r="G46" s="693"/>
      <c r="H46" s="650" t="s">
        <v>395</v>
      </c>
      <c r="I46" s="651"/>
      <c r="J46" s="124"/>
      <c r="K46" s="508"/>
      <c r="L46" s="145"/>
      <c r="M46" s="240">
        <v>32874</v>
      </c>
      <c r="N46" s="342"/>
      <c r="O46" s="512"/>
      <c r="P46" s="138"/>
      <c r="Q46" s="307"/>
      <c r="R46" s="307" t="s">
        <v>353</v>
      </c>
      <c r="S46" s="307" t="s">
        <v>354</v>
      </c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9" s="315" customFormat="1" x14ac:dyDescent="0.3">
      <c r="C47" s="338"/>
      <c r="D47" s="98"/>
      <c r="E47" s="688" t="s">
        <v>18</v>
      </c>
      <c r="F47" s="689"/>
      <c r="G47" s="690"/>
      <c r="H47" s="552" t="s">
        <v>573</v>
      </c>
      <c r="I47" s="694"/>
      <c r="J47" s="124"/>
      <c r="K47" s="522"/>
      <c r="L47" s="145"/>
      <c r="M47" s="344">
        <v>27228</v>
      </c>
      <c r="N47" s="342"/>
      <c r="O47" s="702" t="s">
        <v>499</v>
      </c>
      <c r="P47" s="138"/>
      <c r="Q47" s="307"/>
      <c r="R47" s="307"/>
      <c r="S47" s="307" t="s">
        <v>575</v>
      </c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9" s="315" customFormat="1" x14ac:dyDescent="0.3">
      <c r="C48" s="338"/>
      <c r="D48" s="98"/>
      <c r="E48" s="688" t="s">
        <v>18</v>
      </c>
      <c r="F48" s="689"/>
      <c r="G48" s="690"/>
      <c r="H48" s="552" t="s">
        <v>574</v>
      </c>
      <c r="I48" s="694"/>
      <c r="J48" s="124"/>
      <c r="K48" s="508"/>
      <c r="L48" s="145"/>
      <c r="M48" s="344">
        <v>28638</v>
      </c>
      <c r="N48" s="147"/>
      <c r="O48" s="702"/>
      <c r="P48" s="138"/>
      <c r="Q48" s="307" t="s">
        <v>530</v>
      </c>
      <c r="R48" s="307" t="s">
        <v>545</v>
      </c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hidden="1" x14ac:dyDescent="0.3">
      <c r="C49" s="338"/>
      <c r="D49" s="98"/>
      <c r="E49" s="688" t="s">
        <v>18</v>
      </c>
      <c r="F49" s="689"/>
      <c r="G49" s="690"/>
      <c r="H49" s="650" t="s">
        <v>536</v>
      </c>
      <c r="I49" s="651"/>
      <c r="J49" s="124"/>
      <c r="K49" s="508"/>
      <c r="L49" s="145"/>
      <c r="M49" s="240">
        <v>22350</v>
      </c>
      <c r="N49" s="342"/>
      <c r="O49" s="702" t="s">
        <v>499</v>
      </c>
      <c r="P49" s="138"/>
      <c r="Q49" s="343"/>
      <c r="R49" s="343"/>
      <c r="S49" s="164" t="s">
        <v>498</v>
      </c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hidden="1" x14ac:dyDescent="0.3">
      <c r="C50" s="338"/>
      <c r="D50" s="98"/>
      <c r="E50" s="688" t="s">
        <v>18</v>
      </c>
      <c r="F50" s="689"/>
      <c r="G50" s="690"/>
      <c r="H50" s="650" t="s">
        <v>535</v>
      </c>
      <c r="I50" s="651"/>
      <c r="J50" s="124"/>
      <c r="K50" s="508"/>
      <c r="L50" s="145"/>
      <c r="M50" s="240">
        <v>25650</v>
      </c>
      <c r="N50" s="342"/>
      <c r="O50" s="702"/>
      <c r="P50" s="138"/>
      <c r="Q50" s="164"/>
      <c r="R50" s="164" t="s">
        <v>497</v>
      </c>
      <c r="S50" s="338"/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hidden="1" x14ac:dyDescent="0.3">
      <c r="C51" s="338"/>
      <c r="D51" s="98"/>
      <c r="E51" s="688" t="s">
        <v>18</v>
      </c>
      <c r="F51" s="689"/>
      <c r="G51" s="690"/>
      <c r="H51" s="650" t="s">
        <v>521</v>
      </c>
      <c r="I51" s="651"/>
      <c r="J51" s="124"/>
      <c r="K51" s="508"/>
      <c r="L51" s="145"/>
      <c r="M51" s="240">
        <v>28650</v>
      </c>
      <c r="N51" s="147"/>
      <c r="O51" s="702"/>
      <c r="P51" s="138"/>
      <c r="Q51" s="164" t="s">
        <v>515</v>
      </c>
      <c r="R51" s="338"/>
      <c r="S51" s="338"/>
      <c r="T51" s="343"/>
      <c r="U51" s="319"/>
      <c r="V51" s="320"/>
      <c r="W51" s="321"/>
      <c r="X51" s="322"/>
      <c r="Y51" s="322"/>
      <c r="Z51" s="323"/>
      <c r="AA51" s="324"/>
      <c r="AB51" s="324"/>
      <c r="AC51" s="324"/>
      <c r="AD51" s="324"/>
      <c r="AG51" s="325"/>
      <c r="AH51" s="326"/>
      <c r="AI51" s="325"/>
      <c r="AJ51" s="325"/>
      <c r="AK51" s="325"/>
      <c r="AL51" s="324"/>
    </row>
    <row r="52" spans="3:38" s="315" customFormat="1" hidden="1" x14ac:dyDescent="0.3">
      <c r="D52" s="98"/>
      <c r="E52" s="688" t="s">
        <v>18</v>
      </c>
      <c r="F52" s="689"/>
      <c r="G52" s="690"/>
      <c r="H52" s="650" t="s">
        <v>468</v>
      </c>
      <c r="I52" s="651"/>
      <c r="J52" s="124"/>
      <c r="K52" s="508"/>
      <c r="L52" s="145"/>
      <c r="M52" s="240">
        <v>37074</v>
      </c>
      <c r="N52" s="147"/>
      <c r="O52" s="512"/>
      <c r="P52" s="138"/>
      <c r="Q52" s="164" t="s">
        <v>470</v>
      </c>
      <c r="R52" s="164" t="s">
        <v>491</v>
      </c>
      <c r="S52" s="164"/>
      <c r="T52" s="319"/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G52" s="325"/>
      <c r="AH52" s="326"/>
      <c r="AI52" s="325"/>
      <c r="AJ52" s="325"/>
      <c r="AK52" s="325"/>
      <c r="AL52" s="324"/>
    </row>
    <row r="53" spans="3:38" s="315" customFormat="1" hidden="1" x14ac:dyDescent="0.3">
      <c r="C53" s="338"/>
      <c r="D53" s="98"/>
      <c r="E53" s="688" t="s">
        <v>18</v>
      </c>
      <c r="F53" s="689"/>
      <c r="G53" s="690"/>
      <c r="H53" s="650" t="s">
        <v>415</v>
      </c>
      <c r="I53" s="651"/>
      <c r="J53" s="124"/>
      <c r="K53" s="508"/>
      <c r="L53" s="145"/>
      <c r="M53" s="240">
        <v>29670</v>
      </c>
      <c r="N53" s="147"/>
      <c r="O53" s="512"/>
      <c r="P53" s="138"/>
      <c r="Q53" s="164" t="s">
        <v>416</v>
      </c>
      <c r="R53" s="164" t="s">
        <v>417</v>
      </c>
      <c r="S53" s="164"/>
      <c r="T53" s="343"/>
      <c r="U53" s="319"/>
      <c r="V53" s="320"/>
      <c r="W53" s="321"/>
      <c r="X53" s="322"/>
      <c r="Y53" s="322"/>
      <c r="Z53" s="323"/>
      <c r="AA53" s="324"/>
      <c r="AB53" s="324"/>
      <c r="AC53" s="324"/>
      <c r="AD53" s="324"/>
      <c r="AG53" s="325"/>
      <c r="AH53" s="326"/>
      <c r="AI53" s="325"/>
      <c r="AJ53" s="325"/>
      <c r="AK53" s="325"/>
      <c r="AL53" s="324"/>
    </row>
    <row r="54" spans="3:38" s="315" customFormat="1" hidden="1" x14ac:dyDescent="0.3">
      <c r="C54" s="338"/>
      <c r="D54" s="98"/>
      <c r="E54" s="688" t="s">
        <v>323</v>
      </c>
      <c r="F54" s="689"/>
      <c r="G54" s="690"/>
      <c r="H54" s="697" t="s">
        <v>378</v>
      </c>
      <c r="I54" s="698"/>
      <c r="J54" s="124"/>
      <c r="K54" s="508"/>
      <c r="L54" s="145"/>
      <c r="M54" s="240">
        <v>28000</v>
      </c>
      <c r="N54" s="147"/>
      <c r="O54" s="379"/>
      <c r="P54" s="138"/>
      <c r="Q54" s="495" t="s">
        <v>335</v>
      </c>
      <c r="R54" s="343"/>
      <c r="S54" s="343"/>
      <c r="T54" s="343"/>
      <c r="U54" s="319"/>
      <c r="V54" s="320"/>
      <c r="W54" s="321"/>
      <c r="X54" s="322"/>
      <c r="Y54" s="322"/>
      <c r="Z54" s="323"/>
      <c r="AA54" s="324"/>
      <c r="AB54" s="324"/>
      <c r="AC54" s="324"/>
      <c r="AD54" s="324"/>
      <c r="AG54" s="325"/>
      <c r="AH54" s="326"/>
      <c r="AI54" s="325"/>
      <c r="AJ54" s="325"/>
      <c r="AK54" s="325"/>
      <c r="AL54" s="324"/>
    </row>
    <row r="55" spans="3:38" s="315" customFormat="1" hidden="1" x14ac:dyDescent="0.3">
      <c r="C55" s="338"/>
      <c r="D55" s="98"/>
      <c r="E55" s="688" t="s">
        <v>429</v>
      </c>
      <c r="F55" s="689"/>
      <c r="G55" s="690"/>
      <c r="H55" s="697" t="s">
        <v>388</v>
      </c>
      <c r="I55" s="698"/>
      <c r="J55" s="124"/>
      <c r="K55" s="508"/>
      <c r="L55" s="145"/>
      <c r="M55" s="240">
        <v>28400</v>
      </c>
      <c r="N55" s="147"/>
      <c r="O55" s="512"/>
      <c r="P55" s="138"/>
      <c r="Q55" s="495" t="s">
        <v>335</v>
      </c>
      <c r="R55" s="343"/>
      <c r="S55" s="343"/>
      <c r="T55" s="343"/>
      <c r="U55" s="319"/>
      <c r="V55" s="320"/>
      <c r="W55" s="321"/>
      <c r="X55" s="322"/>
      <c r="Y55" s="322"/>
      <c r="Z55" s="323"/>
      <c r="AA55" s="324"/>
      <c r="AB55" s="324"/>
      <c r="AC55" s="324"/>
      <c r="AD55" s="324"/>
      <c r="AG55" s="325"/>
      <c r="AH55" s="326"/>
      <c r="AI55" s="325"/>
      <c r="AJ55" s="325"/>
      <c r="AK55" s="325"/>
      <c r="AL55" s="324"/>
    </row>
    <row r="56" spans="3:38" s="315" customFormat="1" hidden="1" x14ac:dyDescent="0.3">
      <c r="C56" s="338"/>
      <c r="D56" s="98"/>
      <c r="E56" s="688" t="s">
        <v>323</v>
      </c>
      <c r="F56" s="689"/>
      <c r="G56" s="690"/>
      <c r="H56" s="697" t="s">
        <v>387</v>
      </c>
      <c r="I56" s="698"/>
      <c r="J56" s="124"/>
      <c r="K56" s="508"/>
      <c r="L56" s="145"/>
      <c r="M56" s="240">
        <v>28500</v>
      </c>
      <c r="N56" s="147"/>
      <c r="O56" s="512"/>
      <c r="P56" s="138"/>
      <c r="Q56" s="495" t="s">
        <v>335</v>
      </c>
      <c r="R56" s="343"/>
      <c r="S56" s="343"/>
      <c r="T56" s="343"/>
      <c r="U56" s="319"/>
      <c r="V56" s="320"/>
      <c r="W56" s="321"/>
      <c r="X56" s="322"/>
      <c r="Y56" s="322"/>
      <c r="Z56" s="323"/>
      <c r="AA56" s="324"/>
      <c r="AB56" s="324"/>
      <c r="AC56" s="324"/>
      <c r="AD56" s="324"/>
      <c r="AG56" s="325"/>
      <c r="AH56" s="326"/>
      <c r="AI56" s="325"/>
      <c r="AJ56" s="325"/>
      <c r="AK56" s="325"/>
      <c r="AL56" s="324"/>
    </row>
    <row r="57" spans="3:38" s="315" customFormat="1" hidden="1" x14ac:dyDescent="0.3">
      <c r="C57" s="338"/>
      <c r="D57" s="98"/>
      <c r="E57" s="688" t="s">
        <v>430</v>
      </c>
      <c r="F57" s="689"/>
      <c r="G57" s="690"/>
      <c r="H57" s="697" t="s">
        <v>389</v>
      </c>
      <c r="I57" s="698"/>
      <c r="J57" s="124"/>
      <c r="K57" s="508"/>
      <c r="L57" s="145"/>
      <c r="M57" s="240">
        <v>29000</v>
      </c>
      <c r="N57" s="147"/>
      <c r="O57" s="512"/>
      <c r="P57" s="138"/>
      <c r="Q57" s="495" t="s">
        <v>335</v>
      </c>
      <c r="R57" s="343"/>
      <c r="S57" s="343"/>
      <c r="T57" s="343"/>
      <c r="U57" s="319"/>
      <c r="V57" s="320"/>
      <c r="W57" s="321"/>
      <c r="X57" s="322"/>
      <c r="Y57" s="322"/>
      <c r="Z57" s="323"/>
      <c r="AA57" s="324"/>
      <c r="AB57" s="324"/>
      <c r="AC57" s="324"/>
      <c r="AD57" s="324"/>
      <c r="AG57" s="325"/>
      <c r="AH57" s="326"/>
      <c r="AI57" s="325"/>
      <c r="AJ57" s="325"/>
      <c r="AK57" s="325"/>
      <c r="AL57" s="324"/>
    </row>
    <row r="58" spans="3:38" s="315" customFormat="1" hidden="1" x14ac:dyDescent="0.3">
      <c r="C58" s="338"/>
      <c r="D58" s="98"/>
      <c r="E58" s="688" t="s">
        <v>323</v>
      </c>
      <c r="F58" s="689"/>
      <c r="G58" s="690"/>
      <c r="H58" s="697" t="s">
        <v>399</v>
      </c>
      <c r="I58" s="698"/>
      <c r="J58" s="124"/>
      <c r="K58" s="508"/>
      <c r="L58" s="145"/>
      <c r="M58" s="240">
        <v>30200</v>
      </c>
      <c r="N58" s="147"/>
      <c r="O58" s="477"/>
      <c r="P58" s="138"/>
      <c r="Q58" s="495" t="s">
        <v>335</v>
      </c>
      <c r="R58" s="343"/>
      <c r="S58" s="343"/>
      <c r="T58" s="343"/>
      <c r="U58" s="319"/>
      <c r="V58" s="320"/>
      <c r="W58" s="321"/>
      <c r="X58" s="322"/>
      <c r="Y58" s="322"/>
      <c r="Z58" s="323"/>
      <c r="AA58" s="324"/>
      <c r="AB58" s="324"/>
      <c r="AC58" s="324"/>
      <c r="AD58" s="324"/>
      <c r="AG58" s="325"/>
      <c r="AH58" s="326"/>
      <c r="AI58" s="325"/>
      <c r="AJ58" s="325"/>
      <c r="AK58" s="325"/>
      <c r="AL58" s="324"/>
    </row>
    <row r="59" spans="3:38" s="315" customFormat="1" hidden="1" x14ac:dyDescent="0.3">
      <c r="C59" s="338"/>
      <c r="D59" s="98"/>
      <c r="E59" s="688" t="s">
        <v>229</v>
      </c>
      <c r="F59" s="689"/>
      <c r="G59" s="690"/>
      <c r="H59" s="650" t="s">
        <v>415</v>
      </c>
      <c r="I59" s="651"/>
      <c r="J59" s="124"/>
      <c r="K59" s="508"/>
      <c r="L59" s="145"/>
      <c r="M59" s="240">
        <v>36500</v>
      </c>
      <c r="N59" s="147"/>
      <c r="O59" s="379"/>
      <c r="P59" s="138"/>
      <c r="Q59" s="495"/>
      <c r="R59" s="343"/>
      <c r="S59" s="343"/>
      <c r="T59" s="343"/>
      <c r="U59" s="319"/>
      <c r="V59" s="320"/>
      <c r="W59" s="321"/>
      <c r="X59" s="322"/>
      <c r="Y59" s="322"/>
      <c r="Z59" s="323"/>
      <c r="AA59" s="324"/>
      <c r="AB59" s="324"/>
      <c r="AC59" s="324"/>
      <c r="AD59" s="324"/>
      <c r="AG59" s="325"/>
      <c r="AH59" s="326"/>
      <c r="AI59" s="325"/>
      <c r="AJ59" s="325"/>
      <c r="AK59" s="325"/>
      <c r="AL59" s="324"/>
    </row>
    <row r="60" spans="3:38" s="315" customFormat="1" hidden="1" x14ac:dyDescent="0.3">
      <c r="C60" s="338"/>
      <c r="D60" s="98"/>
      <c r="E60" s="688" t="s">
        <v>323</v>
      </c>
      <c r="F60" s="689"/>
      <c r="G60" s="690"/>
      <c r="H60" s="697" t="s">
        <v>451</v>
      </c>
      <c r="I60" s="698"/>
      <c r="J60" s="124"/>
      <c r="K60" s="508"/>
      <c r="L60" s="145"/>
      <c r="M60" s="240">
        <v>29800</v>
      </c>
      <c r="N60" s="147"/>
      <c r="O60" s="477" t="s">
        <v>493</v>
      </c>
      <c r="P60" s="138"/>
      <c r="Q60" s="495" t="s">
        <v>439</v>
      </c>
      <c r="R60" s="343"/>
      <c r="S60" s="343"/>
      <c r="T60" s="343"/>
      <c r="U60" s="319"/>
      <c r="V60" s="320"/>
      <c r="W60" s="321"/>
      <c r="X60" s="322"/>
      <c r="Y60" s="322"/>
      <c r="Z60" s="323"/>
      <c r="AA60" s="324"/>
      <c r="AB60" s="324"/>
      <c r="AC60" s="324"/>
      <c r="AD60" s="324"/>
      <c r="AG60" s="325"/>
      <c r="AH60" s="326"/>
      <c r="AI60" s="325"/>
      <c r="AJ60" s="325"/>
      <c r="AK60" s="325"/>
      <c r="AL60" s="324"/>
    </row>
    <row r="61" spans="3:38" s="315" customFormat="1" hidden="1" x14ac:dyDescent="0.3">
      <c r="C61" s="338"/>
      <c r="D61" s="98"/>
      <c r="E61" s="688" t="s">
        <v>323</v>
      </c>
      <c r="F61" s="689"/>
      <c r="G61" s="690"/>
      <c r="H61" s="697" t="s">
        <v>452</v>
      </c>
      <c r="I61" s="698"/>
      <c r="J61" s="124"/>
      <c r="K61" s="508"/>
      <c r="L61" s="145"/>
      <c r="M61" s="240">
        <v>29800</v>
      </c>
      <c r="N61" s="147"/>
      <c r="O61" s="477" t="s">
        <v>48</v>
      </c>
      <c r="P61" s="138"/>
      <c r="Q61" s="381" t="s">
        <v>335</v>
      </c>
      <c r="R61" s="343"/>
      <c r="S61" s="343"/>
      <c r="T61" s="343"/>
      <c r="U61" s="319"/>
      <c r="V61" s="320"/>
      <c r="W61" s="321"/>
      <c r="X61" s="322"/>
      <c r="Y61" s="322"/>
      <c r="Z61" s="323"/>
      <c r="AA61" s="324"/>
      <c r="AB61" s="324"/>
      <c r="AC61" s="324"/>
      <c r="AD61" s="324"/>
      <c r="AG61" s="325"/>
      <c r="AH61" s="326"/>
      <c r="AI61" s="325"/>
      <c r="AJ61" s="325"/>
      <c r="AK61" s="325"/>
      <c r="AL61" s="324"/>
    </row>
    <row r="62" spans="3:38" s="315" customFormat="1" hidden="1" x14ac:dyDescent="0.3">
      <c r="C62" s="338"/>
      <c r="D62" s="98"/>
      <c r="E62" s="688" t="s">
        <v>323</v>
      </c>
      <c r="F62" s="689"/>
      <c r="G62" s="690"/>
      <c r="H62" s="697" t="s">
        <v>450</v>
      </c>
      <c r="I62" s="698"/>
      <c r="J62" s="124"/>
      <c r="K62" s="508"/>
      <c r="L62" s="145"/>
      <c r="M62" s="240">
        <v>31400</v>
      </c>
      <c r="N62" s="147"/>
      <c r="O62" s="477"/>
      <c r="P62" s="138"/>
      <c r="Q62" s="338" t="s">
        <v>508</v>
      </c>
      <c r="R62" s="343"/>
      <c r="S62" s="343"/>
      <c r="T62" s="343"/>
      <c r="U62" s="319"/>
      <c r="V62" s="320"/>
      <c r="W62" s="321"/>
      <c r="X62" s="322"/>
      <c r="Y62" s="322"/>
      <c r="Z62" s="323"/>
      <c r="AA62" s="324"/>
      <c r="AB62" s="324"/>
      <c r="AC62" s="324"/>
      <c r="AD62" s="324"/>
      <c r="AG62" s="325"/>
      <c r="AH62" s="326"/>
      <c r="AI62" s="325"/>
      <c r="AJ62" s="325"/>
      <c r="AK62" s="325"/>
      <c r="AL62" s="324"/>
    </row>
    <row r="63" spans="3:38" s="315" customFormat="1" hidden="1" x14ac:dyDescent="0.3">
      <c r="C63" s="338"/>
      <c r="D63" s="98"/>
      <c r="E63" s="688" t="s">
        <v>323</v>
      </c>
      <c r="F63" s="689"/>
      <c r="G63" s="690"/>
      <c r="H63" s="697" t="s">
        <v>442</v>
      </c>
      <c r="I63" s="698"/>
      <c r="J63" s="124"/>
      <c r="K63" s="508"/>
      <c r="L63" s="145"/>
      <c r="M63" s="240">
        <v>31400</v>
      </c>
      <c r="N63" s="147"/>
      <c r="O63" s="477">
        <v>108</v>
      </c>
      <c r="P63" s="138"/>
      <c r="Q63" s="495" t="s">
        <v>439</v>
      </c>
      <c r="R63" s="343"/>
      <c r="S63" s="343"/>
      <c r="T63" s="343"/>
      <c r="U63" s="319"/>
      <c r="V63" s="320"/>
      <c r="W63" s="321"/>
      <c r="X63" s="322"/>
      <c r="Y63" s="322"/>
      <c r="Z63" s="323"/>
      <c r="AA63" s="324"/>
      <c r="AB63" s="324"/>
      <c r="AC63" s="324"/>
      <c r="AD63" s="324"/>
      <c r="AG63" s="325"/>
      <c r="AH63" s="326"/>
      <c r="AI63" s="325"/>
      <c r="AJ63" s="325"/>
      <c r="AK63" s="325"/>
      <c r="AL63" s="324"/>
    </row>
    <row r="64" spans="3:38" s="315" customFormat="1" hidden="1" x14ac:dyDescent="0.3">
      <c r="C64" s="338"/>
      <c r="D64" s="98"/>
      <c r="E64" s="688" t="s">
        <v>323</v>
      </c>
      <c r="F64" s="689"/>
      <c r="G64" s="690"/>
      <c r="H64" s="697" t="s">
        <v>441</v>
      </c>
      <c r="I64" s="698"/>
      <c r="J64" s="124"/>
      <c r="K64" s="508"/>
      <c r="L64" s="145"/>
      <c r="M64" s="240">
        <v>30900</v>
      </c>
      <c r="N64" s="147"/>
      <c r="O64" s="477">
        <v>144</v>
      </c>
      <c r="P64" s="138"/>
      <c r="Q64" s="495" t="s">
        <v>440</v>
      </c>
      <c r="R64" s="343"/>
      <c r="S64" s="343"/>
      <c r="T64" s="343"/>
      <c r="U64" s="319"/>
      <c r="V64" s="320"/>
      <c r="W64" s="321"/>
      <c r="X64" s="322"/>
      <c r="Y64" s="322"/>
      <c r="Z64" s="323"/>
      <c r="AA64" s="324"/>
      <c r="AB64" s="324"/>
      <c r="AC64" s="324"/>
      <c r="AD64" s="324"/>
      <c r="AG64" s="325"/>
      <c r="AH64" s="326"/>
      <c r="AI64" s="325"/>
      <c r="AJ64" s="325"/>
      <c r="AK64" s="325"/>
      <c r="AL64" s="324"/>
    </row>
    <row r="65" spans="3:38" s="315" customFormat="1" hidden="1" x14ac:dyDescent="0.3">
      <c r="C65" s="338"/>
      <c r="D65" s="98"/>
      <c r="E65" s="688" t="s">
        <v>323</v>
      </c>
      <c r="F65" s="689"/>
      <c r="G65" s="690"/>
      <c r="H65" s="697" t="s">
        <v>438</v>
      </c>
      <c r="I65" s="698"/>
      <c r="J65" s="124"/>
      <c r="K65" s="508"/>
      <c r="L65" s="145"/>
      <c r="M65" s="240">
        <v>29900</v>
      </c>
      <c r="N65" s="147"/>
      <c r="O65" s="477">
        <v>72</v>
      </c>
      <c r="P65" s="138"/>
      <c r="Q65" s="495" t="s">
        <v>439</v>
      </c>
      <c r="R65" s="343"/>
      <c r="S65" s="343"/>
      <c r="T65" s="343"/>
      <c r="U65" s="319"/>
      <c r="V65" s="320"/>
      <c r="W65" s="321"/>
      <c r="X65" s="322"/>
      <c r="Y65" s="322"/>
      <c r="Z65" s="323"/>
      <c r="AA65" s="324"/>
      <c r="AB65" s="324"/>
      <c r="AC65" s="324"/>
      <c r="AD65" s="324"/>
      <c r="AG65" s="325"/>
      <c r="AH65" s="326"/>
      <c r="AI65" s="325"/>
      <c r="AJ65" s="325"/>
      <c r="AK65" s="325"/>
      <c r="AL65" s="324"/>
    </row>
    <row r="66" spans="3:38" s="315" customFormat="1" hidden="1" x14ac:dyDescent="0.3">
      <c r="C66" s="338"/>
      <c r="D66" s="98"/>
      <c r="E66" s="688" t="s">
        <v>456</v>
      </c>
      <c r="F66" s="689"/>
      <c r="G66" s="690"/>
      <c r="H66" s="697" t="s">
        <v>433</v>
      </c>
      <c r="I66" s="698"/>
      <c r="J66" s="124"/>
      <c r="K66" s="508"/>
      <c r="L66" s="145"/>
      <c r="M66" s="240">
        <v>29150</v>
      </c>
      <c r="N66" s="147"/>
      <c r="O66" s="477"/>
      <c r="P66" s="138"/>
      <c r="Q66" s="338" t="s">
        <v>508</v>
      </c>
      <c r="R66" s="343"/>
      <c r="S66" s="343"/>
      <c r="T66" s="343"/>
      <c r="U66" s="319"/>
      <c r="V66" s="320"/>
      <c r="W66" s="321"/>
      <c r="X66" s="322"/>
      <c r="Y66" s="322"/>
      <c r="Z66" s="323"/>
      <c r="AA66" s="324"/>
      <c r="AB66" s="324"/>
      <c r="AC66" s="324"/>
      <c r="AD66" s="324"/>
      <c r="AG66" s="325"/>
      <c r="AH66" s="326"/>
      <c r="AI66" s="325"/>
      <c r="AJ66" s="325"/>
      <c r="AK66" s="325"/>
      <c r="AL66" s="324"/>
    </row>
    <row r="67" spans="3:38" s="315" customFormat="1" hidden="1" x14ac:dyDescent="0.3">
      <c r="C67" s="338"/>
      <c r="D67" s="98"/>
      <c r="E67" s="688" t="s">
        <v>448</v>
      </c>
      <c r="F67" s="689"/>
      <c r="G67" s="690"/>
      <c r="H67" s="697" t="s">
        <v>425</v>
      </c>
      <c r="I67" s="698"/>
      <c r="J67" s="124"/>
      <c r="K67" s="508"/>
      <c r="L67" s="145"/>
      <c r="M67" s="240">
        <v>31250</v>
      </c>
      <c r="N67" s="147"/>
      <c r="O67" s="477">
        <v>34</v>
      </c>
      <c r="P67" s="138"/>
      <c r="Q67" s="338" t="s">
        <v>508</v>
      </c>
      <c r="R67" s="343"/>
      <c r="S67" s="343"/>
      <c r="T67" s="343"/>
      <c r="U67" s="319"/>
      <c r="V67" s="320"/>
      <c r="W67" s="321"/>
      <c r="X67" s="322"/>
      <c r="Y67" s="322"/>
      <c r="Z67" s="323"/>
      <c r="AA67" s="324"/>
      <c r="AB67" s="324"/>
      <c r="AC67" s="324"/>
      <c r="AD67" s="324"/>
      <c r="AG67" s="325"/>
      <c r="AH67" s="326"/>
      <c r="AI67" s="325"/>
      <c r="AJ67" s="325"/>
      <c r="AK67" s="325"/>
      <c r="AL67" s="324"/>
    </row>
    <row r="68" spans="3:38" s="315" customFormat="1" hidden="1" x14ac:dyDescent="0.3">
      <c r="C68" s="338"/>
      <c r="D68" s="98"/>
      <c r="E68" s="688" t="s">
        <v>455</v>
      </c>
      <c r="F68" s="689"/>
      <c r="G68" s="690"/>
      <c r="H68" s="697" t="s">
        <v>418</v>
      </c>
      <c r="I68" s="698"/>
      <c r="J68" s="124"/>
      <c r="K68" s="508"/>
      <c r="L68" s="145"/>
      <c r="M68" s="240">
        <v>32000</v>
      </c>
      <c r="N68" s="147"/>
      <c r="O68" s="477"/>
      <c r="P68" s="138"/>
      <c r="Q68" s="338" t="s">
        <v>508</v>
      </c>
      <c r="R68" s="343"/>
      <c r="S68" s="343"/>
      <c r="T68" s="343"/>
      <c r="U68" s="319"/>
      <c r="V68" s="320"/>
      <c r="W68" s="321"/>
      <c r="X68" s="322"/>
      <c r="Y68" s="322"/>
      <c r="Z68" s="323"/>
      <c r="AA68" s="324"/>
      <c r="AB68" s="324"/>
      <c r="AC68" s="324"/>
      <c r="AD68" s="324"/>
      <c r="AG68" s="325"/>
      <c r="AH68" s="326"/>
      <c r="AI68" s="325"/>
      <c r="AJ68" s="325"/>
      <c r="AK68" s="325"/>
      <c r="AL68" s="324"/>
    </row>
    <row r="69" spans="3:38" s="315" customFormat="1" hidden="1" x14ac:dyDescent="0.3">
      <c r="C69" s="338"/>
      <c r="D69" s="98"/>
      <c r="E69" s="688" t="s">
        <v>447</v>
      </c>
      <c r="F69" s="689"/>
      <c r="G69" s="690"/>
      <c r="H69" s="697" t="s">
        <v>435</v>
      </c>
      <c r="I69" s="698"/>
      <c r="J69" s="124"/>
      <c r="K69" s="508"/>
      <c r="L69" s="145"/>
      <c r="M69" s="240">
        <v>32600</v>
      </c>
      <c r="N69" s="147"/>
      <c r="O69" s="477">
        <v>34</v>
      </c>
      <c r="P69" s="138"/>
      <c r="Q69" s="338" t="s">
        <v>508</v>
      </c>
      <c r="R69" s="343"/>
      <c r="S69" s="343"/>
      <c r="T69" s="343"/>
      <c r="U69" s="319"/>
      <c r="V69" s="320"/>
      <c r="W69" s="321"/>
      <c r="X69" s="322"/>
      <c r="Y69" s="322"/>
      <c r="Z69" s="323"/>
      <c r="AA69" s="324"/>
      <c r="AB69" s="324"/>
      <c r="AC69" s="324"/>
      <c r="AD69" s="324"/>
      <c r="AG69" s="325"/>
      <c r="AH69" s="326"/>
      <c r="AI69" s="325"/>
      <c r="AJ69" s="325"/>
      <c r="AK69" s="325"/>
      <c r="AL69" s="324"/>
    </row>
    <row r="70" spans="3:38" s="315" customFormat="1" hidden="1" x14ac:dyDescent="0.3">
      <c r="C70" s="338"/>
      <c r="D70" s="98"/>
      <c r="E70" s="688" t="s">
        <v>446</v>
      </c>
      <c r="F70" s="689"/>
      <c r="G70" s="690"/>
      <c r="H70" s="697" t="s">
        <v>436</v>
      </c>
      <c r="I70" s="698"/>
      <c r="J70" s="124"/>
      <c r="K70" s="508"/>
      <c r="L70" s="145"/>
      <c r="M70" s="240">
        <v>35250</v>
      </c>
      <c r="N70" s="147"/>
      <c r="O70" s="477">
        <v>68</v>
      </c>
      <c r="P70" s="138"/>
      <c r="Q70" s="338" t="s">
        <v>508</v>
      </c>
      <c r="R70" s="343"/>
      <c r="S70" s="343"/>
      <c r="T70" s="343"/>
      <c r="U70" s="319"/>
      <c r="V70" s="320"/>
      <c r="W70" s="321"/>
      <c r="X70" s="322"/>
      <c r="Y70" s="322"/>
      <c r="Z70" s="323"/>
      <c r="AA70" s="324"/>
      <c r="AB70" s="324"/>
      <c r="AC70" s="324"/>
      <c r="AD70" s="324"/>
      <c r="AG70" s="325"/>
      <c r="AH70" s="326"/>
      <c r="AI70" s="325"/>
      <c r="AJ70" s="325"/>
      <c r="AK70" s="325"/>
      <c r="AL70" s="324"/>
    </row>
    <row r="71" spans="3:38" s="315" customFormat="1" hidden="1" x14ac:dyDescent="0.3">
      <c r="C71" s="338"/>
      <c r="D71" s="98"/>
      <c r="E71" s="688" t="s">
        <v>392</v>
      </c>
      <c r="F71" s="689"/>
      <c r="G71" s="690"/>
      <c r="H71" s="697" t="s">
        <v>325</v>
      </c>
      <c r="I71" s="703"/>
      <c r="J71" s="124"/>
      <c r="K71" s="508"/>
      <c r="L71" s="145"/>
      <c r="M71" s="240">
        <v>23400</v>
      </c>
      <c r="N71" s="147"/>
      <c r="O71" s="512" t="s">
        <v>324</v>
      </c>
      <c r="P71" s="138"/>
      <c r="Q71" s="381" t="s">
        <v>326</v>
      </c>
      <c r="R71" s="343"/>
      <c r="S71" s="343"/>
      <c r="T71" s="343"/>
      <c r="U71" s="319"/>
      <c r="V71" s="320"/>
      <c r="W71" s="321"/>
      <c r="X71" s="322"/>
      <c r="Y71" s="322"/>
      <c r="Z71" s="323"/>
      <c r="AA71" s="324"/>
      <c r="AB71" s="324"/>
      <c r="AC71" s="324"/>
      <c r="AD71" s="324"/>
      <c r="AG71" s="325"/>
      <c r="AH71" s="326"/>
      <c r="AI71" s="325"/>
      <c r="AJ71" s="325"/>
      <c r="AK71" s="325"/>
      <c r="AL71" s="324"/>
    </row>
    <row r="72" spans="3:38" s="315" customFormat="1" hidden="1" x14ac:dyDescent="0.3">
      <c r="C72" s="338"/>
      <c r="D72" s="98"/>
      <c r="E72" s="688" t="s">
        <v>408</v>
      </c>
      <c r="F72" s="689"/>
      <c r="G72" s="690"/>
      <c r="H72" s="697" t="s">
        <v>327</v>
      </c>
      <c r="I72" s="698"/>
      <c r="J72" s="124"/>
      <c r="K72" s="508"/>
      <c r="L72" s="145"/>
      <c r="M72" s="240">
        <v>23200</v>
      </c>
      <c r="N72" s="147"/>
      <c r="O72" s="512" t="s">
        <v>49</v>
      </c>
      <c r="P72" s="138"/>
      <c r="Q72" s="381" t="s">
        <v>326</v>
      </c>
      <c r="R72" s="343"/>
      <c r="S72" s="343"/>
      <c r="T72" s="343"/>
      <c r="U72" s="319"/>
      <c r="V72" s="320"/>
      <c r="W72" s="321"/>
      <c r="X72" s="322"/>
      <c r="Y72" s="322"/>
      <c r="Z72" s="323"/>
      <c r="AA72" s="324"/>
      <c r="AB72" s="324"/>
      <c r="AC72" s="324"/>
      <c r="AD72" s="324"/>
      <c r="AG72" s="325"/>
      <c r="AH72" s="326"/>
      <c r="AI72" s="325"/>
      <c r="AJ72" s="325"/>
      <c r="AK72" s="325"/>
      <c r="AL72" s="324"/>
    </row>
    <row r="73" spans="3:38" s="315" customFormat="1" hidden="1" x14ac:dyDescent="0.3">
      <c r="C73" s="338"/>
      <c r="D73" s="98"/>
      <c r="E73" s="688" t="s">
        <v>323</v>
      </c>
      <c r="F73" s="689"/>
      <c r="G73" s="690"/>
      <c r="H73" s="697" t="s">
        <v>334</v>
      </c>
      <c r="I73" s="698"/>
      <c r="J73" s="124"/>
      <c r="K73" s="508"/>
      <c r="L73" s="145"/>
      <c r="M73" s="240">
        <v>22700</v>
      </c>
      <c r="N73" s="147"/>
      <c r="O73" s="512" t="s">
        <v>308</v>
      </c>
      <c r="P73" s="138"/>
      <c r="Q73" s="381" t="s">
        <v>335</v>
      </c>
      <c r="R73" s="343"/>
      <c r="S73" s="343"/>
      <c r="T73" s="343"/>
      <c r="U73" s="319"/>
      <c r="V73" s="320"/>
      <c r="W73" s="321"/>
      <c r="X73" s="322"/>
      <c r="Y73" s="322"/>
      <c r="Z73" s="323"/>
      <c r="AA73" s="324"/>
      <c r="AB73" s="324"/>
      <c r="AC73" s="324"/>
      <c r="AD73" s="324"/>
      <c r="AG73" s="325"/>
      <c r="AH73" s="326"/>
      <c r="AI73" s="325"/>
      <c r="AJ73" s="325"/>
      <c r="AK73" s="325"/>
      <c r="AL73" s="324"/>
    </row>
    <row r="74" spans="3:38" s="315" customFormat="1" hidden="1" x14ac:dyDescent="0.3">
      <c r="C74" s="338"/>
      <c r="D74" s="98"/>
      <c r="E74" s="688" t="s">
        <v>323</v>
      </c>
      <c r="F74" s="689"/>
      <c r="G74" s="690"/>
      <c r="H74" s="697" t="s">
        <v>338</v>
      </c>
      <c r="I74" s="698"/>
      <c r="J74" s="124"/>
      <c r="K74" s="508"/>
      <c r="L74" s="145"/>
      <c r="M74" s="240">
        <v>23100</v>
      </c>
      <c r="N74" s="147"/>
      <c r="O74" s="512" t="s">
        <v>308</v>
      </c>
      <c r="P74" s="138"/>
      <c r="Q74" s="381" t="s">
        <v>335</v>
      </c>
      <c r="R74" s="343"/>
      <c r="S74" s="343"/>
      <c r="T74" s="343"/>
      <c r="U74" s="319"/>
      <c r="V74" s="320"/>
      <c r="W74" s="321"/>
      <c r="X74" s="322"/>
      <c r="Y74" s="322"/>
      <c r="Z74" s="323"/>
      <c r="AA74" s="324"/>
      <c r="AB74" s="324"/>
      <c r="AC74" s="324"/>
      <c r="AD74" s="324"/>
      <c r="AG74" s="325"/>
      <c r="AH74" s="326"/>
      <c r="AI74" s="325"/>
      <c r="AJ74" s="325"/>
      <c r="AK74" s="325"/>
      <c r="AL74" s="324"/>
    </row>
    <row r="75" spans="3:38" s="315" customFormat="1" hidden="1" x14ac:dyDescent="0.3">
      <c r="C75" s="338"/>
      <c r="D75" s="98"/>
      <c r="E75" s="688" t="s">
        <v>323</v>
      </c>
      <c r="F75" s="689"/>
      <c r="G75" s="690"/>
      <c r="H75" s="697" t="s">
        <v>341</v>
      </c>
      <c r="I75" s="698"/>
      <c r="J75" s="124"/>
      <c r="K75" s="508"/>
      <c r="L75" s="145"/>
      <c r="M75" s="240">
        <v>23150</v>
      </c>
      <c r="N75" s="147"/>
      <c r="O75" s="512" t="s">
        <v>308</v>
      </c>
      <c r="P75" s="138"/>
      <c r="Q75" s="381" t="s">
        <v>335</v>
      </c>
      <c r="R75" s="343"/>
      <c r="S75" s="343"/>
      <c r="T75" s="343"/>
      <c r="U75" s="319"/>
      <c r="V75" s="320"/>
      <c r="W75" s="321"/>
      <c r="X75" s="322"/>
      <c r="Y75" s="322"/>
      <c r="Z75" s="323"/>
      <c r="AA75" s="324"/>
      <c r="AB75" s="324"/>
      <c r="AC75" s="324"/>
      <c r="AD75" s="324"/>
      <c r="AG75" s="325"/>
      <c r="AH75" s="326"/>
      <c r="AI75" s="325"/>
      <c r="AJ75" s="325"/>
      <c r="AK75" s="325"/>
      <c r="AL75" s="324"/>
    </row>
    <row r="76" spans="3:38" s="315" customFormat="1" hidden="1" x14ac:dyDescent="0.3">
      <c r="C76" s="338"/>
      <c r="D76" s="98"/>
      <c r="E76" s="688" t="s">
        <v>323</v>
      </c>
      <c r="F76" s="689"/>
      <c r="G76" s="690"/>
      <c r="H76" s="697" t="s">
        <v>344</v>
      </c>
      <c r="I76" s="698"/>
      <c r="J76" s="124"/>
      <c r="K76" s="508"/>
      <c r="L76" s="145"/>
      <c r="M76" s="240">
        <v>23150</v>
      </c>
      <c r="N76" s="147"/>
      <c r="O76" s="512" t="s">
        <v>308</v>
      </c>
      <c r="P76" s="138"/>
      <c r="Q76" s="381" t="s">
        <v>335</v>
      </c>
      <c r="R76" s="343"/>
      <c r="S76" s="343"/>
      <c r="T76" s="343"/>
      <c r="U76" s="319"/>
      <c r="V76" s="320"/>
      <c r="W76" s="321"/>
      <c r="X76" s="322"/>
      <c r="Y76" s="322"/>
      <c r="Z76" s="323"/>
      <c r="AA76" s="324"/>
      <c r="AB76" s="324"/>
      <c r="AC76" s="324"/>
      <c r="AD76" s="324"/>
      <c r="AG76" s="325"/>
      <c r="AH76" s="326"/>
      <c r="AI76" s="325"/>
      <c r="AJ76" s="325"/>
      <c r="AK76" s="325"/>
      <c r="AL76" s="324"/>
    </row>
    <row r="77" spans="3:38" s="315" customFormat="1" hidden="1" x14ac:dyDescent="0.3">
      <c r="C77" s="338"/>
      <c r="D77" s="98"/>
      <c r="E77" s="688" t="s">
        <v>14</v>
      </c>
      <c r="F77" s="689"/>
      <c r="G77" s="690"/>
      <c r="H77" s="650" t="s">
        <v>336</v>
      </c>
      <c r="I77" s="651"/>
      <c r="J77" s="124"/>
      <c r="K77" s="508"/>
      <c r="L77" s="145"/>
      <c r="M77" s="240">
        <v>24750</v>
      </c>
      <c r="N77" s="147"/>
      <c r="O77" s="512" t="s">
        <v>49</v>
      </c>
      <c r="P77" s="138"/>
      <c r="Q77" s="381" t="s">
        <v>326</v>
      </c>
      <c r="R77" s="164"/>
      <c r="S77" s="343"/>
      <c r="T77" s="343"/>
      <c r="U77" s="319"/>
      <c r="V77" s="320"/>
      <c r="W77" s="321"/>
      <c r="X77" s="322"/>
      <c r="Y77" s="322"/>
      <c r="Z77" s="323"/>
      <c r="AA77" s="324"/>
      <c r="AB77" s="324"/>
      <c r="AC77" s="324"/>
      <c r="AD77" s="324"/>
      <c r="AG77" s="325"/>
      <c r="AH77" s="326"/>
      <c r="AI77" s="325"/>
      <c r="AJ77" s="325"/>
      <c r="AK77" s="325"/>
      <c r="AL77" s="324"/>
    </row>
    <row r="78" spans="3:38" s="315" customFormat="1" hidden="1" x14ac:dyDescent="0.3">
      <c r="C78" s="338"/>
      <c r="D78" s="98"/>
      <c r="E78" s="688" t="s">
        <v>406</v>
      </c>
      <c r="F78" s="689"/>
      <c r="G78" s="690"/>
      <c r="H78" s="650" t="s">
        <v>337</v>
      </c>
      <c r="I78" s="651"/>
      <c r="J78" s="124"/>
      <c r="K78" s="508"/>
      <c r="L78" s="145"/>
      <c r="M78" s="240">
        <v>25000</v>
      </c>
      <c r="N78" s="147"/>
      <c r="O78" s="512" t="s">
        <v>49</v>
      </c>
      <c r="P78" s="138"/>
      <c r="Q78" s="381" t="s">
        <v>326</v>
      </c>
      <c r="R78" s="164"/>
      <c r="S78" s="343"/>
      <c r="T78" s="343"/>
      <c r="U78" s="319"/>
      <c r="V78" s="320"/>
      <c r="W78" s="321"/>
      <c r="X78" s="322"/>
      <c r="Y78" s="322"/>
      <c r="Z78" s="323"/>
      <c r="AA78" s="324"/>
      <c r="AB78" s="324"/>
      <c r="AC78" s="324"/>
      <c r="AD78" s="324"/>
      <c r="AG78" s="325"/>
      <c r="AH78" s="326"/>
      <c r="AI78" s="325"/>
      <c r="AJ78" s="325"/>
      <c r="AK78" s="325"/>
      <c r="AL78" s="324"/>
    </row>
    <row r="79" spans="3:38" s="315" customFormat="1" hidden="1" x14ac:dyDescent="0.3">
      <c r="C79" s="338"/>
      <c r="D79" s="98"/>
      <c r="E79" s="688" t="s">
        <v>320</v>
      </c>
      <c r="F79" s="689"/>
      <c r="G79" s="690"/>
      <c r="H79" s="650" t="s">
        <v>321</v>
      </c>
      <c r="I79" s="651"/>
      <c r="J79" s="124"/>
      <c r="K79" s="508"/>
      <c r="L79" s="145"/>
      <c r="M79" s="240">
        <v>23600</v>
      </c>
      <c r="N79" s="147"/>
      <c r="O79" s="512" t="s">
        <v>308</v>
      </c>
      <c r="P79" s="138"/>
      <c r="Q79" s="379" t="s">
        <v>359</v>
      </c>
      <c r="R79" s="164"/>
      <c r="S79" s="343"/>
      <c r="T79" s="343"/>
      <c r="U79" s="319"/>
      <c r="V79" s="320"/>
      <c r="W79" s="321"/>
      <c r="X79" s="322"/>
      <c r="Y79" s="322"/>
      <c r="Z79" s="323"/>
      <c r="AA79" s="324"/>
      <c r="AB79" s="324"/>
      <c r="AC79" s="324"/>
      <c r="AD79" s="324"/>
      <c r="AG79" s="325"/>
      <c r="AH79" s="326"/>
      <c r="AI79" s="325"/>
      <c r="AJ79" s="325"/>
      <c r="AK79" s="325"/>
      <c r="AL79" s="324"/>
    </row>
    <row r="80" spans="3:38" s="315" customFormat="1" hidden="1" x14ac:dyDescent="0.3">
      <c r="C80" s="338"/>
      <c r="D80" s="98"/>
      <c r="E80" s="688" t="s">
        <v>360</v>
      </c>
      <c r="F80" s="689"/>
      <c r="G80" s="690"/>
      <c r="H80" s="697" t="s">
        <v>411</v>
      </c>
      <c r="I80" s="698"/>
      <c r="J80" s="124"/>
      <c r="K80" s="508"/>
      <c r="L80" s="145"/>
      <c r="M80" s="240">
        <v>42500</v>
      </c>
      <c r="N80" s="147"/>
      <c r="O80" s="512"/>
      <c r="P80" s="138"/>
      <c r="Q80" s="164"/>
      <c r="R80" s="164"/>
      <c r="S80" s="343"/>
      <c r="T80" s="343"/>
      <c r="U80" s="319"/>
      <c r="V80" s="320"/>
      <c r="W80" s="321"/>
      <c r="X80" s="322"/>
      <c r="Y80" s="322"/>
      <c r="Z80" s="323"/>
      <c r="AA80" s="324"/>
      <c r="AB80" s="324"/>
      <c r="AC80" s="324"/>
      <c r="AD80" s="324"/>
      <c r="AG80" s="325"/>
      <c r="AH80" s="326"/>
      <c r="AI80" s="325"/>
      <c r="AJ80" s="325"/>
      <c r="AK80" s="325"/>
      <c r="AL80" s="324"/>
    </row>
    <row r="81" spans="3:38" s="315" customFormat="1" hidden="1" x14ac:dyDescent="0.3">
      <c r="C81" s="338"/>
      <c r="D81" s="98"/>
      <c r="E81" s="688" t="s">
        <v>229</v>
      </c>
      <c r="F81" s="689"/>
      <c r="G81" s="690"/>
      <c r="H81" s="697" t="s">
        <v>412</v>
      </c>
      <c r="I81" s="698"/>
      <c r="J81" s="124"/>
      <c r="K81" s="508"/>
      <c r="L81" s="145"/>
      <c r="M81" s="240">
        <v>33500</v>
      </c>
      <c r="N81" s="147"/>
      <c r="O81" s="379" t="s">
        <v>413</v>
      </c>
      <c r="P81" s="138"/>
      <c r="Q81" s="164"/>
      <c r="R81" s="379" t="s">
        <v>343</v>
      </c>
      <c r="S81" s="343"/>
      <c r="T81" s="343"/>
      <c r="U81" s="319"/>
      <c r="V81" s="320"/>
      <c r="W81" s="321"/>
      <c r="X81" s="322"/>
      <c r="Y81" s="322"/>
      <c r="Z81" s="323"/>
      <c r="AA81" s="324"/>
      <c r="AB81" s="324"/>
      <c r="AC81" s="324"/>
      <c r="AD81" s="324"/>
      <c r="AG81" s="325"/>
      <c r="AH81" s="326"/>
      <c r="AI81" s="325"/>
      <c r="AJ81" s="325"/>
      <c r="AK81" s="325"/>
      <c r="AL81" s="324"/>
    </row>
    <row r="82" spans="3:38" s="315" customFormat="1" x14ac:dyDescent="0.3">
      <c r="C82" s="338"/>
      <c r="D82" s="259" t="s">
        <v>28</v>
      </c>
      <c r="E82" s="672" t="s">
        <v>60</v>
      </c>
      <c r="F82" s="673"/>
      <c r="G82" s="674"/>
      <c r="H82" s="643" t="s">
        <v>563</v>
      </c>
      <c r="I82" s="675"/>
      <c r="J82" s="124"/>
      <c r="K82" s="514"/>
      <c r="L82" s="145"/>
      <c r="M82" s="286">
        <f>18412+10036</f>
        <v>28448</v>
      </c>
      <c r="N82" s="147">
        <f>Z28/M82</f>
        <v>42.383725253093367</v>
      </c>
      <c r="O82" s="379"/>
      <c r="P82" s="138"/>
      <c r="Q82" s="319" t="s">
        <v>566</v>
      </c>
      <c r="R82" s="319" t="s">
        <v>133</v>
      </c>
      <c r="S82" s="319" t="s">
        <v>567</v>
      </c>
      <c r="T82" s="343"/>
      <c r="U82" s="319"/>
      <c r="V82" s="320"/>
      <c r="W82" s="321"/>
      <c r="X82" s="322"/>
      <c r="Y82" s="322"/>
      <c r="Z82" s="323"/>
      <c r="AA82" s="324"/>
      <c r="AB82" s="324"/>
      <c r="AC82" s="324"/>
      <c r="AD82" s="324"/>
      <c r="AG82" s="325"/>
      <c r="AH82" s="326"/>
      <c r="AI82" s="325"/>
      <c r="AJ82" s="325"/>
      <c r="AK82" s="325"/>
      <c r="AL82" s="324"/>
    </row>
    <row r="83" spans="3:38" s="315" customFormat="1" x14ac:dyDescent="0.3">
      <c r="C83" s="338"/>
      <c r="D83" s="259" t="s">
        <v>21</v>
      </c>
      <c r="E83" s="672" t="s">
        <v>60</v>
      </c>
      <c r="F83" s="673"/>
      <c r="G83" s="674"/>
      <c r="H83" s="643" t="s">
        <v>563</v>
      </c>
      <c r="I83" s="675"/>
      <c r="J83" s="124"/>
      <c r="K83" s="514"/>
      <c r="L83" s="145"/>
      <c r="M83" s="286">
        <f>18412+10036</f>
        <v>28448</v>
      </c>
      <c r="N83" s="147">
        <f>U28/M83</f>
        <v>66.043055399325084</v>
      </c>
      <c r="O83" s="379"/>
      <c r="P83" s="138"/>
      <c r="Q83" s="319" t="s">
        <v>568</v>
      </c>
      <c r="R83" s="319" t="s">
        <v>129</v>
      </c>
      <c r="S83" s="319" t="s">
        <v>569</v>
      </c>
      <c r="T83" s="343"/>
      <c r="U83" s="319"/>
      <c r="V83" s="320"/>
      <c r="W83" s="321"/>
      <c r="X83" s="322"/>
      <c r="Y83" s="322"/>
      <c r="Z83" s="323"/>
      <c r="AA83" s="324"/>
      <c r="AB83" s="324"/>
      <c r="AC83" s="324"/>
      <c r="AD83" s="324"/>
      <c r="AG83" s="325"/>
      <c r="AH83" s="326"/>
      <c r="AI83" s="325"/>
      <c r="AJ83" s="325"/>
      <c r="AK83" s="325"/>
      <c r="AL83" s="324"/>
    </row>
    <row r="84" spans="3:38" s="315" customFormat="1" hidden="1" x14ac:dyDescent="0.3">
      <c r="C84" s="338"/>
      <c r="D84" s="259"/>
      <c r="E84" s="688" t="s">
        <v>229</v>
      </c>
      <c r="F84" s="689"/>
      <c r="G84" s="690"/>
      <c r="H84" s="516"/>
      <c r="I84" s="517"/>
      <c r="J84" s="124"/>
      <c r="K84" s="515"/>
      <c r="L84" s="145"/>
      <c r="M84" s="344">
        <v>25000</v>
      </c>
      <c r="N84" s="147"/>
      <c r="O84" s="379"/>
      <c r="P84" s="138"/>
      <c r="Q84" s="518" t="s">
        <v>570</v>
      </c>
      <c r="R84" s="319"/>
      <c r="S84" s="319"/>
      <c r="T84" s="343"/>
      <c r="U84" s="319"/>
      <c r="V84" s="320"/>
      <c r="W84" s="321"/>
      <c r="X84" s="322"/>
      <c r="Y84" s="322"/>
      <c r="Z84" s="323"/>
      <c r="AA84" s="324"/>
      <c r="AB84" s="324"/>
      <c r="AC84" s="324"/>
      <c r="AD84" s="324"/>
      <c r="AG84" s="325"/>
      <c r="AH84" s="326"/>
      <c r="AI84" s="325"/>
      <c r="AJ84" s="325"/>
      <c r="AK84" s="325"/>
      <c r="AL84" s="324"/>
    </row>
    <row r="85" spans="3:38" s="315" customFormat="1" x14ac:dyDescent="0.3">
      <c r="C85" s="338"/>
      <c r="D85" s="211" t="s">
        <v>28</v>
      </c>
      <c r="E85" s="688" t="s">
        <v>60</v>
      </c>
      <c r="F85" s="689"/>
      <c r="G85" s="690"/>
      <c r="H85" s="552" t="s">
        <v>522</v>
      </c>
      <c r="I85" s="694"/>
      <c r="J85" s="124"/>
      <c r="K85" s="508"/>
      <c r="L85" s="145"/>
      <c r="M85" s="344">
        <f>14697+10036</f>
        <v>24733</v>
      </c>
      <c r="N85" s="147"/>
      <c r="O85" s="512" t="s">
        <v>529</v>
      </c>
      <c r="P85" s="138"/>
      <c r="Q85" s="307" t="s">
        <v>550</v>
      </c>
      <c r="R85" s="307" t="s">
        <v>545</v>
      </c>
      <c r="S85" s="307" t="s">
        <v>565</v>
      </c>
      <c r="T85" s="343"/>
      <c r="U85" s="319"/>
      <c r="V85" s="320"/>
      <c r="W85" s="321"/>
      <c r="X85" s="322"/>
      <c r="Y85" s="322"/>
      <c r="Z85" s="323"/>
      <c r="AA85" s="324"/>
      <c r="AB85" s="324"/>
      <c r="AC85" s="324"/>
      <c r="AD85" s="324"/>
      <c r="AG85" s="325"/>
      <c r="AH85" s="326"/>
      <c r="AI85" s="325"/>
      <c r="AJ85" s="325"/>
      <c r="AK85" s="325"/>
      <c r="AL85" s="324"/>
    </row>
    <row r="86" spans="3:38" s="315" customFormat="1" ht="15" thickBot="1" x14ac:dyDescent="0.35">
      <c r="C86" s="338"/>
      <c r="D86" s="211" t="s">
        <v>21</v>
      </c>
      <c r="E86" s="688" t="s">
        <v>60</v>
      </c>
      <c r="F86" s="689"/>
      <c r="G86" s="690"/>
      <c r="H86" s="552" t="s">
        <v>522</v>
      </c>
      <c r="I86" s="694"/>
      <c r="J86" s="124"/>
      <c r="K86" s="508"/>
      <c r="L86" s="145"/>
      <c r="M86" s="344">
        <f>14697+10036</f>
        <v>24733</v>
      </c>
      <c r="N86" s="147"/>
      <c r="O86" s="512" t="s">
        <v>509</v>
      </c>
      <c r="P86" s="138"/>
      <c r="Q86" s="307" t="s">
        <v>549</v>
      </c>
      <c r="R86" s="307" t="s">
        <v>551</v>
      </c>
      <c r="S86" s="307" t="s">
        <v>545</v>
      </c>
      <c r="T86" s="343"/>
      <c r="U86" s="319"/>
      <c r="V86" s="320"/>
      <c r="W86" s="321"/>
      <c r="X86" s="322"/>
      <c r="Y86" s="322"/>
      <c r="Z86" s="323"/>
      <c r="AA86" s="324"/>
      <c r="AB86" s="324"/>
      <c r="AC86" s="324"/>
      <c r="AD86" s="324"/>
      <c r="AG86" s="325"/>
      <c r="AH86" s="326"/>
      <c r="AI86" s="325"/>
      <c r="AJ86" s="325"/>
      <c r="AK86" s="325"/>
      <c r="AL86" s="324"/>
    </row>
    <row r="87" spans="3:38" s="315" customFormat="1" hidden="1" x14ac:dyDescent="0.3">
      <c r="C87" s="338"/>
      <c r="D87" s="211" t="s">
        <v>28</v>
      </c>
      <c r="E87" s="688" t="s">
        <v>60</v>
      </c>
      <c r="F87" s="689"/>
      <c r="G87" s="690"/>
      <c r="H87" s="650" t="s">
        <v>496</v>
      </c>
      <c r="I87" s="651"/>
      <c r="J87" s="124"/>
      <c r="K87" s="508"/>
      <c r="L87" s="145"/>
      <c r="M87" s="240">
        <f>24313+10036</f>
        <v>34349</v>
      </c>
      <c r="N87" s="147"/>
      <c r="O87" s="512" t="s">
        <v>510</v>
      </c>
      <c r="P87" s="138"/>
      <c r="Q87" s="164" t="s">
        <v>69</v>
      </c>
      <c r="R87" s="164" t="s">
        <v>520</v>
      </c>
      <c r="S87" s="164" t="s">
        <v>538</v>
      </c>
      <c r="T87" s="343"/>
      <c r="U87" s="319"/>
      <c r="V87" s="320"/>
      <c r="W87" s="321"/>
      <c r="X87" s="322"/>
      <c r="Y87" s="322"/>
      <c r="Z87" s="323"/>
      <c r="AA87" s="324"/>
      <c r="AB87" s="324"/>
      <c r="AC87" s="324"/>
      <c r="AD87" s="324"/>
      <c r="AG87" s="325"/>
      <c r="AH87" s="326"/>
      <c r="AI87" s="325"/>
      <c r="AJ87" s="325"/>
      <c r="AK87" s="325"/>
      <c r="AL87" s="324"/>
    </row>
    <row r="88" spans="3:38" s="315" customFormat="1" hidden="1" x14ac:dyDescent="0.3">
      <c r="C88" s="338"/>
      <c r="D88" s="211" t="s">
        <v>21</v>
      </c>
      <c r="E88" s="688" t="s">
        <v>60</v>
      </c>
      <c r="F88" s="689"/>
      <c r="G88" s="690"/>
      <c r="H88" s="650" t="s">
        <v>496</v>
      </c>
      <c r="I88" s="651"/>
      <c r="J88" s="124"/>
      <c r="K88" s="508"/>
      <c r="L88" s="145"/>
      <c r="M88" s="240">
        <f>24313+10036</f>
        <v>34349</v>
      </c>
      <c r="N88" s="147"/>
      <c r="O88" s="512" t="s">
        <v>509</v>
      </c>
      <c r="P88" s="138"/>
      <c r="Q88" s="164" t="s">
        <v>514</v>
      </c>
      <c r="R88" s="164" t="s">
        <v>534</v>
      </c>
      <c r="S88" s="164" t="s">
        <v>543</v>
      </c>
      <c r="T88" s="343"/>
      <c r="U88" s="319"/>
      <c r="V88" s="320"/>
      <c r="W88" s="321"/>
      <c r="X88" s="322"/>
      <c r="Y88" s="322"/>
      <c r="Z88" s="323"/>
      <c r="AA88" s="324"/>
      <c r="AB88" s="324"/>
      <c r="AC88" s="324"/>
      <c r="AD88" s="324"/>
      <c r="AG88" s="325"/>
      <c r="AH88" s="326"/>
      <c r="AI88" s="325"/>
      <c r="AJ88" s="325"/>
      <c r="AK88" s="325"/>
      <c r="AL88" s="324"/>
    </row>
    <row r="89" spans="3:38" s="315" customFormat="1" hidden="1" x14ac:dyDescent="0.3">
      <c r="C89" s="338"/>
      <c r="D89" s="211"/>
      <c r="E89" s="688" t="s">
        <v>323</v>
      </c>
      <c r="F89" s="689"/>
      <c r="G89" s="690"/>
      <c r="H89" s="697" t="s">
        <v>541</v>
      </c>
      <c r="I89" s="698"/>
      <c r="J89" s="124"/>
      <c r="K89" s="508"/>
      <c r="L89" s="145"/>
      <c r="M89" s="240">
        <v>22700</v>
      </c>
      <c r="N89" s="147"/>
      <c r="O89" s="512" t="s">
        <v>308</v>
      </c>
      <c r="P89" s="138"/>
      <c r="Q89" s="381" t="s">
        <v>439</v>
      </c>
      <c r="R89" s="381" t="s">
        <v>552</v>
      </c>
      <c r="S89" s="343"/>
      <c r="T89" s="343"/>
      <c r="U89" s="319"/>
      <c r="V89" s="320"/>
      <c r="W89" s="321"/>
      <c r="X89" s="322"/>
      <c r="Y89" s="322"/>
      <c r="Z89" s="323"/>
      <c r="AA89" s="324"/>
      <c r="AB89" s="324"/>
      <c r="AC89" s="324"/>
      <c r="AD89" s="324"/>
      <c r="AG89" s="325"/>
      <c r="AH89" s="326"/>
      <c r="AI89" s="325"/>
      <c r="AJ89" s="325"/>
      <c r="AK89" s="325"/>
      <c r="AL89" s="324"/>
    </row>
    <row r="90" spans="3:38" s="315" customFormat="1" hidden="1" x14ac:dyDescent="0.3">
      <c r="C90" s="338"/>
      <c r="D90" s="211"/>
      <c r="E90" s="688" t="s">
        <v>323</v>
      </c>
      <c r="F90" s="689"/>
      <c r="G90" s="690"/>
      <c r="H90" s="697" t="s">
        <v>539</v>
      </c>
      <c r="I90" s="698"/>
      <c r="J90" s="124"/>
      <c r="K90" s="508"/>
      <c r="L90" s="145"/>
      <c r="M90" s="240">
        <v>22550</v>
      </c>
      <c r="N90" s="342"/>
      <c r="O90" s="513" t="s">
        <v>49</v>
      </c>
      <c r="P90" s="138"/>
      <c r="Q90" s="381" t="s">
        <v>326</v>
      </c>
      <c r="R90" s="381" t="s">
        <v>560</v>
      </c>
      <c r="S90" s="343"/>
      <c r="T90" s="343"/>
      <c r="U90" s="319"/>
      <c r="V90" s="320"/>
      <c r="W90" s="321"/>
      <c r="X90" s="322"/>
      <c r="Y90" s="322"/>
      <c r="Z90" s="323"/>
      <c r="AA90" s="324"/>
      <c r="AB90" s="324"/>
      <c r="AC90" s="324"/>
      <c r="AD90" s="324"/>
      <c r="AG90" s="325"/>
      <c r="AH90" s="326"/>
      <c r="AI90" s="325"/>
      <c r="AJ90" s="325"/>
      <c r="AK90" s="325"/>
      <c r="AL90" s="324"/>
    </row>
    <row r="91" spans="3:38" s="315" customFormat="1" ht="15" hidden="1" thickBot="1" x14ac:dyDescent="0.35">
      <c r="C91" s="338"/>
      <c r="D91" s="211"/>
      <c r="E91" s="688" t="s">
        <v>323</v>
      </c>
      <c r="F91" s="689"/>
      <c r="G91" s="690"/>
      <c r="H91" s="697" t="s">
        <v>531</v>
      </c>
      <c r="I91" s="698"/>
      <c r="J91" s="124"/>
      <c r="K91" s="508"/>
      <c r="L91" s="145"/>
      <c r="M91" s="240">
        <v>21000</v>
      </c>
      <c r="N91" s="342"/>
      <c r="O91" s="513" t="s">
        <v>49</v>
      </c>
      <c r="P91" s="138"/>
      <c r="Q91" s="381" t="s">
        <v>326</v>
      </c>
      <c r="R91" s="381" t="s">
        <v>560</v>
      </c>
      <c r="S91" s="319"/>
      <c r="T91" s="343"/>
      <c r="U91" s="319"/>
      <c r="V91" s="320"/>
      <c r="W91" s="321"/>
      <c r="X91" s="322"/>
      <c r="Y91" s="322"/>
      <c r="Z91" s="323"/>
      <c r="AA91" s="324"/>
      <c r="AB91" s="324"/>
      <c r="AC91" s="324"/>
      <c r="AD91" s="324"/>
      <c r="AG91" s="325"/>
      <c r="AH91" s="326"/>
      <c r="AI91" s="325"/>
      <c r="AJ91" s="325"/>
      <c r="AK91" s="325"/>
      <c r="AL91" s="324"/>
    </row>
    <row r="92" spans="3:38" s="315" customFormat="1" ht="15" hidden="1" thickBot="1" x14ac:dyDescent="0.35">
      <c r="C92" s="338"/>
      <c r="D92" s="211"/>
      <c r="E92" s="691"/>
      <c r="F92" s="692"/>
      <c r="G92" s="693"/>
      <c r="H92" s="650"/>
      <c r="I92" s="651"/>
      <c r="J92" s="124"/>
      <c r="K92" s="508"/>
      <c r="L92" s="145"/>
      <c r="M92" s="240"/>
      <c r="N92" s="342"/>
      <c r="O92" s="379"/>
      <c r="P92" s="138"/>
      <c r="Q92" s="307"/>
      <c r="R92" s="307"/>
      <c r="S92" s="307"/>
      <c r="T92" s="343"/>
      <c r="U92" s="319"/>
      <c r="V92" s="320"/>
      <c r="W92" s="321"/>
      <c r="X92" s="322"/>
      <c r="Y92" s="322"/>
      <c r="Z92" s="323"/>
      <c r="AA92" s="324"/>
      <c r="AB92" s="324"/>
      <c r="AC92" s="324"/>
      <c r="AD92" s="324"/>
      <c r="AG92" s="325"/>
      <c r="AH92" s="326"/>
      <c r="AI92" s="325"/>
      <c r="AJ92" s="325"/>
      <c r="AK92" s="325"/>
      <c r="AL92" s="324"/>
    </row>
    <row r="93" spans="3:38" s="315" customFormat="1" ht="15" hidden="1" thickBot="1" x14ac:dyDescent="0.35">
      <c r="C93" s="338"/>
      <c r="D93" s="211"/>
      <c r="E93" s="691"/>
      <c r="F93" s="692"/>
      <c r="G93" s="693"/>
      <c r="H93" s="552"/>
      <c r="I93" s="694"/>
      <c r="J93" s="124"/>
      <c r="K93" s="508"/>
      <c r="L93" s="145"/>
      <c r="M93" s="240"/>
      <c r="N93" s="342"/>
      <c r="O93" s="379"/>
      <c r="P93" s="138"/>
      <c r="Q93" s="307"/>
      <c r="R93" s="307"/>
      <c r="S93" s="307"/>
      <c r="T93" s="343"/>
      <c r="U93" s="319"/>
      <c r="V93" s="320"/>
      <c r="W93" s="321"/>
      <c r="X93" s="322"/>
      <c r="Y93" s="322"/>
      <c r="Z93" s="323"/>
      <c r="AA93" s="324"/>
      <c r="AB93" s="324"/>
      <c r="AC93" s="324"/>
      <c r="AD93" s="324"/>
      <c r="AG93" s="325"/>
      <c r="AH93" s="326"/>
      <c r="AI93" s="325"/>
      <c r="AJ93" s="325"/>
      <c r="AK93" s="325"/>
      <c r="AL93" s="324"/>
    </row>
    <row r="94" spans="3:38" s="315" customFormat="1" ht="15" hidden="1" thickBot="1" x14ac:dyDescent="0.35">
      <c r="C94" s="338"/>
      <c r="D94" s="211"/>
      <c r="E94" s="691"/>
      <c r="F94" s="692"/>
      <c r="G94" s="693"/>
      <c r="H94" s="552"/>
      <c r="I94" s="694"/>
      <c r="J94" s="124"/>
      <c r="K94" s="508"/>
      <c r="L94" s="145"/>
      <c r="M94" s="240"/>
      <c r="N94" s="342"/>
      <c r="O94" s="379"/>
      <c r="P94" s="138"/>
      <c r="Q94" s="307"/>
      <c r="R94" s="307"/>
      <c r="S94" s="307"/>
      <c r="T94" s="343"/>
      <c r="U94" s="319"/>
      <c r="V94" s="320"/>
      <c r="W94" s="321"/>
      <c r="X94" s="322"/>
      <c r="Y94" s="322"/>
      <c r="Z94" s="323"/>
      <c r="AA94" s="324"/>
      <c r="AB94" s="324"/>
      <c r="AC94" s="324"/>
      <c r="AD94" s="324"/>
      <c r="AG94" s="325"/>
      <c r="AH94" s="326"/>
      <c r="AI94" s="325"/>
      <c r="AJ94" s="325"/>
      <c r="AK94" s="325"/>
      <c r="AL94" s="324"/>
    </row>
    <row r="95" spans="3:38" s="315" customFormat="1" ht="15" hidden="1" thickBot="1" x14ac:dyDescent="0.35">
      <c r="C95" s="338"/>
      <c r="D95" s="211"/>
      <c r="E95" s="691"/>
      <c r="F95" s="692"/>
      <c r="G95" s="693"/>
      <c r="H95" s="552"/>
      <c r="I95" s="694"/>
      <c r="J95" s="124"/>
      <c r="K95" s="508"/>
      <c r="L95" s="145"/>
      <c r="M95" s="240"/>
      <c r="N95" s="342"/>
      <c r="O95" s="512"/>
      <c r="P95" s="138"/>
      <c r="Q95" s="307"/>
      <c r="R95" s="307"/>
      <c r="S95" s="307"/>
      <c r="T95" s="343"/>
      <c r="U95" s="319"/>
      <c r="V95" s="320"/>
      <c r="W95" s="321"/>
      <c r="X95" s="322"/>
      <c r="Y95" s="322"/>
      <c r="Z95" s="323"/>
      <c r="AA95" s="324"/>
      <c r="AB95" s="324"/>
      <c r="AC95" s="324"/>
      <c r="AD95" s="324"/>
      <c r="AG95" s="325"/>
      <c r="AH95" s="326"/>
      <c r="AI95" s="325"/>
      <c r="AJ95" s="325"/>
      <c r="AK95" s="325"/>
      <c r="AL95" s="324"/>
    </row>
    <row r="96" spans="3:38" s="315" customFormat="1" ht="15" hidden="1" thickBot="1" x14ac:dyDescent="0.35">
      <c r="C96" s="338"/>
      <c r="D96" s="211"/>
      <c r="E96" s="691"/>
      <c r="F96" s="692"/>
      <c r="G96" s="693"/>
      <c r="H96" s="552"/>
      <c r="I96" s="694"/>
      <c r="J96" s="124"/>
      <c r="K96" s="508"/>
      <c r="L96" s="145"/>
      <c r="M96" s="240"/>
      <c r="N96" s="342"/>
      <c r="O96" s="512"/>
      <c r="P96" s="138"/>
      <c r="Q96" s="307"/>
      <c r="R96" s="307"/>
      <c r="S96" s="307"/>
      <c r="T96" s="343"/>
      <c r="U96" s="319"/>
      <c r="V96" s="320"/>
      <c r="W96" s="321"/>
      <c r="X96" s="322"/>
      <c r="Y96" s="322"/>
      <c r="Z96" s="323"/>
      <c r="AA96" s="324"/>
      <c r="AB96" s="324"/>
      <c r="AC96" s="324"/>
      <c r="AD96" s="324"/>
      <c r="AG96" s="325"/>
      <c r="AH96" s="326"/>
      <c r="AI96" s="325"/>
      <c r="AJ96" s="325"/>
      <c r="AK96" s="325"/>
      <c r="AL96" s="324"/>
    </row>
    <row r="97" spans="5:30" ht="13.95" customHeight="1" thickBot="1" x14ac:dyDescent="0.35">
      <c r="E97" s="634"/>
      <c r="F97" s="635"/>
      <c r="G97" s="636"/>
      <c r="H97" s="637"/>
      <c r="I97" s="638"/>
      <c r="J97" s="141"/>
      <c r="K97" s="141"/>
      <c r="L97" s="142"/>
      <c r="M97" s="424" t="s">
        <v>33</v>
      </c>
      <c r="N97" s="425">
        <f>SUBTOTAL(109,N44:N96)</f>
        <v>108.42678065241844</v>
      </c>
      <c r="O97" s="150"/>
      <c r="T97" s="181"/>
      <c r="U97" s="181"/>
      <c r="V97" s="177"/>
      <c r="W97" s="178"/>
      <c r="X97" s="178"/>
      <c r="Y97" s="178"/>
      <c r="Z97" s="180"/>
      <c r="AA97" s="90"/>
      <c r="AB97" s="90"/>
      <c r="AC97" s="21"/>
      <c r="AD97" s="21"/>
    </row>
    <row r="98" spans="5:30" ht="13.95" customHeight="1" x14ac:dyDescent="0.3">
      <c r="E98" s="359" t="s">
        <v>494</v>
      </c>
      <c r="F98" s="154"/>
      <c r="G98" s="154"/>
      <c r="H98" s="478"/>
      <c r="I98" s="479"/>
      <c r="J98" s="480"/>
      <c r="K98" s="480"/>
      <c r="L98" s="480"/>
      <c r="M98" s="481"/>
      <c r="N98" s="482"/>
      <c r="O98" s="483"/>
      <c r="T98" s="181"/>
      <c r="U98" s="181"/>
      <c r="V98" s="177"/>
      <c r="W98" s="178"/>
      <c r="X98" s="178"/>
      <c r="Y98" s="178"/>
      <c r="Z98" s="180"/>
      <c r="AA98" s="90"/>
      <c r="AB98" s="90"/>
      <c r="AC98" s="21"/>
      <c r="AD98" s="21"/>
    </row>
    <row r="99" spans="5:30" x14ac:dyDescent="0.3">
      <c r="E99" s="1" t="s">
        <v>116</v>
      </c>
      <c r="O99" s="139"/>
      <c r="V99" s="178"/>
      <c r="W99" s="178"/>
      <c r="X99" s="178"/>
      <c r="Y99" s="178"/>
      <c r="Z99" s="180"/>
      <c r="AA99" s="21"/>
      <c r="AB99" s="21"/>
      <c r="AC99" s="21"/>
      <c r="AD99" s="21"/>
    </row>
    <row r="100" spans="5:30" hidden="1" x14ac:dyDescent="0.3">
      <c r="E100" s="1" t="s">
        <v>57</v>
      </c>
      <c r="O100" s="1"/>
      <c r="P100" s="1"/>
      <c r="Q100" s="1"/>
      <c r="R100" s="224"/>
      <c r="V100" s="178"/>
      <c r="W100" s="178"/>
      <c r="X100" s="178"/>
      <c r="Y100" s="178"/>
      <c r="Z100" s="178"/>
      <c r="AA100" s="21"/>
      <c r="AB100" s="21"/>
      <c r="AC100" s="21"/>
      <c r="AD100" s="21"/>
    </row>
    <row r="101" spans="5:30" x14ac:dyDescent="0.3">
      <c r="E101" s="359" t="s">
        <v>379</v>
      </c>
      <c r="O101" s="1"/>
      <c r="P101" s="1"/>
      <c r="Q101" s="1"/>
      <c r="R101" s="224"/>
      <c r="V101" s="178"/>
      <c r="W101" s="178"/>
      <c r="X101" s="178"/>
      <c r="Y101" s="178"/>
      <c r="Z101" s="178"/>
      <c r="AA101" s="21"/>
      <c r="AB101" s="21"/>
      <c r="AC101" s="21"/>
      <c r="AD101" s="21"/>
    </row>
    <row r="102" spans="5:30" hidden="1" x14ac:dyDescent="0.3">
      <c r="E102" s="1" t="s">
        <v>288</v>
      </c>
      <c r="O102" s="1"/>
      <c r="P102" s="1"/>
      <c r="Q102" s="1"/>
      <c r="R102" s="224"/>
      <c r="V102" s="178"/>
      <c r="W102" s="178"/>
      <c r="X102" s="178"/>
      <c r="Y102" s="178"/>
      <c r="Z102" s="178"/>
      <c r="AA102" s="21"/>
      <c r="AB102" s="21"/>
      <c r="AC102" s="21"/>
      <c r="AD102" s="21"/>
    </row>
    <row r="103" spans="5:30" hidden="1" x14ac:dyDescent="0.3">
      <c r="E103" s="1" t="s">
        <v>287</v>
      </c>
    </row>
    <row r="104" spans="5:30" x14ac:dyDescent="0.3">
      <c r="E104" s="359" t="s">
        <v>339</v>
      </c>
    </row>
    <row r="105" spans="5:30" x14ac:dyDescent="0.3">
      <c r="E105" s="359" t="s">
        <v>290</v>
      </c>
    </row>
    <row r="106" spans="5:30" hidden="1" x14ac:dyDescent="0.3">
      <c r="E106" s="1" t="s">
        <v>289</v>
      </c>
      <c r="V106" s="175"/>
      <c r="W106" s="175"/>
      <c r="X106" s="175"/>
      <c r="Y106" s="175"/>
      <c r="Z106" s="175"/>
      <c r="AA106" s="21"/>
      <c r="AB106" s="21"/>
      <c r="AC106" s="21"/>
      <c r="AD106" s="21"/>
    </row>
    <row r="107" spans="5:30" x14ac:dyDescent="0.3">
      <c r="E107" s="359" t="s">
        <v>495</v>
      </c>
    </row>
    <row r="108" spans="5:30" x14ac:dyDescent="0.3">
      <c r="E108" s="1" t="s">
        <v>291</v>
      </c>
    </row>
    <row r="109" spans="5:30" x14ac:dyDescent="0.3">
      <c r="E109" s="1" t="s">
        <v>292</v>
      </c>
    </row>
  </sheetData>
  <mergeCells count="147">
    <mergeCell ref="E95:G95"/>
    <mergeCell ref="H95:I95"/>
    <mergeCell ref="E96:G96"/>
    <mergeCell ref="H96:I96"/>
    <mergeCell ref="E97:G97"/>
    <mergeCell ref="H97:I97"/>
    <mergeCell ref="E92:G92"/>
    <mergeCell ref="H92:I92"/>
    <mergeCell ref="E93:G93"/>
    <mergeCell ref="H93:I93"/>
    <mergeCell ref="E94:G94"/>
    <mergeCell ref="H94:I94"/>
    <mergeCell ref="E89:G89"/>
    <mergeCell ref="H89:I89"/>
    <mergeCell ref="E90:G90"/>
    <mergeCell ref="H90:I90"/>
    <mergeCell ref="E91:G91"/>
    <mergeCell ref="H91:I91"/>
    <mergeCell ref="E86:G86"/>
    <mergeCell ref="H86:I86"/>
    <mergeCell ref="E87:G87"/>
    <mergeCell ref="H87:I87"/>
    <mergeCell ref="E88:G88"/>
    <mergeCell ref="H88:I88"/>
    <mergeCell ref="E80:G80"/>
    <mergeCell ref="H80:I80"/>
    <mergeCell ref="E81:G81"/>
    <mergeCell ref="H81:I81"/>
    <mergeCell ref="E85:G85"/>
    <mergeCell ref="H85:I85"/>
    <mergeCell ref="E77:G77"/>
    <mergeCell ref="H77:I77"/>
    <mergeCell ref="E78:G78"/>
    <mergeCell ref="H78:I78"/>
    <mergeCell ref="E79:G79"/>
    <mergeCell ref="H79:I79"/>
    <mergeCell ref="E82:G82"/>
    <mergeCell ref="H82:I82"/>
    <mergeCell ref="E83:G83"/>
    <mergeCell ref="H83:I83"/>
    <mergeCell ref="E84:G84"/>
    <mergeCell ref="E74:G74"/>
    <mergeCell ref="H74:I74"/>
    <mergeCell ref="E75:G75"/>
    <mergeCell ref="H75:I75"/>
    <mergeCell ref="E76:G76"/>
    <mergeCell ref="H76:I76"/>
    <mergeCell ref="E71:G71"/>
    <mergeCell ref="H71:I71"/>
    <mergeCell ref="E72:G72"/>
    <mergeCell ref="H72:I72"/>
    <mergeCell ref="E73:G73"/>
    <mergeCell ref="H73:I73"/>
    <mergeCell ref="E68:G68"/>
    <mergeCell ref="H68:I68"/>
    <mergeCell ref="E69:G69"/>
    <mergeCell ref="H69:I69"/>
    <mergeCell ref="E70:G70"/>
    <mergeCell ref="H70:I70"/>
    <mergeCell ref="E65:G65"/>
    <mergeCell ref="H65:I65"/>
    <mergeCell ref="E66:G66"/>
    <mergeCell ref="H66:I66"/>
    <mergeCell ref="E67:G67"/>
    <mergeCell ref="H67:I67"/>
    <mergeCell ref="E62:G62"/>
    <mergeCell ref="H62:I62"/>
    <mergeCell ref="E63:G63"/>
    <mergeCell ref="H63:I63"/>
    <mergeCell ref="E64:G64"/>
    <mergeCell ref="H64:I64"/>
    <mergeCell ref="E59:G59"/>
    <mergeCell ref="H59:I59"/>
    <mergeCell ref="E60:G60"/>
    <mergeCell ref="H60:I60"/>
    <mergeCell ref="E61:G61"/>
    <mergeCell ref="H61:I61"/>
    <mergeCell ref="E56:G56"/>
    <mergeCell ref="H56:I56"/>
    <mergeCell ref="E57:G57"/>
    <mergeCell ref="H57:I57"/>
    <mergeCell ref="E58:G58"/>
    <mergeCell ref="H58:I58"/>
    <mergeCell ref="E53:G53"/>
    <mergeCell ref="H53:I53"/>
    <mergeCell ref="E54:G54"/>
    <mergeCell ref="H54:I54"/>
    <mergeCell ref="E55:G55"/>
    <mergeCell ref="H55:I55"/>
    <mergeCell ref="O49:O51"/>
    <mergeCell ref="E50:G50"/>
    <mergeCell ref="H50:I50"/>
    <mergeCell ref="E51:G51"/>
    <mergeCell ref="H51:I51"/>
    <mergeCell ref="E52:G52"/>
    <mergeCell ref="H52:I52"/>
    <mergeCell ref="E46:G46"/>
    <mergeCell ref="H46:I46"/>
    <mergeCell ref="E48:G48"/>
    <mergeCell ref="H48:I48"/>
    <mergeCell ref="E49:G49"/>
    <mergeCell ref="H49:I49"/>
    <mergeCell ref="E47:G47"/>
    <mergeCell ref="H47:I47"/>
    <mergeCell ref="O47:O48"/>
    <mergeCell ref="E43:G43"/>
    <mergeCell ref="H43:I43"/>
    <mergeCell ref="O43:O44"/>
    <mergeCell ref="E44:G44"/>
    <mergeCell ref="H44:I44"/>
    <mergeCell ref="E45:G45"/>
    <mergeCell ref="H45:I45"/>
    <mergeCell ref="AF3:AF4"/>
    <mergeCell ref="AG3:AG4"/>
    <mergeCell ref="T38:V38"/>
    <mergeCell ref="T39:V39"/>
    <mergeCell ref="T40:V40"/>
    <mergeCell ref="U41:Y41"/>
    <mergeCell ref="Z3:Z4"/>
    <mergeCell ref="AA3:AA4"/>
    <mergeCell ref="AB3:AB4"/>
    <mergeCell ref="AC3:AC4"/>
    <mergeCell ref="AD3:AD4"/>
    <mergeCell ref="AE3:AE4"/>
    <mergeCell ref="T3:T4"/>
    <mergeCell ref="U3:U4"/>
    <mergeCell ref="V3:V4"/>
    <mergeCell ref="W3:W4"/>
    <mergeCell ref="X3:X4"/>
    <mergeCell ref="A1:A4"/>
    <mergeCell ref="B1:E1"/>
    <mergeCell ref="F1:I2"/>
    <mergeCell ref="J1:L3"/>
    <mergeCell ref="M1:O3"/>
    <mergeCell ref="P1:P4"/>
    <mergeCell ref="G3:I3"/>
    <mergeCell ref="Y3:Y4"/>
    <mergeCell ref="Q1:Q4"/>
    <mergeCell ref="R1:R4"/>
    <mergeCell ref="S1:S3"/>
    <mergeCell ref="T1:V2"/>
    <mergeCell ref="W1:AG2"/>
    <mergeCell ref="B2:C2"/>
    <mergeCell ref="D2:D3"/>
    <mergeCell ref="E2:E4"/>
    <mergeCell ref="B3:C3"/>
    <mergeCell ref="F3:F4"/>
  </mergeCells>
  <pageMargins left="0.7" right="0.17" top="0.72" bottom="0.34" header="0.77" footer="0.3"/>
  <pageSetup paperSize="9" scale="64"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62"/>
  <sheetViews>
    <sheetView zoomScaleNormal="100" workbookViewId="0">
      <pane ySplit="4" topLeftCell="A22" activePane="bottomLeft" state="frozen"/>
      <selection pane="bottomLeft" activeCell="Q48" sqref="Q48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10.77734375" style="20" customWidth="1"/>
    <col min="24" max="25" width="10.6640625" style="20" hidden="1" customWidth="1"/>
    <col min="26" max="26" width="11.33203125" style="20" customWidth="1"/>
    <col min="27" max="28" width="9.6640625" style="2" hidden="1" customWidth="1"/>
    <col min="29" max="29" width="10.6640625" style="2" hidden="1" customWidth="1"/>
    <col min="30" max="30" width="10.33203125" style="2" hidden="1" customWidth="1"/>
    <col min="31" max="32" width="0.109375" style="2" customWidth="1"/>
    <col min="33" max="33" width="9" style="2" hidden="1" customWidth="1"/>
    <col min="34" max="34" width="6" style="77" customWidth="1" outlineLevel="1"/>
    <col min="35" max="35" width="8.33203125" style="2" customWidth="1" outlineLevel="1"/>
    <col min="36" max="36" width="9.7773437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577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704" t="s">
        <v>256</v>
      </c>
      <c r="X1" s="705"/>
      <c r="Y1" s="705"/>
      <c r="Z1" s="705"/>
      <c r="AA1" s="706"/>
      <c r="AB1" s="706"/>
      <c r="AC1" s="706"/>
      <c r="AD1" s="706"/>
      <c r="AE1" s="706"/>
      <c r="AF1" s="706"/>
      <c r="AG1" s="707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708"/>
      <c r="X2" s="709"/>
      <c r="Y2" s="709"/>
      <c r="Z2" s="709"/>
      <c r="AA2" s="710"/>
      <c r="AB2" s="710"/>
      <c r="AC2" s="710"/>
      <c r="AD2" s="710"/>
      <c r="AE2" s="710"/>
      <c r="AF2" s="710"/>
      <c r="AG2" s="711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525" t="s">
        <v>10</v>
      </c>
      <c r="K4" s="526" t="s">
        <v>2</v>
      </c>
      <c r="L4" s="527" t="s">
        <v>9</v>
      </c>
      <c r="M4" s="525" t="s">
        <v>10</v>
      </c>
      <c r="N4" s="526" t="s">
        <v>2</v>
      </c>
      <c r="O4" s="527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45323</v>
      </c>
      <c r="B5" s="28">
        <v>13.23</v>
      </c>
      <c r="C5" s="30">
        <v>2.64</v>
      </c>
      <c r="D5" s="22"/>
      <c r="E5" s="42">
        <f>'01.2024'!E35-B5-C5+D5</f>
        <v>364.35399999999976</v>
      </c>
      <c r="F5" s="51">
        <f>C5</f>
        <v>2.64</v>
      </c>
      <c r="G5" s="9">
        <f>2.32-H5</f>
        <v>2.3199999999999998</v>
      </c>
      <c r="H5" s="10"/>
      <c r="I5" s="161">
        <f>'01.2024'!I35+F5-G5-H5</f>
        <v>5.1300000000000026</v>
      </c>
      <c r="J5" s="8"/>
      <c r="K5" s="11"/>
      <c r="L5" s="25"/>
      <c r="M5" s="51">
        <f t="shared" ref="M5:M35" si="0">H5</f>
        <v>0</v>
      </c>
      <c r="N5" s="24">
        <v>0.122</v>
      </c>
      <c r="O5" s="47">
        <f>'01.2024'!O35+M5-N5</f>
        <v>1.590999999999998</v>
      </c>
      <c r="P5" s="46">
        <v>0</v>
      </c>
      <c r="Q5" s="45">
        <f t="shared" ref="Q5:Q35" si="1">E5+I5+L5+O5</f>
        <v>371.07499999999976</v>
      </c>
      <c r="R5" s="165">
        <f>B5+G5+H5+J5</f>
        <v>15.55</v>
      </c>
      <c r="S5" s="159">
        <v>0</v>
      </c>
      <c r="T5" s="58">
        <f>'01.2024'!T35</f>
        <v>0</v>
      </c>
      <c r="U5" s="58">
        <f>'01.2024'!U35+1408000</f>
        <v>3286792.84</v>
      </c>
      <c r="V5" s="58">
        <f>'01.2024'!V35</f>
        <v>0</v>
      </c>
      <c r="W5" s="58"/>
      <c r="X5" s="58">
        <f>'01.2024'!X35</f>
        <v>0</v>
      </c>
      <c r="Y5" s="58">
        <f>'01.2024'!Y35</f>
        <v>0</v>
      </c>
      <c r="Z5" s="58">
        <f>'01.2024'!Z35+922000</f>
        <v>2127732.216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/>
      <c r="AH5" s="123"/>
      <c r="AI5" s="122"/>
      <c r="AJ5" s="473"/>
      <c r="AK5" s="99"/>
      <c r="AL5" s="21"/>
      <c r="AM5" s="21"/>
    </row>
    <row r="6" spans="1:40" ht="13.2" customHeight="1" thickBot="1" x14ac:dyDescent="0.35">
      <c r="A6" s="7">
        <v>45324</v>
      </c>
      <c r="B6" s="28">
        <v>25.14</v>
      </c>
      <c r="C6" s="30">
        <v>0.60099999999999998</v>
      </c>
      <c r="D6" s="22"/>
      <c r="E6" s="43">
        <f t="shared" ref="E6:E34" si="2">E5+D6-B6-C6</f>
        <v>338.61299999999977</v>
      </c>
      <c r="F6" s="51">
        <f t="shared" ref="F6:F35" si="3">C6</f>
        <v>0.60099999999999998</v>
      </c>
      <c r="G6" s="9">
        <f>1.221-H6</f>
        <v>0.84200000000000008</v>
      </c>
      <c r="H6" s="10">
        <v>0.379</v>
      </c>
      <c r="I6" s="161">
        <f t="shared" ref="I6:I34" si="4">I5+F6-G6-H6</f>
        <v>4.5100000000000033</v>
      </c>
      <c r="J6" s="8"/>
      <c r="K6" s="11"/>
      <c r="L6" s="12"/>
      <c r="M6" s="51">
        <f t="shared" si="0"/>
        <v>0.379</v>
      </c>
      <c r="N6" s="24">
        <v>0.17399999999999999</v>
      </c>
      <c r="O6" s="47">
        <f t="shared" ref="O6:O34" si="5">O5+M6-N6</f>
        <v>1.795999999999998</v>
      </c>
      <c r="P6" s="48"/>
      <c r="Q6" s="47">
        <f t="shared" si="1"/>
        <v>344.91899999999976</v>
      </c>
      <c r="R6" s="165">
        <f t="shared" ref="R6:R35" si="6">B6+G6+H6+J6</f>
        <v>26.361000000000001</v>
      </c>
      <c r="S6" s="159">
        <v>0</v>
      </c>
      <c r="T6" s="58">
        <v>0</v>
      </c>
      <c r="U6" s="58">
        <f>U5</f>
        <v>3286792.84</v>
      </c>
      <c r="V6" s="58">
        <v>0</v>
      </c>
      <c r="W6" s="87"/>
      <c r="X6" s="58">
        <v>0</v>
      </c>
      <c r="Y6" s="58">
        <v>0</v>
      </c>
      <c r="Z6" s="87">
        <f>Z5</f>
        <v>2127732.216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/>
      <c r="AH6" s="128"/>
      <c r="AI6" s="120"/>
      <c r="AJ6" s="349"/>
      <c r="AK6" s="21"/>
      <c r="AL6" s="21"/>
      <c r="AM6" s="21"/>
    </row>
    <row r="7" spans="1:40" ht="13.2" customHeight="1" thickBot="1" x14ac:dyDescent="0.35">
      <c r="A7" s="52">
        <v>45325</v>
      </c>
      <c r="B7" s="28"/>
      <c r="C7" s="30"/>
      <c r="D7" s="22"/>
      <c r="E7" s="43">
        <f t="shared" si="2"/>
        <v>338.61299999999977</v>
      </c>
      <c r="F7" s="51">
        <f t="shared" si="3"/>
        <v>0</v>
      </c>
      <c r="G7" s="9"/>
      <c r="H7" s="10"/>
      <c r="I7" s="161">
        <f t="shared" si="4"/>
        <v>4.5100000000000033</v>
      </c>
      <c r="J7" s="8"/>
      <c r="K7" s="11"/>
      <c r="L7" s="12"/>
      <c r="M7" s="51">
        <f t="shared" si="0"/>
        <v>0</v>
      </c>
      <c r="N7" s="24"/>
      <c r="O7" s="47">
        <f t="shared" si="5"/>
        <v>1.795999999999998</v>
      </c>
      <c r="P7" s="48"/>
      <c r="Q7" s="47">
        <f t="shared" si="1"/>
        <v>344.91899999999976</v>
      </c>
      <c r="R7" s="165">
        <f t="shared" si="6"/>
        <v>0</v>
      </c>
      <c r="S7" s="159">
        <v>0</v>
      </c>
      <c r="T7" s="58">
        <v>0</v>
      </c>
      <c r="U7" s="58">
        <v>3286792.84</v>
      </c>
      <c r="V7" s="58">
        <v>0</v>
      </c>
      <c r="W7" s="87"/>
      <c r="X7" s="58">
        <v>0</v>
      </c>
      <c r="Y7" s="58">
        <v>0</v>
      </c>
      <c r="Z7" s="87">
        <v>2127732.216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/>
      <c r="AH7" s="128"/>
      <c r="AI7" s="120"/>
      <c r="AJ7" s="99"/>
      <c r="AK7" s="21"/>
      <c r="AL7" s="120"/>
      <c r="AM7" s="21"/>
    </row>
    <row r="8" spans="1:40" ht="12.75" customHeight="1" thickBot="1" x14ac:dyDescent="0.35">
      <c r="A8" s="52">
        <v>45326</v>
      </c>
      <c r="B8" s="28"/>
      <c r="C8" s="30"/>
      <c r="D8" s="186"/>
      <c r="E8" s="43">
        <f t="shared" si="2"/>
        <v>338.61299999999977</v>
      </c>
      <c r="F8" s="51">
        <f t="shared" si="3"/>
        <v>0</v>
      </c>
      <c r="G8" s="9"/>
      <c r="H8" s="10"/>
      <c r="I8" s="161">
        <f t="shared" si="4"/>
        <v>4.5100000000000033</v>
      </c>
      <c r="J8" s="8"/>
      <c r="K8" s="11"/>
      <c r="L8" s="12"/>
      <c r="M8" s="51">
        <f t="shared" si="0"/>
        <v>0</v>
      </c>
      <c r="N8" s="24"/>
      <c r="O8" s="47">
        <f t="shared" si="5"/>
        <v>1.795999999999998</v>
      </c>
      <c r="P8" s="48"/>
      <c r="Q8" s="47">
        <f t="shared" si="1"/>
        <v>344.91899999999976</v>
      </c>
      <c r="R8" s="165">
        <f t="shared" si="6"/>
        <v>0</v>
      </c>
      <c r="S8" s="159">
        <v>0</v>
      </c>
      <c r="T8" s="58">
        <v>0</v>
      </c>
      <c r="U8" s="58">
        <v>3286792.84</v>
      </c>
      <c r="V8" s="58">
        <v>0</v>
      </c>
      <c r="W8" s="87"/>
      <c r="X8" s="58">
        <v>0</v>
      </c>
      <c r="Y8" s="58">
        <v>0</v>
      </c>
      <c r="Z8" s="87">
        <v>2127732.216</v>
      </c>
      <c r="AA8" s="58"/>
      <c r="AB8" s="58">
        <v>0</v>
      </c>
      <c r="AC8" s="59" t="e">
        <f>1800000-#REF!*#REF!</f>
        <v>#REF!</v>
      </c>
      <c r="AD8" s="314" t="e">
        <f>891000-AI8*#REF!</f>
        <v>#REF!</v>
      </c>
      <c r="AE8" s="58"/>
      <c r="AF8" s="58"/>
      <c r="AG8" s="58"/>
      <c r="AH8" s="123"/>
      <c r="AI8" s="122"/>
      <c r="AJ8" s="99"/>
      <c r="AK8" s="21"/>
      <c r="AL8" s="239"/>
      <c r="AM8" s="21"/>
    </row>
    <row r="9" spans="1:40" ht="13.2" customHeight="1" thickBot="1" x14ac:dyDescent="0.35">
      <c r="A9" s="7">
        <v>45327</v>
      </c>
      <c r="B9" s="28">
        <v>18.62</v>
      </c>
      <c r="C9" s="30">
        <v>1.63</v>
      </c>
      <c r="D9" s="186"/>
      <c r="E9" s="43">
        <f t="shared" si="2"/>
        <v>318.36299999999977</v>
      </c>
      <c r="F9" s="51">
        <f t="shared" si="3"/>
        <v>1.63</v>
      </c>
      <c r="G9" s="9">
        <f>1.14-H9</f>
        <v>1.1399999999999999</v>
      </c>
      <c r="H9" s="10"/>
      <c r="I9" s="161">
        <f t="shared" si="4"/>
        <v>5.0000000000000036</v>
      </c>
      <c r="J9" s="8"/>
      <c r="K9" s="11"/>
      <c r="L9" s="12"/>
      <c r="M9" s="51">
        <f t="shared" si="0"/>
        <v>0</v>
      </c>
      <c r="N9" s="24">
        <v>0.10100000000000001</v>
      </c>
      <c r="O9" s="47">
        <f t="shared" si="5"/>
        <v>1.6949999999999981</v>
      </c>
      <c r="P9" s="48"/>
      <c r="Q9" s="47">
        <f t="shared" si="1"/>
        <v>325.05799999999977</v>
      </c>
      <c r="R9" s="165">
        <f t="shared" si="6"/>
        <v>19.760000000000002</v>
      </c>
      <c r="S9" s="159">
        <v>0</v>
      </c>
      <c r="T9" s="58">
        <v>0</v>
      </c>
      <c r="U9" s="58">
        <v>3286792.84</v>
      </c>
      <c r="V9" s="58">
        <v>0</v>
      </c>
      <c r="W9" s="87"/>
      <c r="X9" s="58">
        <v>0</v>
      </c>
      <c r="Y9" s="58">
        <v>0</v>
      </c>
      <c r="Z9" s="87">
        <v>2127732.216</v>
      </c>
      <c r="AA9" s="87"/>
      <c r="AB9" s="80">
        <v>0</v>
      </c>
      <c r="AC9" s="58"/>
      <c r="AD9" s="87">
        <v>89545.5</v>
      </c>
      <c r="AE9" s="55"/>
      <c r="AF9" s="14"/>
      <c r="AG9" s="58"/>
      <c r="AH9" s="384"/>
      <c r="AI9" s="122"/>
      <c r="AJ9" s="99"/>
      <c r="AK9" s="255"/>
      <c r="AL9" s="99"/>
      <c r="AM9" s="21"/>
      <c r="AN9" s="21"/>
    </row>
    <row r="10" spans="1:40" s="1" customFormat="1" ht="13.2" customHeight="1" thickBot="1" x14ac:dyDescent="0.35">
      <c r="A10" s="7">
        <v>45328</v>
      </c>
      <c r="B10" s="28">
        <v>14.96</v>
      </c>
      <c r="C10" s="30">
        <v>0.78500000000000003</v>
      </c>
      <c r="D10" s="186"/>
      <c r="E10" s="43">
        <f t="shared" si="2"/>
        <v>302.61799999999977</v>
      </c>
      <c r="F10" s="51">
        <f t="shared" si="3"/>
        <v>0.78500000000000003</v>
      </c>
      <c r="G10" s="30">
        <f>1.435-H10</f>
        <v>0.99</v>
      </c>
      <c r="H10" s="10">
        <v>0.44500000000000001</v>
      </c>
      <c r="I10" s="161">
        <f t="shared" si="4"/>
        <v>4.3500000000000032</v>
      </c>
      <c r="J10" s="8"/>
      <c r="K10" s="11"/>
      <c r="L10" s="12"/>
      <c r="M10" s="51">
        <f t="shared" si="0"/>
        <v>0.44500000000000001</v>
      </c>
      <c r="N10" s="24">
        <v>0.252</v>
      </c>
      <c r="O10" s="47">
        <f t="shared" si="5"/>
        <v>1.8879999999999979</v>
      </c>
      <c r="P10" s="48"/>
      <c r="Q10" s="47">
        <f t="shared" si="1"/>
        <v>308.85599999999977</v>
      </c>
      <c r="R10" s="165">
        <f t="shared" si="6"/>
        <v>16.395</v>
      </c>
      <c r="S10" s="159">
        <f>AI10+AI11</f>
        <v>102.51300000000001</v>
      </c>
      <c r="T10" s="58">
        <v>0</v>
      </c>
      <c r="U10" s="407">
        <f>3286792.84-AI11*M44</f>
        <v>1413948.8319999997</v>
      </c>
      <c r="V10" s="58">
        <v>0</v>
      </c>
      <c r="W10" s="87"/>
      <c r="X10" s="58">
        <v>0</v>
      </c>
      <c r="Y10" s="58">
        <v>0</v>
      </c>
      <c r="Z10" s="314">
        <f>2127732.22-AI10*M43</f>
        <v>1162196.2840000002</v>
      </c>
      <c r="AA10" s="87"/>
      <c r="AB10" s="80">
        <v>0</v>
      </c>
      <c r="AC10" s="58"/>
      <c r="AD10" s="87">
        <v>89545.5</v>
      </c>
      <c r="AE10" s="55"/>
      <c r="AF10" s="14"/>
      <c r="AG10" s="58"/>
      <c r="AH10" s="123" t="s">
        <v>49</v>
      </c>
      <c r="AI10" s="122">
        <v>34.872</v>
      </c>
      <c r="AJ10" s="99" t="s">
        <v>578</v>
      </c>
      <c r="AK10" s="27">
        <v>50816438</v>
      </c>
      <c r="AL10" s="239"/>
      <c r="AM10" s="27"/>
      <c r="AN10" s="27"/>
    </row>
    <row r="11" spans="1:40" ht="13.2" customHeight="1" thickBot="1" x14ac:dyDescent="0.35">
      <c r="A11" s="7">
        <v>45329</v>
      </c>
      <c r="B11" s="28">
        <v>18.87</v>
      </c>
      <c r="C11" s="30">
        <v>0.65</v>
      </c>
      <c r="D11" s="186"/>
      <c r="E11" s="43">
        <f>E10+D11-B11-C11</f>
        <v>283.09799999999979</v>
      </c>
      <c r="F11" s="51">
        <f t="shared" si="3"/>
        <v>0.65</v>
      </c>
      <c r="G11" s="9">
        <v>0.1</v>
      </c>
      <c r="H11" s="10"/>
      <c r="I11" s="161">
        <f>I10+F11-G11-H11</f>
        <v>4.9000000000000039</v>
      </c>
      <c r="J11" s="8"/>
      <c r="K11" s="11"/>
      <c r="L11" s="12"/>
      <c r="M11" s="51">
        <f t="shared" si="0"/>
        <v>0</v>
      </c>
      <c r="N11" s="24">
        <v>0.29699999999999999</v>
      </c>
      <c r="O11" s="47">
        <f t="shared" si="5"/>
        <v>1.590999999999998</v>
      </c>
      <c r="P11" s="48"/>
      <c r="Q11" s="47">
        <f t="shared" si="1"/>
        <v>289.58899999999977</v>
      </c>
      <c r="R11" s="165">
        <f>B11+G11+H11+J11</f>
        <v>18.970000000000002</v>
      </c>
      <c r="S11" s="159">
        <v>102.51300000000001</v>
      </c>
      <c r="T11" s="58">
        <v>0</v>
      </c>
      <c r="U11" s="58">
        <v>1413948.8319999997</v>
      </c>
      <c r="V11" s="58">
        <v>0</v>
      </c>
      <c r="W11" s="87"/>
      <c r="X11" s="58">
        <v>0</v>
      </c>
      <c r="Y11" s="58">
        <v>0</v>
      </c>
      <c r="Z11" s="87">
        <v>1162196.2840000002</v>
      </c>
      <c r="AA11" s="87"/>
      <c r="AB11" s="80">
        <v>0</v>
      </c>
      <c r="AC11" s="58"/>
      <c r="AD11" s="87">
        <v>89545.5</v>
      </c>
      <c r="AE11" s="55"/>
      <c r="AF11" s="14"/>
      <c r="AG11" s="58"/>
      <c r="AH11" s="128" t="s">
        <v>48</v>
      </c>
      <c r="AI11" s="120">
        <f>35.968+31.673</f>
        <v>67.641000000000005</v>
      </c>
      <c r="AJ11" s="99" t="s">
        <v>580</v>
      </c>
      <c r="AK11" s="91" t="s">
        <v>581</v>
      </c>
      <c r="AL11" s="21"/>
      <c r="AM11" s="21"/>
      <c r="AN11" s="21"/>
    </row>
    <row r="12" spans="1:40" ht="13.2" customHeight="1" thickBot="1" x14ac:dyDescent="0.35">
      <c r="A12" s="7">
        <v>45330</v>
      </c>
      <c r="B12" s="28">
        <v>18.829999999999998</v>
      </c>
      <c r="C12" s="30"/>
      <c r="D12" s="186"/>
      <c r="E12" s="43">
        <f>E11+D12-B12-C12</f>
        <v>264.2679999999998</v>
      </c>
      <c r="F12" s="51">
        <f t="shared" si="3"/>
        <v>0</v>
      </c>
      <c r="G12" s="30">
        <v>0.12</v>
      </c>
      <c r="H12" s="24"/>
      <c r="I12" s="161">
        <f t="shared" si="4"/>
        <v>4.7800000000000038</v>
      </c>
      <c r="J12" s="8"/>
      <c r="K12" s="11"/>
      <c r="L12" s="12"/>
      <c r="M12" s="51">
        <f t="shared" si="0"/>
        <v>0</v>
      </c>
      <c r="N12" s="24">
        <v>0.23100000000000001</v>
      </c>
      <c r="O12" s="47">
        <f t="shared" si="5"/>
        <v>1.3599999999999979</v>
      </c>
      <c r="P12" s="48"/>
      <c r="Q12" s="47">
        <f t="shared" si="1"/>
        <v>270.40799999999984</v>
      </c>
      <c r="R12" s="165">
        <f>B12+G12+H12+J12</f>
        <v>18.95</v>
      </c>
      <c r="S12" s="159">
        <v>102.51300000000001</v>
      </c>
      <c r="T12" s="58">
        <v>0</v>
      </c>
      <c r="U12" s="58">
        <v>1413948.8319999997</v>
      </c>
      <c r="V12" s="58">
        <v>0</v>
      </c>
      <c r="W12" s="87"/>
      <c r="X12" s="58">
        <v>0</v>
      </c>
      <c r="Y12" s="58">
        <v>0</v>
      </c>
      <c r="Z12" s="87">
        <v>1162196.2840000002</v>
      </c>
      <c r="AA12" s="86"/>
      <c r="AB12" s="80">
        <v>0</v>
      </c>
      <c r="AC12" s="58"/>
      <c r="AD12" s="87">
        <v>89545.5</v>
      </c>
      <c r="AE12" s="55"/>
      <c r="AF12" s="14"/>
      <c r="AG12" s="58"/>
      <c r="AH12" s="128"/>
      <c r="AI12" s="120"/>
      <c r="AJ12" s="103"/>
      <c r="AK12" s="91"/>
      <c r="AL12" s="21"/>
      <c r="AM12" s="21"/>
      <c r="AN12" s="21"/>
    </row>
    <row r="13" spans="1:40" ht="13.2" customHeight="1" thickBot="1" x14ac:dyDescent="0.35">
      <c r="A13" s="7">
        <v>45331</v>
      </c>
      <c r="B13" s="28">
        <v>17.77</v>
      </c>
      <c r="C13" s="30">
        <v>2.867</v>
      </c>
      <c r="D13" s="186"/>
      <c r="E13" s="43">
        <f t="shared" si="2"/>
        <v>243.6309999999998</v>
      </c>
      <c r="F13" s="51">
        <f t="shared" si="3"/>
        <v>2.867</v>
      </c>
      <c r="G13" s="9">
        <f>3.747-H13</f>
        <v>3.2199999999999998</v>
      </c>
      <c r="H13" s="10">
        <v>0.52700000000000002</v>
      </c>
      <c r="I13" s="161">
        <f t="shared" si="4"/>
        <v>3.9000000000000039</v>
      </c>
      <c r="J13" s="8"/>
      <c r="K13" s="26"/>
      <c r="L13" s="12"/>
      <c r="M13" s="51">
        <f t="shared" si="0"/>
        <v>0.52700000000000002</v>
      </c>
      <c r="N13" s="24">
        <v>0.221</v>
      </c>
      <c r="O13" s="47">
        <f t="shared" si="5"/>
        <v>1.6659999999999977</v>
      </c>
      <c r="P13" s="48"/>
      <c r="Q13" s="47">
        <f t="shared" si="1"/>
        <v>249.1969999999998</v>
      </c>
      <c r="R13" s="165">
        <f t="shared" si="6"/>
        <v>21.516999999999999</v>
      </c>
      <c r="S13" s="159">
        <v>102.51300000000001</v>
      </c>
      <c r="T13" s="58">
        <v>0</v>
      </c>
      <c r="U13" s="58">
        <v>1413948.8319999997</v>
      </c>
      <c r="V13" s="58">
        <v>0</v>
      </c>
      <c r="W13" s="87"/>
      <c r="X13" s="58">
        <v>0</v>
      </c>
      <c r="Y13" s="58">
        <v>0</v>
      </c>
      <c r="Z13" s="87">
        <v>1162196.2840000002</v>
      </c>
      <c r="AA13" s="86"/>
      <c r="AB13" s="80"/>
      <c r="AC13" s="58"/>
      <c r="AD13" s="87">
        <v>89545.5</v>
      </c>
      <c r="AE13" s="55" t="e">
        <f>D12*#REF!</f>
        <v>#REF!</v>
      </c>
      <c r="AF13" s="14"/>
      <c r="AG13" s="58"/>
      <c r="AH13" s="127"/>
      <c r="AI13" s="126"/>
      <c r="AJ13" s="103"/>
      <c r="AK13" s="91"/>
      <c r="AL13" s="135"/>
      <c r="AM13" s="21"/>
      <c r="AN13" s="21"/>
    </row>
    <row r="14" spans="1:40" ht="13.2" customHeight="1" thickBot="1" x14ac:dyDescent="0.35">
      <c r="A14" s="52">
        <v>45332</v>
      </c>
      <c r="B14" s="28"/>
      <c r="C14" s="30"/>
      <c r="D14" s="186"/>
      <c r="E14" s="43">
        <f t="shared" si="2"/>
        <v>243.6309999999998</v>
      </c>
      <c r="F14" s="51">
        <f t="shared" si="3"/>
        <v>0</v>
      </c>
      <c r="G14" s="30"/>
      <c r="H14" s="24"/>
      <c r="I14" s="161">
        <f t="shared" si="4"/>
        <v>3.9000000000000039</v>
      </c>
      <c r="J14" s="8"/>
      <c r="K14" s="11"/>
      <c r="L14" s="12"/>
      <c r="M14" s="51">
        <f t="shared" si="0"/>
        <v>0</v>
      </c>
      <c r="N14" s="24"/>
      <c r="O14" s="47">
        <f t="shared" si="5"/>
        <v>1.6659999999999977</v>
      </c>
      <c r="P14" s="48"/>
      <c r="Q14" s="47">
        <f t="shared" si="1"/>
        <v>249.1969999999998</v>
      </c>
      <c r="R14" s="165">
        <f t="shared" si="6"/>
        <v>0</v>
      </c>
      <c r="S14" s="159">
        <v>102.51300000000001</v>
      </c>
      <c r="T14" s="58">
        <v>0</v>
      </c>
      <c r="U14" s="58">
        <v>1413948.8319999997</v>
      </c>
      <c r="V14" s="58">
        <v>0</v>
      </c>
      <c r="W14" s="87"/>
      <c r="X14" s="58">
        <v>0</v>
      </c>
      <c r="Y14" s="58">
        <v>0</v>
      </c>
      <c r="Z14" s="87">
        <v>1162196.2840000002</v>
      </c>
      <c r="AA14" s="86"/>
      <c r="AB14" s="80"/>
      <c r="AC14" s="58"/>
      <c r="AD14" s="87">
        <v>89545.5</v>
      </c>
      <c r="AE14" s="55" t="e">
        <f>481844-19.55*#REF!</f>
        <v>#REF!</v>
      </c>
      <c r="AF14" s="14"/>
      <c r="AG14" s="58"/>
      <c r="AH14" s="123"/>
      <c r="AI14" s="122"/>
      <c r="AJ14" s="99"/>
      <c r="AK14" s="91"/>
      <c r="AL14" s="239"/>
      <c r="AM14" s="21"/>
      <c r="AN14" s="21"/>
    </row>
    <row r="15" spans="1:40" ht="13.2" customHeight="1" thickBot="1" x14ac:dyDescent="0.35">
      <c r="A15" s="52">
        <v>45333</v>
      </c>
      <c r="B15" s="28">
        <v>9.01</v>
      </c>
      <c r="C15" s="30"/>
      <c r="D15" s="186"/>
      <c r="E15" s="43">
        <f t="shared" si="2"/>
        <v>234.62099999999981</v>
      </c>
      <c r="F15" s="51">
        <f t="shared" si="3"/>
        <v>0</v>
      </c>
      <c r="G15" s="9"/>
      <c r="H15" s="10"/>
      <c r="I15" s="161">
        <f t="shared" si="4"/>
        <v>3.9000000000000039</v>
      </c>
      <c r="J15" s="8"/>
      <c r="K15" s="11"/>
      <c r="L15" s="12"/>
      <c r="M15" s="51">
        <f>H15</f>
        <v>0</v>
      </c>
      <c r="N15" s="24"/>
      <c r="O15" s="47">
        <f t="shared" si="5"/>
        <v>1.6659999999999977</v>
      </c>
      <c r="P15" s="48"/>
      <c r="Q15" s="47">
        <f t="shared" si="1"/>
        <v>240.18699999999981</v>
      </c>
      <c r="R15" s="165">
        <f t="shared" si="6"/>
        <v>9.01</v>
      </c>
      <c r="S15" s="159">
        <v>102.51300000000001</v>
      </c>
      <c r="T15" s="58">
        <v>0</v>
      </c>
      <c r="U15" s="58">
        <v>1413948.8319999997</v>
      </c>
      <c r="V15" s="58">
        <v>0</v>
      </c>
      <c r="W15" s="87"/>
      <c r="X15" s="58">
        <v>0</v>
      </c>
      <c r="Y15" s="58">
        <v>0</v>
      </c>
      <c r="Z15" s="87">
        <v>1162196.2840000002</v>
      </c>
      <c r="AA15" s="86"/>
      <c r="AB15" s="80"/>
      <c r="AC15" s="58"/>
      <c r="AD15" s="87">
        <v>89545.5</v>
      </c>
      <c r="AE15" s="271"/>
      <c r="AF15" s="14"/>
      <c r="AG15" s="58"/>
      <c r="AH15" s="128"/>
      <c r="AI15" s="120"/>
      <c r="AJ15" s="208"/>
      <c r="AK15" s="91"/>
      <c r="AL15" s="239"/>
      <c r="AM15" s="21"/>
      <c r="AN15" s="21"/>
    </row>
    <row r="16" spans="1:40" ht="13.2" customHeight="1" thickBot="1" x14ac:dyDescent="0.35">
      <c r="A16" s="7">
        <v>45334</v>
      </c>
      <c r="B16" s="28">
        <f>8.58+3.44</f>
        <v>12.02</v>
      </c>
      <c r="C16" s="30">
        <v>1.32</v>
      </c>
      <c r="D16" s="186"/>
      <c r="E16" s="43">
        <f t="shared" si="2"/>
        <v>221.28099999999981</v>
      </c>
      <c r="F16" s="51">
        <f t="shared" si="3"/>
        <v>1.32</v>
      </c>
      <c r="G16" s="9">
        <v>1.52</v>
      </c>
      <c r="H16" s="10"/>
      <c r="I16" s="161">
        <f t="shared" si="4"/>
        <v>3.7000000000000042</v>
      </c>
      <c r="J16" s="8"/>
      <c r="K16" s="11"/>
      <c r="L16" s="12"/>
      <c r="M16" s="51">
        <f t="shared" si="0"/>
        <v>0</v>
      </c>
      <c r="N16" s="24">
        <v>0.152</v>
      </c>
      <c r="O16" s="47">
        <f t="shared" si="5"/>
        <v>1.5139999999999978</v>
      </c>
      <c r="P16" s="48"/>
      <c r="Q16" s="47">
        <f t="shared" si="1"/>
        <v>226.49499999999983</v>
      </c>
      <c r="R16" s="165">
        <f t="shared" si="6"/>
        <v>13.54</v>
      </c>
      <c r="S16" s="159">
        <v>102.51300000000001</v>
      </c>
      <c r="T16" s="58">
        <v>0</v>
      </c>
      <c r="U16" s="58">
        <v>1413948.8319999997</v>
      </c>
      <c r="V16" s="58">
        <v>0</v>
      </c>
      <c r="W16" s="87"/>
      <c r="X16" s="58">
        <v>0</v>
      </c>
      <c r="Y16" s="58">
        <v>0</v>
      </c>
      <c r="Z16" s="87">
        <v>1162196.2840000002</v>
      </c>
      <c r="AA16" s="86"/>
      <c r="AB16" s="80"/>
      <c r="AC16" s="58"/>
      <c r="AD16" s="87">
        <v>89545.5</v>
      </c>
      <c r="AE16" s="55"/>
      <c r="AF16" s="14"/>
      <c r="AG16" s="58"/>
      <c r="AH16" s="128"/>
      <c r="AI16" s="120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7">
        <v>45335</v>
      </c>
      <c r="B17" s="28">
        <v>30.01</v>
      </c>
      <c r="C17" s="30">
        <v>1.905</v>
      </c>
      <c r="D17" s="186">
        <f>S16</f>
        <v>102.51300000000001</v>
      </c>
      <c r="E17" s="43">
        <f t="shared" si="2"/>
        <v>291.87899999999985</v>
      </c>
      <c r="F17" s="51">
        <f t="shared" si="3"/>
        <v>1.905</v>
      </c>
      <c r="G17" s="9">
        <f>1.105-H17</f>
        <v>0.64999999999999991</v>
      </c>
      <c r="H17" s="10">
        <v>0.45500000000000002</v>
      </c>
      <c r="I17" s="161">
        <f t="shared" si="4"/>
        <v>4.5000000000000036</v>
      </c>
      <c r="J17" s="4"/>
      <c r="K17" s="5"/>
      <c r="L17" s="6"/>
      <c r="M17" s="51">
        <f t="shared" si="0"/>
        <v>0.45500000000000002</v>
      </c>
      <c r="N17" s="24">
        <v>0.253</v>
      </c>
      <c r="O17" s="47">
        <f t="shared" si="5"/>
        <v>1.715999999999998</v>
      </c>
      <c r="P17" s="49"/>
      <c r="Q17" s="47">
        <f t="shared" si="1"/>
        <v>298.09499999999986</v>
      </c>
      <c r="R17" s="165">
        <f t="shared" si="6"/>
        <v>31.114999999999998</v>
      </c>
      <c r="S17" s="160">
        <v>0</v>
      </c>
      <c r="T17" s="58">
        <v>0</v>
      </c>
      <c r="U17" s="58">
        <v>1413948.8319999997</v>
      </c>
      <c r="V17" s="58">
        <v>0</v>
      </c>
      <c r="W17" s="87"/>
      <c r="X17" s="58">
        <v>0</v>
      </c>
      <c r="Y17" s="58">
        <v>0</v>
      </c>
      <c r="Z17" s="87">
        <v>1162196.2840000002</v>
      </c>
      <c r="AA17" s="86"/>
      <c r="AB17" s="80"/>
      <c r="AC17" s="58"/>
      <c r="AD17" s="87">
        <v>0</v>
      </c>
      <c r="AE17" s="55"/>
      <c r="AF17" s="14"/>
      <c r="AG17" s="58"/>
      <c r="AH17" s="384"/>
      <c r="AI17" s="122"/>
      <c r="AJ17" s="103"/>
      <c r="AK17" s="91"/>
      <c r="AL17" s="130"/>
      <c r="AM17" s="99"/>
      <c r="AN17" s="27"/>
    </row>
    <row r="18" spans="1:40" ht="13.2" customHeight="1" thickBot="1" x14ac:dyDescent="0.35">
      <c r="A18" s="7">
        <v>45336</v>
      </c>
      <c r="B18" s="28">
        <v>25.7</v>
      </c>
      <c r="C18" s="30">
        <v>0.6</v>
      </c>
      <c r="D18" s="186"/>
      <c r="E18" s="43">
        <f t="shared" si="2"/>
        <v>265.57899999999984</v>
      </c>
      <c r="F18" s="51">
        <f t="shared" si="3"/>
        <v>0.6</v>
      </c>
      <c r="G18" s="9">
        <f>0.9-H18</f>
        <v>0.9</v>
      </c>
      <c r="H18" s="10"/>
      <c r="I18" s="161">
        <f t="shared" si="4"/>
        <v>4.2000000000000028</v>
      </c>
      <c r="J18" s="8"/>
      <c r="K18" s="11"/>
      <c r="L18" s="12"/>
      <c r="M18" s="51">
        <f t="shared" si="0"/>
        <v>0</v>
      </c>
      <c r="N18" s="24">
        <v>0.45400000000000001</v>
      </c>
      <c r="O18" s="47">
        <f t="shared" si="5"/>
        <v>1.261999999999998</v>
      </c>
      <c r="P18" s="48"/>
      <c r="Q18" s="47">
        <f t="shared" si="1"/>
        <v>271.04099999999983</v>
      </c>
      <c r="R18" s="165">
        <f t="shared" si="6"/>
        <v>26.599999999999998</v>
      </c>
      <c r="S18" s="160">
        <v>0</v>
      </c>
      <c r="T18" s="58">
        <v>0</v>
      </c>
      <c r="U18" s="58">
        <f>U17+1328000</f>
        <v>2741948.8319999995</v>
      </c>
      <c r="V18" s="58"/>
      <c r="W18" s="87"/>
      <c r="X18" s="58"/>
      <c r="Y18" s="58"/>
      <c r="Z18" s="87">
        <f>Z17+830000</f>
        <v>1992196.2840000002</v>
      </c>
      <c r="AA18" s="86"/>
      <c r="AB18" s="80"/>
      <c r="AC18" s="58"/>
      <c r="AD18" s="87">
        <v>0</v>
      </c>
      <c r="AE18" s="55"/>
      <c r="AF18" s="14"/>
      <c r="AG18" s="58"/>
      <c r="AH18" s="384"/>
      <c r="AI18" s="122"/>
      <c r="AJ18" s="103"/>
      <c r="AK18" s="91"/>
      <c r="AL18" s="239"/>
      <c r="AM18" s="21"/>
      <c r="AN18" s="21"/>
    </row>
    <row r="19" spans="1:40" ht="13.2" customHeight="1" thickBot="1" x14ac:dyDescent="0.35">
      <c r="A19" s="7">
        <v>45337</v>
      </c>
      <c r="B19" s="28">
        <v>29.46</v>
      </c>
      <c r="C19" s="30">
        <v>2.6320000000000001</v>
      </c>
      <c r="D19" s="186"/>
      <c r="E19" s="43">
        <f t="shared" si="2"/>
        <v>233.48699999999982</v>
      </c>
      <c r="F19" s="51">
        <f t="shared" si="3"/>
        <v>2.6320000000000001</v>
      </c>
      <c r="G19" s="9">
        <f>3.142-H19</f>
        <v>2.46</v>
      </c>
      <c r="H19" s="10">
        <v>0.68200000000000005</v>
      </c>
      <c r="I19" s="161">
        <f t="shared" si="4"/>
        <v>3.6900000000000026</v>
      </c>
      <c r="J19" s="8"/>
      <c r="K19" s="11"/>
      <c r="L19" s="12"/>
      <c r="M19" s="51">
        <f t="shared" si="0"/>
        <v>0.68200000000000005</v>
      </c>
      <c r="N19" s="24">
        <v>0.17499999999999999</v>
      </c>
      <c r="O19" s="47">
        <f t="shared" si="5"/>
        <v>1.7689999999999981</v>
      </c>
      <c r="P19" s="48"/>
      <c r="Q19" s="47">
        <f t="shared" si="1"/>
        <v>238.94599999999983</v>
      </c>
      <c r="R19" s="165">
        <f t="shared" si="6"/>
        <v>32.602000000000004</v>
      </c>
      <c r="S19" s="160">
        <v>0</v>
      </c>
      <c r="T19" s="58">
        <v>0</v>
      </c>
      <c r="U19" s="86">
        <v>2741948.8319999995</v>
      </c>
      <c r="V19" s="80"/>
      <c r="W19" s="87"/>
      <c r="X19" s="79"/>
      <c r="Y19" s="59"/>
      <c r="Z19" s="87">
        <v>1992196.2840000002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137"/>
      <c r="AI19" s="122"/>
      <c r="AJ19" s="519"/>
      <c r="AK19" s="91"/>
      <c r="AL19" s="239"/>
      <c r="AM19" s="21"/>
      <c r="AN19" s="21"/>
    </row>
    <row r="20" spans="1:40" ht="13.2" customHeight="1" thickBot="1" x14ac:dyDescent="0.35">
      <c r="A20" s="7">
        <v>45338</v>
      </c>
      <c r="B20" s="28">
        <f>21.88-0.5</f>
        <v>21.38</v>
      </c>
      <c r="C20" s="30">
        <v>1.78</v>
      </c>
      <c r="D20" s="186"/>
      <c r="E20" s="43">
        <f t="shared" si="2"/>
        <v>210.32699999999983</v>
      </c>
      <c r="F20" s="51">
        <f t="shared" si="3"/>
        <v>1.78</v>
      </c>
      <c r="G20" s="9">
        <f>1.35-H20</f>
        <v>1.35</v>
      </c>
      <c r="H20" s="10"/>
      <c r="I20" s="161">
        <f t="shared" si="4"/>
        <v>4.1200000000000028</v>
      </c>
      <c r="J20" s="8"/>
      <c r="K20" s="11"/>
      <c r="L20" s="12"/>
      <c r="M20" s="51">
        <f t="shared" si="0"/>
        <v>0</v>
      </c>
      <c r="N20" s="24">
        <v>0.26400000000000001</v>
      </c>
      <c r="O20" s="47">
        <f t="shared" si="5"/>
        <v>1.5049999999999981</v>
      </c>
      <c r="P20" s="48"/>
      <c r="Q20" s="47">
        <f t="shared" si="1"/>
        <v>215.95199999999983</v>
      </c>
      <c r="R20" s="165">
        <f t="shared" si="6"/>
        <v>22.73</v>
      </c>
      <c r="S20" s="160">
        <v>0</v>
      </c>
      <c r="T20" s="58">
        <v>0</v>
      </c>
      <c r="U20" s="86">
        <v>2741948.8319999995</v>
      </c>
      <c r="V20" s="80"/>
      <c r="W20" s="87"/>
      <c r="X20" s="79"/>
      <c r="Y20" s="59"/>
      <c r="Z20" s="87">
        <v>1992196.2840000002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37"/>
      <c r="AI20" s="122"/>
      <c r="AJ20" s="519"/>
      <c r="AK20" s="91"/>
      <c r="AL20" s="239"/>
      <c r="AM20" s="21"/>
      <c r="AN20" s="21"/>
    </row>
    <row r="21" spans="1:40" ht="13.2" customHeight="1" thickBot="1" x14ac:dyDescent="0.35">
      <c r="A21" s="52">
        <v>45339</v>
      </c>
      <c r="B21" s="28"/>
      <c r="C21" s="28"/>
      <c r="D21" s="186"/>
      <c r="E21" s="43">
        <f t="shared" si="2"/>
        <v>210.32699999999983</v>
      </c>
      <c r="F21" s="51">
        <f t="shared" si="3"/>
        <v>0</v>
      </c>
      <c r="G21" s="9"/>
      <c r="H21" s="10"/>
      <c r="I21" s="161">
        <f t="shared" si="4"/>
        <v>4.1200000000000028</v>
      </c>
      <c r="J21" s="8"/>
      <c r="K21" s="11"/>
      <c r="L21" s="12"/>
      <c r="M21" s="51">
        <f t="shared" si="0"/>
        <v>0</v>
      </c>
      <c r="N21" s="24"/>
      <c r="O21" s="47">
        <f t="shared" si="5"/>
        <v>1.5049999999999981</v>
      </c>
      <c r="P21" s="48"/>
      <c r="Q21" s="47">
        <f t="shared" si="1"/>
        <v>215.95199999999983</v>
      </c>
      <c r="R21" s="165">
        <f t="shared" si="6"/>
        <v>0</v>
      </c>
      <c r="S21" s="160">
        <v>0</v>
      </c>
      <c r="T21" s="58">
        <v>0</v>
      </c>
      <c r="U21" s="86">
        <v>2741948.8319999995</v>
      </c>
      <c r="V21" s="80"/>
      <c r="W21" s="87"/>
      <c r="X21" s="79"/>
      <c r="Y21" s="59"/>
      <c r="Z21" s="87">
        <v>1992196.2840000002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127"/>
      <c r="AI21" s="122"/>
      <c r="AJ21" s="103"/>
      <c r="AK21" s="91"/>
      <c r="AL21" s="21"/>
      <c r="AM21" s="21"/>
      <c r="AN21" s="21"/>
    </row>
    <row r="22" spans="1:40" ht="13.2" customHeight="1" thickBot="1" x14ac:dyDescent="0.35">
      <c r="A22" s="52">
        <v>45340</v>
      </c>
      <c r="B22" s="28"/>
      <c r="C22" s="146"/>
      <c r="D22" s="186"/>
      <c r="E22" s="43">
        <f t="shared" si="2"/>
        <v>210.32699999999983</v>
      </c>
      <c r="F22" s="51">
        <f t="shared" si="3"/>
        <v>0</v>
      </c>
      <c r="G22" s="9"/>
      <c r="H22" s="10"/>
      <c r="I22" s="161">
        <f t="shared" si="4"/>
        <v>4.1200000000000028</v>
      </c>
      <c r="J22" s="8"/>
      <c r="K22" s="11"/>
      <c r="L22" s="12"/>
      <c r="M22" s="51">
        <f t="shared" si="0"/>
        <v>0</v>
      </c>
      <c r="N22" s="24"/>
      <c r="O22" s="47">
        <f t="shared" si="5"/>
        <v>1.5049999999999981</v>
      </c>
      <c r="P22" s="48"/>
      <c r="Q22" s="47">
        <f t="shared" si="1"/>
        <v>215.95199999999983</v>
      </c>
      <c r="R22" s="165">
        <f t="shared" si="6"/>
        <v>0</v>
      </c>
      <c r="S22" s="160">
        <v>0</v>
      </c>
      <c r="T22" s="58">
        <v>0</v>
      </c>
      <c r="U22" s="86">
        <v>2741948.8319999995</v>
      </c>
      <c r="V22" s="80"/>
      <c r="W22" s="87"/>
      <c r="X22" s="79"/>
      <c r="Y22" s="59"/>
      <c r="Z22" s="87">
        <v>1992196.2840000002</v>
      </c>
      <c r="AA22" s="287"/>
      <c r="AB22" s="428"/>
      <c r="AC22" s="59" t="e">
        <f>965650-AI19*#REF!</f>
        <v>#REF!</v>
      </c>
      <c r="AD22" s="427">
        <v>0</v>
      </c>
      <c r="AE22" s="55"/>
      <c r="AF22" s="14"/>
      <c r="AG22" s="58">
        <v>57820.000000000116</v>
      </c>
      <c r="AH22" s="128"/>
      <c r="AI22" s="122"/>
      <c r="AJ22" s="103"/>
      <c r="AK22" s="91"/>
      <c r="AL22" s="21"/>
      <c r="AM22" s="21"/>
      <c r="AN22" s="21"/>
    </row>
    <row r="23" spans="1:40" ht="13.2" customHeight="1" thickBot="1" x14ac:dyDescent="0.35">
      <c r="A23" s="7">
        <v>45341</v>
      </c>
      <c r="B23" s="28">
        <v>35.97</v>
      </c>
      <c r="C23" s="30">
        <v>0.88</v>
      </c>
      <c r="D23" s="186"/>
      <c r="E23" s="43">
        <f t="shared" si="2"/>
        <v>173.47699999999983</v>
      </c>
      <c r="F23" s="51">
        <f t="shared" si="3"/>
        <v>0.88</v>
      </c>
      <c r="G23" s="9">
        <f>0.6-H23</f>
        <v>0.6</v>
      </c>
      <c r="H23" s="10"/>
      <c r="I23" s="161">
        <f t="shared" si="4"/>
        <v>4.400000000000003</v>
      </c>
      <c r="J23" s="8"/>
      <c r="K23" s="11"/>
      <c r="L23" s="12"/>
      <c r="M23" s="51">
        <f t="shared" si="0"/>
        <v>0</v>
      </c>
      <c r="N23" s="24">
        <v>0.33200000000000002</v>
      </c>
      <c r="O23" s="47">
        <f t="shared" si="5"/>
        <v>1.172999999999998</v>
      </c>
      <c r="P23" s="48"/>
      <c r="Q23" s="47">
        <f t="shared" si="1"/>
        <v>179.04999999999984</v>
      </c>
      <c r="R23" s="165">
        <f t="shared" si="6"/>
        <v>36.57</v>
      </c>
      <c r="S23" s="160">
        <f>AI23</f>
        <v>69.891000000000005</v>
      </c>
      <c r="T23" s="58">
        <v>3000060</v>
      </c>
      <c r="U23" s="407">
        <f>2741948.83-AI23*M44</f>
        <v>806806.82199999993</v>
      </c>
      <c r="V23" s="80"/>
      <c r="W23" s="87"/>
      <c r="X23" s="79"/>
      <c r="Y23" s="59"/>
      <c r="Z23" s="87">
        <v>1992196.2840000002</v>
      </c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128" t="s">
        <v>48</v>
      </c>
      <c r="AI23" s="120">
        <f>36.776+33.115</f>
        <v>69.891000000000005</v>
      </c>
      <c r="AJ23" s="229" t="s">
        <v>589</v>
      </c>
      <c r="AK23" s="531" t="s">
        <v>590</v>
      </c>
      <c r="AL23" s="523"/>
      <c r="AM23" s="21"/>
      <c r="AN23" s="21"/>
    </row>
    <row r="24" spans="1:40" ht="13.2" customHeight="1" thickBot="1" x14ac:dyDescent="0.35">
      <c r="A24" s="7">
        <v>45342</v>
      </c>
      <c r="B24" s="28">
        <v>11.92</v>
      </c>
      <c r="C24" s="30">
        <v>1.0660000000000001</v>
      </c>
      <c r="D24" s="186"/>
      <c r="E24" s="43">
        <f t="shared" si="2"/>
        <v>160.49099999999984</v>
      </c>
      <c r="F24" s="51">
        <f t="shared" si="3"/>
        <v>1.0660000000000001</v>
      </c>
      <c r="G24" s="9">
        <f>1.266-H24</f>
        <v>0.51</v>
      </c>
      <c r="H24" s="10">
        <v>0.75600000000000001</v>
      </c>
      <c r="I24" s="161">
        <f t="shared" si="4"/>
        <v>4.2000000000000028</v>
      </c>
      <c r="J24" s="8"/>
      <c r="K24" s="11"/>
      <c r="L24" s="12"/>
      <c r="M24" s="51">
        <f t="shared" si="0"/>
        <v>0.75600000000000001</v>
      </c>
      <c r="N24" s="24">
        <v>0.36799999999999999</v>
      </c>
      <c r="O24" s="47">
        <f t="shared" si="5"/>
        <v>1.5609999999999982</v>
      </c>
      <c r="P24" s="48"/>
      <c r="Q24" s="47">
        <f t="shared" si="1"/>
        <v>166.25199999999987</v>
      </c>
      <c r="R24" s="165">
        <f t="shared" si="6"/>
        <v>13.186</v>
      </c>
      <c r="S24" s="160">
        <v>69.891000000000005</v>
      </c>
      <c r="T24" s="86">
        <v>3000060</v>
      </c>
      <c r="U24" s="82">
        <v>806806.82199999993</v>
      </c>
      <c r="V24" s="86"/>
      <c r="W24" s="388"/>
      <c r="X24" s="79"/>
      <c r="Y24" s="58"/>
      <c r="Z24" s="87">
        <v>1992196.2840000002</v>
      </c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128" t="s">
        <v>48</v>
      </c>
      <c r="AI24" s="120">
        <v>32.944000000000003</v>
      </c>
      <c r="AJ24" s="229" t="s">
        <v>594</v>
      </c>
      <c r="AK24" s="91">
        <v>50898774</v>
      </c>
      <c r="AL24" s="21"/>
      <c r="AM24" s="21"/>
      <c r="AN24" s="21"/>
    </row>
    <row r="25" spans="1:40" ht="13.2" customHeight="1" thickBot="1" x14ac:dyDescent="0.35">
      <c r="A25" s="7">
        <v>45343</v>
      </c>
      <c r="B25" s="28">
        <v>20.98</v>
      </c>
      <c r="C25" s="30">
        <v>0.47399999999999998</v>
      </c>
      <c r="D25" s="186">
        <f>21.62+21.18</f>
        <v>42.8</v>
      </c>
      <c r="E25" s="43">
        <f t="shared" si="2"/>
        <v>181.83699999999985</v>
      </c>
      <c r="F25" s="51">
        <f t="shared" si="3"/>
        <v>0.47399999999999998</v>
      </c>
      <c r="G25" s="219">
        <f>0.224</f>
        <v>0.224</v>
      </c>
      <c r="H25" s="10"/>
      <c r="I25" s="161">
        <f t="shared" si="4"/>
        <v>4.4500000000000028</v>
      </c>
      <c r="J25" s="8"/>
      <c r="K25" s="11"/>
      <c r="L25" s="12"/>
      <c r="M25" s="51">
        <f t="shared" si="0"/>
        <v>0</v>
      </c>
      <c r="N25" s="24">
        <v>0.26500000000000001</v>
      </c>
      <c r="O25" s="47">
        <f t="shared" si="5"/>
        <v>1.295999999999998</v>
      </c>
      <c r="P25" s="48"/>
      <c r="Q25" s="47">
        <f t="shared" si="1"/>
        <v>187.58299999999986</v>
      </c>
      <c r="R25" s="165">
        <f t="shared" si="6"/>
        <v>21.204000000000001</v>
      </c>
      <c r="S25" s="160">
        <f>AI23+AI24</f>
        <v>102.83500000000001</v>
      </c>
      <c r="T25" s="86">
        <v>3000060</v>
      </c>
      <c r="U25" s="407">
        <f>U23-AI24*M44+1724000</f>
        <v>1618653.3499999999</v>
      </c>
      <c r="V25" s="86"/>
      <c r="W25" s="538">
        <f>-D25*M49</f>
        <v>-1005799.9999999999</v>
      </c>
      <c r="X25" s="79"/>
      <c r="Y25" s="58"/>
      <c r="Z25" s="87">
        <f>1992196.28+1060000</f>
        <v>3052196.2800000003</v>
      </c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127" t="s">
        <v>43</v>
      </c>
      <c r="AI25" s="126">
        <v>37.700000000000003</v>
      </c>
      <c r="AJ25" s="229" t="s">
        <v>601</v>
      </c>
      <c r="AK25" s="91">
        <v>76620509</v>
      </c>
      <c r="AL25" s="438"/>
      <c r="AM25" s="21"/>
      <c r="AN25" s="21"/>
    </row>
    <row r="26" spans="1:40" ht="12" customHeight="1" thickBot="1" x14ac:dyDescent="0.35">
      <c r="A26" s="7">
        <v>45344</v>
      </c>
      <c r="B26" s="28">
        <v>28.86</v>
      </c>
      <c r="C26" s="30">
        <v>0</v>
      </c>
      <c r="D26" s="186"/>
      <c r="E26" s="43">
        <f>E25+D26-B26-C26</f>
        <v>152.97699999999986</v>
      </c>
      <c r="F26" s="51">
        <f t="shared" si="3"/>
        <v>0</v>
      </c>
      <c r="G26" s="9">
        <v>1.1000000000000001</v>
      </c>
      <c r="H26" s="10"/>
      <c r="I26" s="161">
        <f t="shared" si="4"/>
        <v>3.3500000000000028</v>
      </c>
      <c r="J26" s="8"/>
      <c r="K26" s="11"/>
      <c r="L26" s="12"/>
      <c r="M26" s="51">
        <f t="shared" si="0"/>
        <v>0</v>
      </c>
      <c r="N26" s="24">
        <v>0.252</v>
      </c>
      <c r="O26" s="47">
        <f t="shared" si="5"/>
        <v>1.043999999999998</v>
      </c>
      <c r="P26" s="48"/>
      <c r="Q26" s="47">
        <f t="shared" si="1"/>
        <v>157.37099999999987</v>
      </c>
      <c r="R26" s="165">
        <f t="shared" si="6"/>
        <v>29.96</v>
      </c>
      <c r="S26" s="160">
        <f>AI23+AI24+AI25</f>
        <v>140.53500000000003</v>
      </c>
      <c r="T26" s="88">
        <f>3000060-AI25*M47</f>
        <v>2035995.6</v>
      </c>
      <c r="U26" s="82">
        <v>1618653.3499999999</v>
      </c>
      <c r="V26" s="86"/>
      <c r="W26" s="537">
        <f>W25</f>
        <v>-1005799.9999999999</v>
      </c>
      <c r="X26" s="79"/>
      <c r="Y26" s="58"/>
      <c r="Z26" s="87">
        <v>3052196.2800000003</v>
      </c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 t="s">
        <v>49</v>
      </c>
      <c r="AI26" s="122">
        <v>35.569000000000003</v>
      </c>
      <c r="AJ26" s="229" t="s">
        <v>604</v>
      </c>
      <c r="AK26" s="91">
        <v>50813922</v>
      </c>
      <c r="AL26" s="21"/>
      <c r="AM26" s="21"/>
      <c r="AN26" s="21"/>
    </row>
    <row r="27" spans="1:40" ht="13.2" customHeight="1" thickBot="1" x14ac:dyDescent="0.35">
      <c r="A27" s="52">
        <v>45345</v>
      </c>
      <c r="B27" s="28"/>
      <c r="C27" s="28"/>
      <c r="D27" s="186"/>
      <c r="E27" s="43">
        <f>E26+D27-B27-C27</f>
        <v>152.97699999999986</v>
      </c>
      <c r="F27" s="51">
        <f t="shared" si="3"/>
        <v>0</v>
      </c>
      <c r="G27" s="9"/>
      <c r="H27" s="10"/>
      <c r="I27" s="161">
        <f t="shared" si="4"/>
        <v>3.3500000000000028</v>
      </c>
      <c r="J27" s="8"/>
      <c r="K27" s="11"/>
      <c r="L27" s="12"/>
      <c r="M27" s="51">
        <f t="shared" si="0"/>
        <v>0</v>
      </c>
      <c r="N27" s="24"/>
      <c r="O27" s="47">
        <f t="shared" si="5"/>
        <v>1.043999999999998</v>
      </c>
      <c r="P27" s="48"/>
      <c r="Q27" s="47">
        <f t="shared" si="1"/>
        <v>157.37099999999987</v>
      </c>
      <c r="R27" s="165">
        <f t="shared" si="6"/>
        <v>0</v>
      </c>
      <c r="S27" s="160">
        <v>140.53500000000003</v>
      </c>
      <c r="T27" s="86">
        <v>2035995.6</v>
      </c>
      <c r="U27" s="82">
        <v>1618653.3499999999</v>
      </c>
      <c r="V27" s="86"/>
      <c r="W27" s="388">
        <v>-1005799.9999999999</v>
      </c>
      <c r="X27" s="79"/>
      <c r="Y27" s="58"/>
      <c r="Z27" s="87">
        <v>3052196.2800000003</v>
      </c>
      <c r="AA27" s="86"/>
      <c r="AB27" s="80"/>
      <c r="AC27" s="58">
        <v>0</v>
      </c>
      <c r="AD27" s="87"/>
      <c r="AE27" s="55"/>
      <c r="AF27" s="14"/>
      <c r="AG27" s="58"/>
      <c r="AH27" s="128"/>
      <c r="AI27" s="120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52">
        <v>45346</v>
      </c>
      <c r="B28" s="28"/>
      <c r="C28" s="30"/>
      <c r="D28" s="186"/>
      <c r="E28" s="43">
        <f t="shared" si="2"/>
        <v>152.97699999999986</v>
      </c>
      <c r="F28" s="51">
        <f t="shared" si="3"/>
        <v>0</v>
      </c>
      <c r="G28" s="9"/>
      <c r="H28" s="10"/>
      <c r="I28" s="161">
        <f t="shared" si="4"/>
        <v>3.3500000000000028</v>
      </c>
      <c r="J28" s="8"/>
      <c r="K28" s="11"/>
      <c r="L28" s="12"/>
      <c r="M28" s="51">
        <f t="shared" si="0"/>
        <v>0</v>
      </c>
      <c r="N28" s="24"/>
      <c r="O28" s="47">
        <f t="shared" si="5"/>
        <v>1.043999999999998</v>
      </c>
      <c r="P28" s="48"/>
      <c r="Q28" s="47">
        <f t="shared" si="1"/>
        <v>157.37099999999987</v>
      </c>
      <c r="R28" s="165">
        <f t="shared" si="6"/>
        <v>0</v>
      </c>
      <c r="S28" s="160">
        <v>140.53500000000003</v>
      </c>
      <c r="T28" s="86">
        <v>2035995.6</v>
      </c>
      <c r="U28" s="82">
        <v>1618653.3499999999</v>
      </c>
      <c r="V28" s="86"/>
      <c r="W28" s="388">
        <v>-1005799.9999999999</v>
      </c>
      <c r="X28" s="79"/>
      <c r="Y28" s="58"/>
      <c r="Z28" s="87">
        <v>3052196.2800000003</v>
      </c>
      <c r="AA28" s="86"/>
      <c r="AB28" s="80"/>
      <c r="AC28" s="58">
        <v>0</v>
      </c>
      <c r="AD28" s="87"/>
      <c r="AE28" s="55"/>
      <c r="AF28" s="93"/>
      <c r="AG28" s="58"/>
      <c r="AH28" s="123" t="s">
        <v>49</v>
      </c>
      <c r="AI28" s="122">
        <v>34.948999999999998</v>
      </c>
      <c r="AJ28" s="356" t="s">
        <v>605</v>
      </c>
      <c r="AK28" s="91">
        <v>58169871</v>
      </c>
      <c r="AL28" s="21"/>
      <c r="AM28" s="21"/>
      <c r="AN28" s="21"/>
    </row>
    <row r="29" spans="1:40" ht="13.2" customHeight="1" outlineLevel="1" thickBot="1" x14ac:dyDescent="0.35">
      <c r="A29" s="52">
        <v>45347</v>
      </c>
      <c r="B29" s="28"/>
      <c r="C29" s="30"/>
      <c r="D29" s="186"/>
      <c r="E29" s="43">
        <f>E28+D29-B29-C29</f>
        <v>152.97699999999986</v>
      </c>
      <c r="F29" s="51">
        <f t="shared" si="3"/>
        <v>0</v>
      </c>
      <c r="G29" s="9"/>
      <c r="H29" s="10"/>
      <c r="I29" s="161">
        <f t="shared" si="4"/>
        <v>3.3500000000000028</v>
      </c>
      <c r="J29" s="8"/>
      <c r="K29" s="11"/>
      <c r="L29" s="12"/>
      <c r="M29" s="51">
        <f t="shared" si="0"/>
        <v>0</v>
      </c>
      <c r="N29" s="24"/>
      <c r="O29" s="47">
        <f t="shared" si="5"/>
        <v>1.043999999999998</v>
      </c>
      <c r="P29" s="48"/>
      <c r="Q29" s="47">
        <f t="shared" si="1"/>
        <v>157.37099999999987</v>
      </c>
      <c r="R29" s="165">
        <f t="shared" si="6"/>
        <v>0</v>
      </c>
      <c r="S29" s="160">
        <v>140.53500000000003</v>
      </c>
      <c r="T29" s="86">
        <v>2035995.6</v>
      </c>
      <c r="U29" s="82">
        <v>1618653.3499999999</v>
      </c>
      <c r="V29" s="86"/>
      <c r="W29" s="388">
        <v>-1005799.9999999999</v>
      </c>
      <c r="X29" s="79"/>
      <c r="Y29" s="58"/>
      <c r="Z29" s="87">
        <v>3052196.2800000003</v>
      </c>
      <c r="AA29" s="86"/>
      <c r="AB29" s="129"/>
      <c r="AC29" s="58">
        <v>0</v>
      </c>
      <c r="AD29" s="87"/>
      <c r="AE29" s="56"/>
      <c r="AF29" s="14"/>
      <c r="AG29" s="58"/>
      <c r="AH29" s="127" t="s">
        <v>43</v>
      </c>
      <c r="AI29" s="544">
        <v>37.049999999999997</v>
      </c>
      <c r="AJ29" s="103" t="s">
        <v>606</v>
      </c>
      <c r="AK29" s="545">
        <v>76666775</v>
      </c>
      <c r="AL29" s="21"/>
      <c r="AM29" s="21"/>
      <c r="AN29" s="21"/>
    </row>
    <row r="30" spans="1:40" s="21" customFormat="1" ht="13.2" customHeight="1" outlineLevel="1" thickBot="1" x14ac:dyDescent="0.35">
      <c r="A30" s="7">
        <v>45348</v>
      </c>
      <c r="B30" s="28">
        <v>40.020000000000003</v>
      </c>
      <c r="C30" s="146">
        <v>3.718</v>
      </c>
      <c r="D30" s="186">
        <f>AI23+AI25</f>
        <v>107.59100000000001</v>
      </c>
      <c r="E30" s="43">
        <f>E29+D30-B30-C30</f>
        <v>216.82999999999987</v>
      </c>
      <c r="F30" s="51">
        <f t="shared" si="3"/>
        <v>3.718</v>
      </c>
      <c r="G30" s="30">
        <f>3.168-H30</f>
        <v>2.3520000000000003</v>
      </c>
      <c r="H30" s="24">
        <v>0.81599999999999995</v>
      </c>
      <c r="I30" s="161">
        <f t="shared" si="4"/>
        <v>3.900000000000003</v>
      </c>
      <c r="J30" s="28"/>
      <c r="K30" s="26"/>
      <c r="L30" s="53"/>
      <c r="M30" s="51">
        <f t="shared" si="0"/>
        <v>0.81599999999999995</v>
      </c>
      <c r="N30" s="24">
        <v>0.35199999999999998</v>
      </c>
      <c r="O30" s="47">
        <f t="shared" si="5"/>
        <v>1.5079999999999982</v>
      </c>
      <c r="P30" s="54"/>
      <c r="Q30" s="47">
        <f t="shared" si="1"/>
        <v>222.23799999999989</v>
      </c>
      <c r="R30" s="165">
        <f t="shared" si="6"/>
        <v>43.188000000000002</v>
      </c>
      <c r="S30" s="160">
        <f>AI24+AI26+AI28+AI29</f>
        <v>140.512</v>
      </c>
      <c r="T30" s="88">
        <f>2035995.6-AI29*M47</f>
        <v>1088553</v>
      </c>
      <c r="U30" s="82">
        <v>1618653.3499999999</v>
      </c>
      <c r="V30" s="86"/>
      <c r="W30" s="388">
        <v>-1005799.9999999999</v>
      </c>
      <c r="X30" s="79"/>
      <c r="Y30" s="58"/>
      <c r="Z30" s="314">
        <f>3052196.28-(AI26+AI28)*M43</f>
        <v>1099693.8959999997</v>
      </c>
      <c r="AA30" s="86"/>
      <c r="AB30" s="129"/>
      <c r="AC30" s="58">
        <v>0</v>
      </c>
      <c r="AD30" s="87"/>
      <c r="AE30" s="191"/>
      <c r="AF30" s="14"/>
      <c r="AG30" s="58"/>
      <c r="AH30" s="384"/>
      <c r="AI30" s="122"/>
      <c r="AJ30" s="103"/>
      <c r="AK30" s="91"/>
    </row>
    <row r="31" spans="1:40" s="21" customFormat="1" ht="13.2" customHeight="1" outlineLevel="1" thickBot="1" x14ac:dyDescent="0.35">
      <c r="A31" s="7">
        <v>45349</v>
      </c>
      <c r="B31" s="28">
        <v>17.95</v>
      </c>
      <c r="C31" s="30">
        <v>2.08</v>
      </c>
      <c r="D31" s="186">
        <f>AI24+21.44</f>
        <v>54.384</v>
      </c>
      <c r="E31" s="43">
        <f t="shared" si="2"/>
        <v>251.18399999999988</v>
      </c>
      <c r="F31" s="51">
        <f t="shared" si="3"/>
        <v>2.08</v>
      </c>
      <c r="G31" s="68">
        <f>2.33</f>
        <v>2.33</v>
      </c>
      <c r="H31" s="69"/>
      <c r="I31" s="161">
        <f t="shared" si="4"/>
        <v>3.650000000000003</v>
      </c>
      <c r="J31" s="67"/>
      <c r="K31" s="70"/>
      <c r="L31" s="71"/>
      <c r="M31" s="51">
        <f t="shared" si="0"/>
        <v>0</v>
      </c>
      <c r="N31" s="24">
        <v>0.21199999999999999</v>
      </c>
      <c r="O31" s="47">
        <f t="shared" si="5"/>
        <v>1.2959999999999983</v>
      </c>
      <c r="P31" s="72"/>
      <c r="Q31" s="47">
        <f t="shared" si="1"/>
        <v>256.12999999999988</v>
      </c>
      <c r="R31" s="165">
        <f t="shared" si="6"/>
        <v>20.28</v>
      </c>
      <c r="S31" s="160">
        <f>AI29+AI28+AI26</f>
        <v>107.568</v>
      </c>
      <c r="T31" s="86">
        <f>1088553+2370000</f>
        <v>3458553</v>
      </c>
      <c r="U31" s="86">
        <v>1618653.3499999999</v>
      </c>
      <c r="V31" s="294"/>
      <c r="W31" s="153">
        <f>-1005800-21.44*M49</f>
        <v>-1509640</v>
      </c>
      <c r="X31" s="94"/>
      <c r="Y31" s="58"/>
      <c r="Z31" s="86">
        <v>1099693.8959999997</v>
      </c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7">
        <v>45350</v>
      </c>
      <c r="B32" s="28">
        <v>18.11</v>
      </c>
      <c r="C32" s="30">
        <v>7.2809999999999997</v>
      </c>
      <c r="D32" s="186">
        <f>23.7+22.8+23.1</f>
        <v>69.599999999999994</v>
      </c>
      <c r="E32" s="43">
        <f t="shared" si="2"/>
        <v>295.39299999999986</v>
      </c>
      <c r="F32" s="51">
        <f t="shared" si="3"/>
        <v>7.2809999999999997</v>
      </c>
      <c r="G32" s="62">
        <f>7.651-H32</f>
        <v>7.2759999999999998</v>
      </c>
      <c r="H32" s="62">
        <v>0.375</v>
      </c>
      <c r="I32" s="161">
        <f t="shared" si="4"/>
        <v>3.2800000000000029</v>
      </c>
      <c r="J32" s="62"/>
      <c r="K32" s="64"/>
      <c r="L32" s="13"/>
      <c r="M32" s="51">
        <f t="shared" si="0"/>
        <v>0.375</v>
      </c>
      <c r="N32" s="24">
        <v>0.245</v>
      </c>
      <c r="O32" s="47">
        <f t="shared" si="5"/>
        <v>1.4259999999999984</v>
      </c>
      <c r="P32" s="65"/>
      <c r="Q32" s="47">
        <f t="shared" si="1"/>
        <v>300.09899999999988</v>
      </c>
      <c r="R32" s="165">
        <f t="shared" si="6"/>
        <v>25.760999999999999</v>
      </c>
      <c r="S32" s="160">
        <v>107.568</v>
      </c>
      <c r="T32" s="86">
        <v>3458553</v>
      </c>
      <c r="U32" s="86">
        <v>1618653.3499999999</v>
      </c>
      <c r="V32" s="294"/>
      <c r="W32" s="153">
        <f>-1509640-(23.7+22.8+23.1)*M49</f>
        <v>-3145240</v>
      </c>
      <c r="X32" s="94"/>
      <c r="Y32" s="58"/>
      <c r="Z32" s="86">
        <v>1099693.8959999997</v>
      </c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  <c r="AM32" s="21"/>
    </row>
    <row r="33" spans="1:39" ht="13.2" customHeight="1" outlineLevel="1" thickBot="1" x14ac:dyDescent="0.35">
      <c r="A33" s="7">
        <v>45351</v>
      </c>
      <c r="B33" s="28">
        <v>15.89</v>
      </c>
      <c r="C33" s="30">
        <v>1.3220000000000001</v>
      </c>
      <c r="D33" s="186">
        <f>AI28</f>
        <v>34.948999999999998</v>
      </c>
      <c r="E33" s="43">
        <f t="shared" si="2"/>
        <v>313.12999999999988</v>
      </c>
      <c r="F33" s="51">
        <f t="shared" si="3"/>
        <v>1.3220000000000001</v>
      </c>
      <c r="G33" s="62">
        <v>0</v>
      </c>
      <c r="H33" s="62">
        <v>0.70199999999999996</v>
      </c>
      <c r="I33" s="161">
        <f t="shared" si="4"/>
        <v>3.900000000000003</v>
      </c>
      <c r="J33" s="62"/>
      <c r="K33" s="64"/>
      <c r="L33" s="13"/>
      <c r="M33" s="51">
        <f t="shared" si="0"/>
        <v>0.70199999999999996</v>
      </c>
      <c r="N33" s="24">
        <v>0.309</v>
      </c>
      <c r="O33" s="47">
        <f t="shared" si="5"/>
        <v>1.8189999999999984</v>
      </c>
      <c r="P33" s="65"/>
      <c r="Q33" s="47">
        <f t="shared" si="1"/>
        <v>318.84899999999988</v>
      </c>
      <c r="R33" s="165">
        <f>B33+G33+H33+J33</f>
        <v>16.591999999999999</v>
      </c>
      <c r="S33" s="160">
        <f>AI29+AI26+AI33</f>
        <v>179.81900000000002</v>
      </c>
      <c r="T33" s="88">
        <f>3458553-AI33*M47</f>
        <v>717234.60000000009</v>
      </c>
      <c r="U33" s="86">
        <v>1618653.3499999999</v>
      </c>
      <c r="V33" s="294"/>
      <c r="W33" s="66">
        <v>0</v>
      </c>
      <c r="X33" s="94"/>
      <c r="Y33" s="58"/>
      <c r="Z33" s="86">
        <v>1099693.8959999997</v>
      </c>
      <c r="AA33" s="86"/>
      <c r="AB33" s="80"/>
      <c r="AC33" s="58"/>
      <c r="AD33" s="87"/>
      <c r="AE33" s="57"/>
      <c r="AF33" s="131"/>
      <c r="AG33" s="58"/>
      <c r="AH33" s="127" t="s">
        <v>43</v>
      </c>
      <c r="AI33" s="126">
        <v>107.2</v>
      </c>
      <c r="AJ33" s="99" t="s">
        <v>609</v>
      </c>
      <c r="AK33" s="99" t="s">
        <v>610</v>
      </c>
      <c r="AL33" s="21"/>
      <c r="AM33" s="21"/>
    </row>
    <row r="34" spans="1:39" ht="13.2" customHeight="1" outlineLevel="1" thickBot="1" x14ac:dyDescent="0.35">
      <c r="A34" s="7"/>
      <c r="B34" s="28"/>
      <c r="C34" s="30"/>
      <c r="D34" s="92"/>
      <c r="E34" s="43">
        <f t="shared" si="2"/>
        <v>313.12999999999988</v>
      </c>
      <c r="F34" s="51">
        <f t="shared" si="3"/>
        <v>0</v>
      </c>
      <c r="G34" s="62"/>
      <c r="H34" s="62"/>
      <c r="I34" s="161">
        <f t="shared" si="4"/>
        <v>3.900000000000003</v>
      </c>
      <c r="J34" s="44"/>
      <c r="K34" s="44"/>
      <c r="L34" s="44"/>
      <c r="M34" s="63">
        <f t="shared" si="0"/>
        <v>0</v>
      </c>
      <c r="N34" s="24"/>
      <c r="O34" s="47">
        <f t="shared" si="5"/>
        <v>1.8189999999999984</v>
      </c>
      <c r="P34" s="65">
        <v>0</v>
      </c>
      <c r="Q34" s="47">
        <f t="shared" si="1"/>
        <v>318.84899999999988</v>
      </c>
      <c r="R34" s="165">
        <f t="shared" si="6"/>
        <v>0</v>
      </c>
      <c r="S34" s="160"/>
      <c r="T34" s="86"/>
      <c r="U34" s="86"/>
      <c r="V34" s="87"/>
      <c r="W34" s="153"/>
      <c r="X34" s="94"/>
      <c r="Y34" s="58"/>
      <c r="Z34" s="86"/>
      <c r="AA34" s="86"/>
      <c r="AB34" s="129"/>
      <c r="AC34" s="58"/>
      <c r="AD34" s="87"/>
      <c r="AE34" s="57"/>
      <c r="AF34" s="87"/>
      <c r="AG34" s="58"/>
      <c r="AH34" s="384"/>
      <c r="AI34" s="122"/>
      <c r="AJ34" s="99"/>
      <c r="AK34" s="21"/>
      <c r="AL34" s="21"/>
      <c r="AM34" s="21"/>
    </row>
    <row r="35" spans="1:39" ht="15" outlineLevel="1" thickBot="1" x14ac:dyDescent="0.35">
      <c r="A35" s="7"/>
      <c r="B35" s="108"/>
      <c r="C35" s="19"/>
      <c r="D35" s="92"/>
      <c r="E35" s="73">
        <f>E34+D35-B35-C35</f>
        <v>313.12999999999988</v>
      </c>
      <c r="F35" s="100">
        <f t="shared" si="3"/>
        <v>0</v>
      </c>
      <c r="G35" s="108"/>
      <c r="H35" s="108"/>
      <c r="I35" s="161">
        <f>I34+F35-G35-H35</f>
        <v>3.900000000000003</v>
      </c>
      <c r="J35" s="18"/>
      <c r="K35" s="74"/>
      <c r="L35" s="75"/>
      <c r="M35" s="109">
        <f t="shared" si="0"/>
        <v>0</v>
      </c>
      <c r="N35" s="24"/>
      <c r="O35" s="50">
        <f>O34+M35-N35</f>
        <v>1.8189999999999984</v>
      </c>
      <c r="P35" s="76"/>
      <c r="Q35" s="50">
        <f t="shared" si="1"/>
        <v>318.84899999999988</v>
      </c>
      <c r="R35" s="166">
        <f t="shared" si="6"/>
        <v>0</v>
      </c>
      <c r="S35" s="160"/>
      <c r="T35" s="86"/>
      <c r="U35" s="86"/>
      <c r="V35" s="87"/>
      <c r="W35" s="153"/>
      <c r="X35" s="94"/>
      <c r="Y35" s="86"/>
      <c r="Z35" s="86"/>
      <c r="AA35" s="86"/>
      <c r="AB35" s="129"/>
      <c r="AC35" s="58"/>
      <c r="AD35" s="87"/>
      <c r="AE35" s="57"/>
      <c r="AF35" s="87"/>
      <c r="AG35" s="58"/>
      <c r="AH35" s="384"/>
      <c r="AI35" s="122"/>
      <c r="AJ35" s="99"/>
      <c r="AK35" s="21"/>
      <c r="AL35" s="21"/>
    </row>
    <row r="36" spans="1:39" ht="15" thickBot="1" x14ac:dyDescent="0.35">
      <c r="A36" s="36" t="s">
        <v>12</v>
      </c>
      <c r="B36" s="37">
        <f>SUM(B5:B35)</f>
        <v>444.70000000000005</v>
      </c>
      <c r="C36" s="37">
        <f>SUM(C5:C35)</f>
        <v>34.231000000000002</v>
      </c>
      <c r="D36" s="37">
        <f>SUM(D5:D35)</f>
        <v>411.83700000000005</v>
      </c>
      <c r="E36" s="115">
        <f>INDEX(E5:E35,COUNTA(E5:E35))-12.74</f>
        <v>300.38999999999987</v>
      </c>
      <c r="F36" s="37">
        <f>SUM(F5:F35)</f>
        <v>34.231000000000002</v>
      </c>
      <c r="G36" s="37">
        <f>SUM(G5:G35)</f>
        <v>30.004000000000001</v>
      </c>
      <c r="H36" s="37">
        <f>SUM(H5:H35)</f>
        <v>5.1369999999999996</v>
      </c>
      <c r="I36" s="541"/>
      <c r="J36" s="38">
        <f>SUM(J5:J34)</f>
        <v>0</v>
      </c>
      <c r="K36" s="40">
        <f>SUM(K5:K34)</f>
        <v>0</v>
      </c>
      <c r="L36" s="39"/>
      <c r="M36" s="37">
        <f>SUM(M5:M35)</f>
        <v>5.1369999999999996</v>
      </c>
      <c r="N36" s="37">
        <f>SUM(N5:N35)</f>
        <v>5.0309999999999997</v>
      </c>
      <c r="O36" s="41"/>
      <c r="P36" s="40">
        <f>B36+G36+H36+J36</f>
        <v>479.84100000000007</v>
      </c>
      <c r="Q36" s="41"/>
      <c r="R36" s="542">
        <f>SUM(R5:R35)</f>
        <v>479.84099999999995</v>
      </c>
      <c r="S36" s="114">
        <f>INDEX(S5:S35,COUNTA(S5:S35))</f>
        <v>179.81900000000002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/>
      <c r="AI36" s="122"/>
      <c r="AJ36" s="21"/>
      <c r="AK36" s="99"/>
      <c r="AL36" s="21"/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H37" s="384"/>
      <c r="AI37" s="122"/>
      <c r="AJ37" s="473"/>
      <c r="AK37" s="99"/>
      <c r="AL37" s="21"/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300.38999999999987</v>
      </c>
      <c r="AA38" s="111"/>
      <c r="AB38" s="111"/>
      <c r="AC38" s="111"/>
      <c r="AD38" s="112"/>
      <c r="AH38" s="474"/>
      <c r="AI38" s="475"/>
      <c r="AJ38" s="475"/>
      <c r="AK38" s="475"/>
      <c r="AL38" s="475"/>
    </row>
    <row r="39" spans="1:39" s="33" customFormat="1" ht="13.2" customHeight="1" x14ac:dyDescent="0.3">
      <c r="B39" s="2"/>
      <c r="E39" s="110"/>
      <c r="F39" s="60"/>
      <c r="Q39" s="319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179.81900000000002</v>
      </c>
      <c r="AA39" s="111"/>
      <c r="AB39" s="111"/>
      <c r="AC39" s="111"/>
      <c r="AD39" s="112"/>
      <c r="AH39" s="123"/>
      <c r="AI39" s="122"/>
      <c r="AJ39" s="473"/>
      <c r="AK39" s="99"/>
      <c r="AL39" s="475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N50</f>
        <v>138.91462403324141</v>
      </c>
      <c r="AA40" s="111"/>
      <c r="AB40" s="111"/>
      <c r="AC40" s="111"/>
      <c r="AD40" s="112"/>
      <c r="AH40" s="474"/>
      <c r="AI40" s="122"/>
      <c r="AJ40" s="475"/>
      <c r="AK40" s="475"/>
      <c r="AL40" s="475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619.1236240332413</v>
      </c>
      <c r="AA41" s="111"/>
      <c r="AB41" s="111"/>
      <c r="AC41" s="111"/>
      <c r="AD41" s="112"/>
      <c r="AH41" s="474"/>
      <c r="AI41" s="475"/>
      <c r="AJ41" s="475"/>
      <c r="AK41" s="475"/>
      <c r="AL41" s="475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9" s="315" customFormat="1" hidden="1" x14ac:dyDescent="0.3">
      <c r="C43" s="338"/>
      <c r="D43" s="211" t="s">
        <v>28</v>
      </c>
      <c r="E43" s="691" t="s">
        <v>60</v>
      </c>
      <c r="F43" s="692"/>
      <c r="G43" s="693"/>
      <c r="H43" s="650" t="s">
        <v>563</v>
      </c>
      <c r="I43" s="651"/>
      <c r="J43" s="124"/>
      <c r="K43" s="528"/>
      <c r="L43" s="145"/>
      <c r="M43" s="240">
        <f>17652+10036</f>
        <v>27688</v>
      </c>
      <c r="N43" s="147"/>
      <c r="O43" s="379" t="s">
        <v>585</v>
      </c>
      <c r="P43" s="138"/>
      <c r="Q43" s="307" t="s">
        <v>579</v>
      </c>
      <c r="R43" s="307" t="s">
        <v>569</v>
      </c>
      <c r="S43" s="307" t="s">
        <v>607</v>
      </c>
      <c r="T43" s="343"/>
      <c r="U43" s="319"/>
      <c r="V43" s="320"/>
      <c r="W43" s="321"/>
      <c r="X43" s="322"/>
      <c r="Y43" s="322"/>
      <c r="Z43" s="323"/>
      <c r="AA43" s="324"/>
      <c r="AB43" s="324"/>
      <c r="AC43" s="324"/>
      <c r="AD43" s="324"/>
      <c r="AG43" s="325"/>
      <c r="AH43" s="326"/>
      <c r="AI43" s="325"/>
      <c r="AJ43" s="325"/>
      <c r="AK43" s="325"/>
      <c r="AL43" s="324"/>
    </row>
    <row r="44" spans="1:39" s="315" customFormat="1" hidden="1" x14ac:dyDescent="0.3">
      <c r="C44" s="338"/>
      <c r="D44" s="211" t="s">
        <v>21</v>
      </c>
      <c r="E44" s="691" t="s">
        <v>60</v>
      </c>
      <c r="F44" s="692"/>
      <c r="G44" s="693"/>
      <c r="H44" s="650" t="s">
        <v>563</v>
      </c>
      <c r="I44" s="651"/>
      <c r="J44" s="124"/>
      <c r="K44" s="528"/>
      <c r="L44" s="145"/>
      <c r="M44" s="240">
        <f>17652+10036</f>
        <v>27688</v>
      </c>
      <c r="N44" s="147"/>
      <c r="O44" s="379" t="s">
        <v>586</v>
      </c>
      <c r="P44" s="138"/>
      <c r="Q44" s="307" t="s">
        <v>582</v>
      </c>
      <c r="R44" s="307" t="s">
        <v>591</v>
      </c>
      <c r="S44" s="307" t="s">
        <v>569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9" s="315" customFormat="1" x14ac:dyDescent="0.3">
      <c r="C45" s="338"/>
      <c r="D45" s="259" t="s">
        <v>28</v>
      </c>
      <c r="E45" s="672" t="s">
        <v>60</v>
      </c>
      <c r="F45" s="673"/>
      <c r="G45" s="674"/>
      <c r="H45" s="672" t="s">
        <v>587</v>
      </c>
      <c r="I45" s="673"/>
      <c r="J45" s="124"/>
      <c r="K45" s="532"/>
      <c r="L45" s="145"/>
      <c r="M45" s="286">
        <f>14483+10036</f>
        <v>24519</v>
      </c>
      <c r="N45" s="147">
        <f>Z30/M45</f>
        <v>44.850682980545685</v>
      </c>
      <c r="O45" s="379"/>
      <c r="P45" s="138"/>
      <c r="Q45" s="319" t="s">
        <v>588</v>
      </c>
      <c r="R45" s="319" t="s">
        <v>595</v>
      </c>
      <c r="S45" s="319" t="s">
        <v>181</v>
      </c>
      <c r="T45" s="343"/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9" s="315" customFormat="1" x14ac:dyDescent="0.3">
      <c r="C46" s="338"/>
      <c r="D46" s="259" t="s">
        <v>21</v>
      </c>
      <c r="E46" s="672" t="s">
        <v>60</v>
      </c>
      <c r="F46" s="673"/>
      <c r="G46" s="674"/>
      <c r="H46" s="672" t="s">
        <v>587</v>
      </c>
      <c r="I46" s="673"/>
      <c r="J46" s="124"/>
      <c r="K46" s="532"/>
      <c r="L46" s="145"/>
      <c r="M46" s="286">
        <f>14483+10036</f>
        <v>24519</v>
      </c>
      <c r="N46" s="147">
        <f>U25/M46</f>
        <v>66.01628736897915</v>
      </c>
      <c r="O46" s="379"/>
      <c r="P46" s="138"/>
      <c r="Q46" s="319" t="s">
        <v>596</v>
      </c>
      <c r="R46" s="319" t="s">
        <v>597</v>
      </c>
      <c r="S46" s="319" t="s">
        <v>598</v>
      </c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9" s="315" customFormat="1" x14ac:dyDescent="0.3">
      <c r="C47" s="338"/>
      <c r="D47" s="211"/>
      <c r="E47" s="672" t="s">
        <v>18</v>
      </c>
      <c r="F47" s="673"/>
      <c r="G47" s="674"/>
      <c r="H47" s="672" t="s">
        <v>593</v>
      </c>
      <c r="I47" s="673"/>
      <c r="J47" s="124"/>
      <c r="K47" s="528"/>
      <c r="L47" s="145"/>
      <c r="M47" s="240">
        <v>25572</v>
      </c>
      <c r="N47" s="147"/>
      <c r="O47" s="379" t="s">
        <v>600</v>
      </c>
      <c r="P47" s="138"/>
      <c r="Q47" s="307" t="s">
        <v>602</v>
      </c>
      <c r="R47" s="307" t="s">
        <v>583</v>
      </c>
      <c r="S47" s="307" t="s">
        <v>603</v>
      </c>
      <c r="T47" s="381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9" s="315" customFormat="1" x14ac:dyDescent="0.3">
      <c r="C48" s="338"/>
      <c r="D48" s="211"/>
      <c r="E48" s="672" t="s">
        <v>18</v>
      </c>
      <c r="F48" s="673"/>
      <c r="G48" s="674"/>
      <c r="H48" s="672" t="s">
        <v>587</v>
      </c>
      <c r="I48" s="673"/>
      <c r="J48" s="124"/>
      <c r="K48" s="529"/>
      <c r="L48" s="145"/>
      <c r="M48" s="240"/>
      <c r="N48" s="147">
        <f>T33/M47</f>
        <v>28.047653683716568</v>
      </c>
      <c r="O48" s="379"/>
      <c r="P48" s="138"/>
      <c r="Q48" s="319" t="s">
        <v>588</v>
      </c>
      <c r="R48" s="319" t="s">
        <v>156</v>
      </c>
      <c r="S48" s="319" t="s">
        <v>181</v>
      </c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ht="15" thickBot="1" x14ac:dyDescent="0.35">
      <c r="C49" s="338"/>
      <c r="D49" s="211"/>
      <c r="E49" s="688" t="s">
        <v>229</v>
      </c>
      <c r="F49" s="689"/>
      <c r="G49" s="690"/>
      <c r="H49" s="650" t="s">
        <v>608</v>
      </c>
      <c r="I49" s="651"/>
      <c r="J49" s="124"/>
      <c r="K49" s="530"/>
      <c r="L49" s="145"/>
      <c r="M49" s="240">
        <v>23500</v>
      </c>
      <c r="N49" s="147"/>
      <c r="O49" s="539" t="s">
        <v>592</v>
      </c>
      <c r="P49" s="138"/>
      <c r="Q49" s="319"/>
      <c r="R49" s="319"/>
      <c r="S49" s="319"/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ht="13.95" customHeight="1" thickBot="1" x14ac:dyDescent="0.35">
      <c r="E50" s="634"/>
      <c r="F50" s="635"/>
      <c r="G50" s="636"/>
      <c r="H50" s="637"/>
      <c r="I50" s="638"/>
      <c r="J50" s="141"/>
      <c r="K50" s="141"/>
      <c r="L50" s="142"/>
      <c r="M50" s="424" t="s">
        <v>33</v>
      </c>
      <c r="N50" s="425">
        <f>SUBTOTAL(109,N43:N49)</f>
        <v>138.91462403324141</v>
      </c>
      <c r="O50" s="150"/>
      <c r="T50" s="181"/>
      <c r="U50" s="181"/>
      <c r="V50" s="177"/>
      <c r="W50" s="178"/>
      <c r="X50" s="178"/>
      <c r="Y50" s="178"/>
      <c r="Z50" s="180"/>
      <c r="AA50" s="90"/>
      <c r="AB50" s="90"/>
      <c r="AC50" s="21"/>
      <c r="AD50" s="21"/>
    </row>
    <row r="51" spans="3:38" ht="13.95" customHeight="1" x14ac:dyDescent="0.3">
      <c r="E51" s="359" t="s">
        <v>494</v>
      </c>
      <c r="F51" s="154"/>
      <c r="G51" s="154"/>
      <c r="H51" s="478"/>
      <c r="I51" s="479"/>
      <c r="J51" s="480"/>
      <c r="K51" s="480"/>
      <c r="L51" s="480"/>
      <c r="M51" s="481"/>
      <c r="N51" s="482"/>
      <c r="O51" s="483"/>
      <c r="T51" s="181"/>
      <c r="U51" s="181"/>
      <c r="V51" s="177"/>
      <c r="W51" s="178"/>
      <c r="X51" s="178"/>
      <c r="Y51" s="178"/>
      <c r="Z51" s="180"/>
      <c r="AA51" s="90"/>
      <c r="AB51" s="90"/>
      <c r="AC51" s="21"/>
      <c r="AD51" s="21"/>
    </row>
    <row r="52" spans="3:38" hidden="1" x14ac:dyDescent="0.3">
      <c r="E52" s="1" t="s">
        <v>116</v>
      </c>
      <c r="O52" s="139"/>
      <c r="V52" s="178"/>
      <c r="W52" s="178"/>
      <c r="X52" s="178"/>
      <c r="Y52" s="178"/>
      <c r="Z52" s="180"/>
      <c r="AA52" s="21"/>
      <c r="AB52" s="21"/>
      <c r="AC52" s="21"/>
      <c r="AD52" s="21"/>
    </row>
    <row r="53" spans="3:38" hidden="1" x14ac:dyDescent="0.3">
      <c r="E53" s="1" t="s">
        <v>57</v>
      </c>
      <c r="O53" s="1"/>
      <c r="P53" s="1"/>
      <c r="Q53" s="1"/>
      <c r="R53" s="224"/>
      <c r="V53" s="178"/>
      <c r="W53" s="178"/>
      <c r="X53" s="178"/>
      <c r="Y53" s="178"/>
      <c r="Z53" s="178"/>
      <c r="AA53" s="21"/>
      <c r="AB53" s="21"/>
      <c r="AC53" s="21"/>
      <c r="AD53" s="21"/>
    </row>
    <row r="54" spans="3:38" x14ac:dyDescent="0.3">
      <c r="E54" s="359" t="s">
        <v>379</v>
      </c>
      <c r="O54" s="1"/>
      <c r="P54" s="1"/>
      <c r="Q54" s="1"/>
      <c r="R54" s="224"/>
      <c r="V54" s="178"/>
      <c r="W54" s="178"/>
      <c r="X54" s="178"/>
      <c r="Y54" s="178"/>
      <c r="Z54" s="178"/>
      <c r="AA54" s="21"/>
      <c r="AB54" s="21"/>
      <c r="AC54" s="21"/>
      <c r="AD54" s="21"/>
    </row>
    <row r="55" spans="3:38" hidden="1" x14ac:dyDescent="0.3">
      <c r="E55" s="1" t="s">
        <v>288</v>
      </c>
      <c r="O55" s="1"/>
      <c r="P55" s="1"/>
      <c r="Q55" s="1"/>
      <c r="R55" s="224"/>
      <c r="V55" s="178"/>
      <c r="W55" s="178"/>
      <c r="X55" s="178"/>
      <c r="Y55" s="178"/>
      <c r="Z55" s="178"/>
      <c r="AA55" s="21"/>
      <c r="AB55" s="21"/>
      <c r="AC55" s="21"/>
      <c r="AD55" s="21"/>
    </row>
    <row r="56" spans="3:38" hidden="1" x14ac:dyDescent="0.3">
      <c r="E56" s="1" t="s">
        <v>287</v>
      </c>
    </row>
    <row r="57" spans="3:38" x14ac:dyDescent="0.3">
      <c r="E57" s="359" t="s">
        <v>339</v>
      </c>
      <c r="Z57" s="672"/>
      <c r="AA57" s="673"/>
    </row>
    <row r="58" spans="3:38" x14ac:dyDescent="0.3">
      <c r="E58" s="359" t="s">
        <v>290</v>
      </c>
    </row>
    <row r="59" spans="3:38" hidden="1" x14ac:dyDescent="0.3">
      <c r="E59" s="1" t="s">
        <v>289</v>
      </c>
      <c r="V59" s="175"/>
      <c r="W59" s="175"/>
      <c r="X59" s="175"/>
      <c r="Y59" s="175"/>
      <c r="Z59" s="175"/>
      <c r="AA59" s="21"/>
      <c r="AB59" s="21"/>
      <c r="AC59" s="21"/>
      <c r="AD59" s="21"/>
    </row>
    <row r="60" spans="3:38" x14ac:dyDescent="0.3">
      <c r="E60" s="359" t="s">
        <v>495</v>
      </c>
    </row>
    <row r="61" spans="3:38" x14ac:dyDescent="0.3">
      <c r="E61" s="1" t="s">
        <v>291</v>
      </c>
    </row>
    <row r="62" spans="3:38" x14ac:dyDescent="0.3">
      <c r="E62" s="1" t="s">
        <v>292</v>
      </c>
    </row>
  </sheetData>
  <mergeCells count="52">
    <mergeCell ref="AD3:AD4"/>
    <mergeCell ref="AE3:AE4"/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AC3:AC4"/>
    <mergeCell ref="U3:U4"/>
    <mergeCell ref="V3:V4"/>
    <mergeCell ref="W3:W4"/>
    <mergeCell ref="X3:X4"/>
    <mergeCell ref="Y3:Y4"/>
    <mergeCell ref="H46:I46"/>
    <mergeCell ref="U41:Y41"/>
    <mergeCell ref="Z3:Z4"/>
    <mergeCell ref="AA3:AA4"/>
    <mergeCell ref="AB3:AB4"/>
    <mergeCell ref="T38:V38"/>
    <mergeCell ref="T39:V39"/>
    <mergeCell ref="T40:V40"/>
    <mergeCell ref="T3:T4"/>
    <mergeCell ref="Q1:Q4"/>
    <mergeCell ref="R1:R4"/>
    <mergeCell ref="S1:S3"/>
    <mergeCell ref="T1:V2"/>
    <mergeCell ref="W1:AG2"/>
    <mergeCell ref="AF3:AF4"/>
    <mergeCell ref="AG3:AG4"/>
    <mergeCell ref="Z57:AA57"/>
    <mergeCell ref="E50:G50"/>
    <mergeCell ref="H50:I50"/>
    <mergeCell ref="E43:G43"/>
    <mergeCell ref="H43:I43"/>
    <mergeCell ref="E44:G44"/>
    <mergeCell ref="H44:I44"/>
    <mergeCell ref="E47:G47"/>
    <mergeCell ref="H47:I47"/>
    <mergeCell ref="E48:G48"/>
    <mergeCell ref="H48:I48"/>
    <mergeCell ref="E49:G49"/>
    <mergeCell ref="H49:I49"/>
    <mergeCell ref="E45:G45"/>
    <mergeCell ref="H45:I45"/>
    <mergeCell ref="E46:G46"/>
  </mergeCells>
  <pageMargins left="0.7" right="0.17" top="0.72" bottom="0.34" header="0.77" footer="0.3"/>
  <pageSetup paperSize="9" scale="75" fitToWidth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N63"/>
  <sheetViews>
    <sheetView tabSelected="1" zoomScaleNormal="100" workbookViewId="0">
      <pane ySplit="4" topLeftCell="A10" activePane="bottomLeft" state="frozen"/>
      <selection pane="bottomLeft" activeCell="A22" sqref="A22:XFD22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10.77734375" style="20" customWidth="1"/>
    <col min="24" max="25" width="10.6640625" style="20" hidden="1" customWidth="1"/>
    <col min="26" max="26" width="11.33203125" style="20" customWidth="1"/>
    <col min="27" max="28" width="9.6640625" style="2" hidden="1" customWidth="1"/>
    <col min="29" max="29" width="10.6640625" style="2" hidden="1" customWidth="1"/>
    <col min="30" max="30" width="10.33203125" style="2" hidden="1" customWidth="1"/>
    <col min="31" max="32" width="0.109375" style="2" customWidth="1"/>
    <col min="33" max="33" width="9" style="2" hidden="1" customWidth="1"/>
    <col min="34" max="34" width="6" style="77" customWidth="1" outlineLevel="1"/>
    <col min="35" max="35" width="8.33203125" style="2" customWidth="1" outlineLevel="1"/>
    <col min="36" max="36" width="9.7773437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599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704" t="s">
        <v>256</v>
      </c>
      <c r="X1" s="705"/>
      <c r="Y1" s="705"/>
      <c r="Z1" s="705"/>
      <c r="AA1" s="706"/>
      <c r="AB1" s="706"/>
      <c r="AC1" s="706"/>
      <c r="AD1" s="706"/>
      <c r="AE1" s="706"/>
      <c r="AF1" s="706"/>
      <c r="AG1" s="707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708"/>
      <c r="X2" s="709"/>
      <c r="Y2" s="709"/>
      <c r="Z2" s="709"/>
      <c r="AA2" s="710"/>
      <c r="AB2" s="710"/>
      <c r="AC2" s="710"/>
      <c r="AD2" s="710"/>
      <c r="AE2" s="710"/>
      <c r="AF2" s="710"/>
      <c r="AG2" s="711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410</v>
      </c>
      <c r="Y3" s="567" t="s">
        <v>19</v>
      </c>
      <c r="Z3" s="567" t="s">
        <v>160</v>
      </c>
      <c r="AA3" s="599" t="s">
        <v>45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533" t="s">
        <v>10</v>
      </c>
      <c r="K4" s="534" t="s">
        <v>2</v>
      </c>
      <c r="L4" s="535" t="s">
        <v>9</v>
      </c>
      <c r="M4" s="533" t="s">
        <v>10</v>
      </c>
      <c r="N4" s="534" t="s">
        <v>2</v>
      </c>
      <c r="O4" s="535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45352</v>
      </c>
      <c r="B5" s="28">
        <v>49.01</v>
      </c>
      <c r="C5" s="30">
        <v>5.1999999999999998E-2</v>
      </c>
      <c r="D5" s="22">
        <f>'02.2024'!AI26</f>
        <v>35.569000000000003</v>
      </c>
      <c r="E5" s="42">
        <f>'02.2024'!E35-B5-C5+D5</f>
        <v>299.63699999999989</v>
      </c>
      <c r="F5" s="51">
        <f>C5</f>
        <v>5.1999999999999998E-2</v>
      </c>
      <c r="G5" s="9">
        <f>0.512</f>
        <v>0.51200000000000001</v>
      </c>
      <c r="H5" s="10"/>
      <c r="I5" s="161">
        <f>'02.2024'!I35+F5-G5-H5</f>
        <v>3.4400000000000031</v>
      </c>
      <c r="J5" s="8"/>
      <c r="K5" s="11"/>
      <c r="L5" s="25"/>
      <c r="M5" s="51">
        <f t="shared" ref="M5:M35" si="0">H5</f>
        <v>0</v>
      </c>
      <c r="N5" s="24">
        <v>0.309</v>
      </c>
      <c r="O5" s="47">
        <f>'02.2024'!O35+M5-N5</f>
        <v>1.5099999999999985</v>
      </c>
      <c r="P5" s="46">
        <v>0</v>
      </c>
      <c r="Q5" s="45">
        <f t="shared" ref="Q5:Q35" si="1">E5+I5+L5+O5</f>
        <v>304.58699999999988</v>
      </c>
      <c r="R5" s="165">
        <f>B5+G5+H5+J5</f>
        <v>49.521999999999998</v>
      </c>
      <c r="S5" s="159">
        <f>'02.2024'!AI29+'02.2024'!AI33</f>
        <v>144.25</v>
      </c>
      <c r="T5" s="58">
        <f>'02.2024'!T33</f>
        <v>717234.60000000009</v>
      </c>
      <c r="U5" s="58">
        <f>'02.2024'!U33</f>
        <v>1618653.3499999999</v>
      </c>
      <c r="V5" s="58">
        <f>'02.2024'!V33</f>
        <v>0</v>
      </c>
      <c r="W5" s="58">
        <f>'02.2024'!W33</f>
        <v>0</v>
      </c>
      <c r="X5" s="58">
        <f>'02.2024'!X33</f>
        <v>0</v>
      </c>
      <c r="Y5" s="58">
        <f>'02.2024'!Y33</f>
        <v>0</v>
      </c>
      <c r="Z5" s="58">
        <f>'02.2024'!Z33</f>
        <v>1099693.8959999997</v>
      </c>
      <c r="AA5" s="58">
        <f>'08.2023'!AA35</f>
        <v>0</v>
      </c>
      <c r="AB5" s="58">
        <f>'08.2023'!AB35</f>
        <v>0</v>
      </c>
      <c r="AC5" s="58">
        <f>'08.2023'!AC35</f>
        <v>1800000</v>
      </c>
      <c r="AD5" s="58">
        <f>'08.2023'!AD35</f>
        <v>891000</v>
      </c>
      <c r="AE5" s="58"/>
      <c r="AF5" s="58"/>
      <c r="AG5" s="58"/>
      <c r="AH5" s="123"/>
      <c r="AI5" s="122"/>
      <c r="AJ5" s="473"/>
      <c r="AK5" s="99"/>
      <c r="AL5" s="21"/>
      <c r="AM5" s="21"/>
    </row>
    <row r="6" spans="1:40" ht="13.2" customHeight="1" thickBot="1" x14ac:dyDescent="0.35">
      <c r="A6" s="3">
        <v>45353</v>
      </c>
      <c r="B6" s="28"/>
      <c r="C6" s="30"/>
      <c r="D6" s="22"/>
      <c r="E6" s="43">
        <f t="shared" ref="E6:E34" si="2">E5+D6-B6-C6</f>
        <v>299.63699999999989</v>
      </c>
      <c r="F6" s="51">
        <f t="shared" ref="F6:F35" si="3">C6</f>
        <v>0</v>
      </c>
      <c r="G6" s="9"/>
      <c r="H6" s="10"/>
      <c r="I6" s="161">
        <f t="shared" ref="I6:I34" si="4">I5+F6-G6-H6</f>
        <v>3.4400000000000031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1.5099999999999985</v>
      </c>
      <c r="P6" s="48"/>
      <c r="Q6" s="47">
        <f t="shared" si="1"/>
        <v>304.58699999999988</v>
      </c>
      <c r="R6" s="165">
        <f t="shared" ref="R6:R35" si="6">B6+G6+H6+J6</f>
        <v>0</v>
      </c>
      <c r="S6" s="159">
        <v>144.25</v>
      </c>
      <c r="T6" s="58">
        <v>717234.60000000009</v>
      </c>
      <c r="U6" s="58">
        <v>1618653.3499999999</v>
      </c>
      <c r="V6" s="58">
        <v>0</v>
      </c>
      <c r="W6" s="87">
        <v>0</v>
      </c>
      <c r="X6" s="58">
        <v>0</v>
      </c>
      <c r="Y6" s="58">
        <v>0</v>
      </c>
      <c r="Z6" s="87">
        <v>1099693.8959999997</v>
      </c>
      <c r="AA6" s="58">
        <v>0</v>
      </c>
      <c r="AB6" s="58">
        <v>0</v>
      </c>
      <c r="AC6" s="58">
        <v>1800000</v>
      </c>
      <c r="AD6" s="87">
        <v>891000</v>
      </c>
      <c r="AE6" s="58"/>
      <c r="AF6" s="58"/>
      <c r="AG6" s="314"/>
      <c r="AH6" s="128"/>
      <c r="AI6" s="120"/>
      <c r="AJ6" s="349"/>
      <c r="AK6" s="21"/>
      <c r="AL6" s="21"/>
      <c r="AM6" s="21"/>
    </row>
    <row r="7" spans="1:40" ht="13.2" customHeight="1" thickBot="1" x14ac:dyDescent="0.35">
      <c r="A7" s="3">
        <v>45354</v>
      </c>
      <c r="B7" s="28"/>
      <c r="C7" s="30"/>
      <c r="D7" s="22"/>
      <c r="E7" s="43">
        <f t="shared" si="2"/>
        <v>299.63699999999989</v>
      </c>
      <c r="F7" s="51">
        <f t="shared" si="3"/>
        <v>0</v>
      </c>
      <c r="G7" s="9"/>
      <c r="H7" s="10"/>
      <c r="I7" s="161">
        <f t="shared" si="4"/>
        <v>3.4400000000000031</v>
      </c>
      <c r="J7" s="8"/>
      <c r="K7" s="11"/>
      <c r="L7" s="12"/>
      <c r="M7" s="51">
        <f t="shared" si="0"/>
        <v>0</v>
      </c>
      <c r="N7" s="24"/>
      <c r="O7" s="47">
        <f t="shared" si="5"/>
        <v>1.5099999999999985</v>
      </c>
      <c r="P7" s="48"/>
      <c r="Q7" s="47">
        <f t="shared" si="1"/>
        <v>304.58699999999988</v>
      </c>
      <c r="R7" s="165">
        <f t="shared" si="6"/>
        <v>0</v>
      </c>
      <c r="S7" s="159">
        <v>144.25</v>
      </c>
      <c r="T7" s="58">
        <v>717234.60000000009</v>
      </c>
      <c r="U7" s="58">
        <f>1618653.35-AI7*M46</f>
        <v>799781.7350000001</v>
      </c>
      <c r="V7" s="58">
        <v>0</v>
      </c>
      <c r="W7" s="87">
        <v>0</v>
      </c>
      <c r="X7" s="58">
        <v>0</v>
      </c>
      <c r="Y7" s="58">
        <v>0</v>
      </c>
      <c r="Z7" s="87">
        <v>1099693.8959999997</v>
      </c>
      <c r="AA7" s="58">
        <v>0</v>
      </c>
      <c r="AB7" s="58">
        <v>0</v>
      </c>
      <c r="AC7" s="58">
        <v>1800000</v>
      </c>
      <c r="AD7" s="87">
        <v>891000</v>
      </c>
      <c r="AE7" s="58"/>
      <c r="AF7" s="58"/>
      <c r="AG7" s="58"/>
      <c r="AH7" s="128" t="s">
        <v>48</v>
      </c>
      <c r="AI7" s="387">
        <v>33.039000000000001</v>
      </c>
      <c r="AJ7" s="99" t="s">
        <v>612</v>
      </c>
      <c r="AK7" s="23">
        <v>50863125</v>
      </c>
      <c r="AL7" s="120"/>
      <c r="AM7" s="21"/>
    </row>
    <row r="8" spans="1:40" ht="12.75" customHeight="1" thickBot="1" x14ac:dyDescent="0.35">
      <c r="A8" s="7">
        <v>45355</v>
      </c>
      <c r="B8" s="28">
        <v>19.28</v>
      </c>
      <c r="C8" s="30">
        <v>1.2989999999999999</v>
      </c>
      <c r="D8" s="186">
        <f>21.56+20.3</f>
        <v>41.86</v>
      </c>
      <c r="E8" s="43">
        <f t="shared" si="2"/>
        <v>320.91799999999989</v>
      </c>
      <c r="F8" s="51">
        <f t="shared" si="3"/>
        <v>1.2989999999999999</v>
      </c>
      <c r="G8" s="9">
        <f>1.879-H8</f>
        <v>1.4100000000000001</v>
      </c>
      <c r="H8" s="10">
        <v>0.46899999999999997</v>
      </c>
      <c r="I8" s="161">
        <f t="shared" si="4"/>
        <v>2.8600000000000025</v>
      </c>
      <c r="J8" s="8"/>
      <c r="K8" s="11"/>
      <c r="L8" s="12"/>
      <c r="M8" s="51">
        <f t="shared" si="0"/>
        <v>0.46899999999999997</v>
      </c>
      <c r="N8" s="24">
        <v>0.38900000000000001</v>
      </c>
      <c r="O8" s="47">
        <f t="shared" si="5"/>
        <v>1.5899999999999983</v>
      </c>
      <c r="P8" s="48"/>
      <c r="Q8" s="47">
        <f t="shared" si="1"/>
        <v>325.36799999999988</v>
      </c>
      <c r="R8" s="165">
        <f t="shared" si="6"/>
        <v>21.159000000000002</v>
      </c>
      <c r="S8" s="159">
        <f>144.25+AI7</f>
        <v>177.28899999999999</v>
      </c>
      <c r="T8" s="58">
        <f>717234.6+178000</f>
        <v>895234.6</v>
      </c>
      <c r="U8" s="407">
        <f>U7+1618000</f>
        <v>2417781.7350000003</v>
      </c>
      <c r="V8" s="295">
        <v>0</v>
      </c>
      <c r="W8" s="543">
        <f>-D8*M50</f>
        <v>-941850</v>
      </c>
      <c r="X8" s="295">
        <v>0</v>
      </c>
      <c r="Y8" s="295">
        <v>0</v>
      </c>
      <c r="Z8" s="87">
        <f>1099693.9+754000</f>
        <v>1853693.9</v>
      </c>
      <c r="AA8" s="58"/>
      <c r="AB8" s="58">
        <v>0</v>
      </c>
      <c r="AC8" s="59" t="e">
        <f>1800000-#REF!*#REF!</f>
        <v>#REF!</v>
      </c>
      <c r="AD8" s="314" t="e">
        <f>891000-AI8*#REF!</f>
        <v>#REF!</v>
      </c>
      <c r="AE8" s="58"/>
      <c r="AF8" s="58"/>
      <c r="AG8" s="58"/>
      <c r="AH8" s="123" t="s">
        <v>49</v>
      </c>
      <c r="AI8" s="476">
        <v>37.906999999999996</v>
      </c>
      <c r="AJ8" s="99" t="s">
        <v>613</v>
      </c>
      <c r="AK8" s="23">
        <v>76622109</v>
      </c>
      <c r="AL8" s="239"/>
      <c r="AM8" s="21"/>
    </row>
    <row r="9" spans="1:40" ht="13.2" customHeight="1" thickBot="1" x14ac:dyDescent="0.35">
      <c r="A9" s="7">
        <v>45356</v>
      </c>
      <c r="B9" s="28">
        <v>11.98</v>
      </c>
      <c r="C9" s="30">
        <v>1.85</v>
      </c>
      <c r="D9" s="186">
        <v>19.739999999999998</v>
      </c>
      <c r="E9" s="43">
        <f t="shared" si="2"/>
        <v>326.82799999999986</v>
      </c>
      <c r="F9" s="51">
        <f t="shared" si="3"/>
        <v>1.85</v>
      </c>
      <c r="G9" s="9">
        <f>0.36</f>
        <v>0.36</v>
      </c>
      <c r="H9" s="10"/>
      <c r="I9" s="161">
        <f t="shared" si="4"/>
        <v>4.3500000000000023</v>
      </c>
      <c r="J9" s="8"/>
      <c r="K9" s="11"/>
      <c r="L9" s="12"/>
      <c r="M9" s="51">
        <f t="shared" si="0"/>
        <v>0</v>
      </c>
      <c r="N9" s="24">
        <v>0.26400000000000001</v>
      </c>
      <c r="O9" s="47">
        <f t="shared" si="5"/>
        <v>1.3259999999999983</v>
      </c>
      <c r="P9" s="48"/>
      <c r="Q9" s="47">
        <f t="shared" si="1"/>
        <v>332.50399999999991</v>
      </c>
      <c r="R9" s="165">
        <f t="shared" si="6"/>
        <v>12.34</v>
      </c>
      <c r="S9" s="159">
        <f>'02.2024'!AI29+'03.2024'!AI7+AI8+'02.2024'!AI33</f>
        <v>215.196</v>
      </c>
      <c r="T9" s="58">
        <v>895234.6</v>
      </c>
      <c r="U9" s="58">
        <f>U8</f>
        <v>2417781.7350000003</v>
      </c>
      <c r="V9" s="58">
        <v>0</v>
      </c>
      <c r="W9" s="543">
        <f>-D9*M50</f>
        <v>-444149.99999999994</v>
      </c>
      <c r="X9" s="58">
        <v>0</v>
      </c>
      <c r="Y9" s="58">
        <v>0</v>
      </c>
      <c r="Z9" s="107">
        <f>Z8-AI8*M45</f>
        <v>914168.90500000003</v>
      </c>
      <c r="AA9" s="87"/>
      <c r="AB9" s="80">
        <v>0</v>
      </c>
      <c r="AC9" s="58"/>
      <c r="AD9" s="87">
        <v>89545.5</v>
      </c>
      <c r="AE9" s="55"/>
      <c r="AF9" s="14"/>
      <c r="AG9" s="58"/>
      <c r="AH9" s="128" t="s">
        <v>48</v>
      </c>
      <c r="AI9" s="521">
        <v>35.94</v>
      </c>
      <c r="AJ9" s="99" t="s">
        <v>614</v>
      </c>
      <c r="AK9" s="21">
        <v>76645449</v>
      </c>
      <c r="AL9" s="99"/>
      <c r="AM9" s="21"/>
      <c r="AN9" s="21"/>
    </row>
    <row r="10" spans="1:40" s="1" customFormat="1" ht="13.2" customHeight="1" thickBot="1" x14ac:dyDescent="0.35">
      <c r="A10" s="7">
        <v>45357</v>
      </c>
      <c r="B10" s="28">
        <v>29.75</v>
      </c>
      <c r="C10" s="30">
        <v>0.91500000000000004</v>
      </c>
      <c r="D10" s="186">
        <f>'02.2024'!AI33+20.1</f>
        <v>127.30000000000001</v>
      </c>
      <c r="E10" s="43">
        <f t="shared" si="2"/>
        <v>423.46299999999985</v>
      </c>
      <c r="F10" s="51">
        <f t="shared" si="3"/>
        <v>0.91500000000000004</v>
      </c>
      <c r="G10" s="30">
        <f>1.815-H10</f>
        <v>1.23</v>
      </c>
      <c r="H10" s="10">
        <v>0.58499999999999996</v>
      </c>
      <c r="I10" s="161">
        <f t="shared" si="4"/>
        <v>3.450000000000002</v>
      </c>
      <c r="J10" s="8"/>
      <c r="K10" s="11"/>
      <c r="L10" s="12"/>
      <c r="M10" s="51">
        <f t="shared" si="0"/>
        <v>0.58499999999999996</v>
      </c>
      <c r="N10" s="24">
        <v>0.182</v>
      </c>
      <c r="O10" s="47">
        <f t="shared" si="5"/>
        <v>1.7289999999999983</v>
      </c>
      <c r="P10" s="48"/>
      <c r="Q10" s="47">
        <f t="shared" si="1"/>
        <v>428.64199999999983</v>
      </c>
      <c r="R10" s="165">
        <f t="shared" si="6"/>
        <v>31.565000000000001</v>
      </c>
      <c r="S10" s="159">
        <f>AI7+AI8+'02.2024'!AI29+AI9</f>
        <v>143.93599999999998</v>
      </c>
      <c r="T10" s="59">
        <f>895234.6-AI10*M47</f>
        <v>47963.79999999993</v>
      </c>
      <c r="U10" s="407">
        <f>U8-AI9*M46</f>
        <v>1527008.8350000004</v>
      </c>
      <c r="V10" s="58">
        <v>0</v>
      </c>
      <c r="W10" s="87">
        <f>-20.1*M50</f>
        <v>-452250.00000000006</v>
      </c>
      <c r="X10" s="58">
        <v>0</v>
      </c>
      <c r="Y10" s="58">
        <v>0</v>
      </c>
      <c r="Z10" s="87">
        <v>914168.90500000003</v>
      </c>
      <c r="AA10" s="87"/>
      <c r="AB10" s="80">
        <v>0</v>
      </c>
      <c r="AC10" s="58"/>
      <c r="AD10" s="87">
        <v>89545.5</v>
      </c>
      <c r="AE10" s="55"/>
      <c r="AF10" s="14"/>
      <c r="AG10" s="58"/>
      <c r="AH10" s="127" t="s">
        <v>43</v>
      </c>
      <c r="AI10" s="126">
        <v>34.200000000000003</v>
      </c>
      <c r="AJ10" s="99" t="s">
        <v>616</v>
      </c>
      <c r="AK10" s="546">
        <v>57805467</v>
      </c>
      <c r="AL10" s="239"/>
      <c r="AM10" s="27"/>
      <c r="AN10" s="27"/>
    </row>
    <row r="11" spans="1:40" ht="13.2" customHeight="1" thickBot="1" x14ac:dyDescent="0.35">
      <c r="A11" s="7">
        <v>45358</v>
      </c>
      <c r="B11" s="28">
        <v>21.38</v>
      </c>
      <c r="C11" s="30">
        <v>0.94</v>
      </c>
      <c r="D11" s="186">
        <f>21.76+21.56</f>
        <v>43.32</v>
      </c>
      <c r="E11" s="43">
        <f>E10+D11-B11-C11</f>
        <v>444.46299999999985</v>
      </c>
      <c r="F11" s="51">
        <f t="shared" si="3"/>
        <v>0.94</v>
      </c>
      <c r="G11" s="9">
        <v>0.37</v>
      </c>
      <c r="H11" s="10"/>
      <c r="I11" s="161">
        <f>I10+F11-G11-H11</f>
        <v>4.0200000000000022</v>
      </c>
      <c r="J11" s="8"/>
      <c r="K11" s="11"/>
      <c r="L11" s="12"/>
      <c r="M11" s="51">
        <f t="shared" si="0"/>
        <v>0</v>
      </c>
      <c r="N11" s="24">
        <v>0.217</v>
      </c>
      <c r="O11" s="47">
        <f t="shared" si="5"/>
        <v>1.5119999999999982</v>
      </c>
      <c r="P11" s="48"/>
      <c r="Q11" s="47">
        <f t="shared" si="1"/>
        <v>449.99499999999983</v>
      </c>
      <c r="R11" s="165">
        <f>B11+G11+H11+J11</f>
        <v>21.75</v>
      </c>
      <c r="S11" s="159">
        <f>S10+AI10</f>
        <v>178.13599999999997</v>
      </c>
      <c r="T11" s="58">
        <f>T10</f>
        <v>47963.79999999993</v>
      </c>
      <c r="U11" s="58">
        <v>1527008.8350000004</v>
      </c>
      <c r="V11" s="58">
        <v>0</v>
      </c>
      <c r="W11" s="58">
        <f>-D11*M50</f>
        <v>-974700</v>
      </c>
      <c r="X11" s="58">
        <v>0</v>
      </c>
      <c r="Y11" s="58">
        <v>0</v>
      </c>
      <c r="Z11" s="87">
        <v>914168.90500000003</v>
      </c>
      <c r="AA11" s="87"/>
      <c r="AB11" s="80">
        <v>0</v>
      </c>
      <c r="AC11" s="58"/>
      <c r="AD11" s="87">
        <v>89545.5</v>
      </c>
      <c r="AE11" s="55"/>
      <c r="AF11" s="14"/>
      <c r="AG11" s="58"/>
      <c r="AH11" s="128"/>
      <c r="AI11" s="120"/>
      <c r="AJ11" s="99"/>
      <c r="AK11" s="91"/>
      <c r="AL11" s="21"/>
      <c r="AM11" s="21"/>
      <c r="AN11" s="21"/>
    </row>
    <row r="12" spans="1:40" ht="13.2" customHeight="1" thickBot="1" x14ac:dyDescent="0.35">
      <c r="A12" s="3">
        <v>45359</v>
      </c>
      <c r="B12" s="28"/>
      <c r="C12" s="30"/>
      <c r="D12" s="186"/>
      <c r="E12" s="43">
        <f>E11+D12-B12-C12</f>
        <v>444.46299999999985</v>
      </c>
      <c r="F12" s="51">
        <f t="shared" si="3"/>
        <v>0</v>
      </c>
      <c r="G12" s="30"/>
      <c r="H12" s="24"/>
      <c r="I12" s="161">
        <f t="shared" si="4"/>
        <v>4.0200000000000022</v>
      </c>
      <c r="J12" s="8"/>
      <c r="K12" s="11"/>
      <c r="L12" s="12"/>
      <c r="M12" s="51">
        <f t="shared" si="0"/>
        <v>0</v>
      </c>
      <c r="N12" s="24"/>
      <c r="O12" s="47">
        <f t="shared" si="5"/>
        <v>1.5119999999999982</v>
      </c>
      <c r="P12" s="48"/>
      <c r="Q12" s="47">
        <f t="shared" si="1"/>
        <v>449.99499999999983</v>
      </c>
      <c r="R12" s="165">
        <f>B12+G12+H12+J12</f>
        <v>0</v>
      </c>
      <c r="S12" s="159">
        <v>178.13599999999997</v>
      </c>
      <c r="T12" s="58">
        <v>47963.79999999993</v>
      </c>
      <c r="U12" s="58">
        <v>1527008.8350000004</v>
      </c>
      <c r="V12" s="58">
        <v>0</v>
      </c>
      <c r="W12" s="87">
        <v>-974700</v>
      </c>
      <c r="X12" s="58">
        <v>0</v>
      </c>
      <c r="Y12" s="58">
        <v>0</v>
      </c>
      <c r="Z12" s="87">
        <v>914168.90500000003</v>
      </c>
      <c r="AA12" s="86"/>
      <c r="AB12" s="80">
        <v>0</v>
      </c>
      <c r="AC12" s="58"/>
      <c r="AD12" s="87">
        <v>89545.5</v>
      </c>
      <c r="AE12" s="55"/>
      <c r="AF12" s="14"/>
      <c r="AG12" s="58"/>
      <c r="AH12" s="128"/>
      <c r="AI12" s="120"/>
      <c r="AJ12" s="103"/>
      <c r="AK12" s="91"/>
      <c r="AL12" s="21"/>
      <c r="AM12" s="21"/>
      <c r="AN12" s="21"/>
    </row>
    <row r="13" spans="1:40" ht="13.2" customHeight="1" thickBot="1" x14ac:dyDescent="0.35">
      <c r="A13" s="3">
        <v>45360</v>
      </c>
      <c r="B13" s="28"/>
      <c r="C13" s="30"/>
      <c r="D13" s="186"/>
      <c r="E13" s="43">
        <f t="shared" si="2"/>
        <v>444.46299999999985</v>
      </c>
      <c r="F13" s="51">
        <f t="shared" si="3"/>
        <v>0</v>
      </c>
      <c r="G13" s="9"/>
      <c r="H13" s="10"/>
      <c r="I13" s="161">
        <f t="shared" si="4"/>
        <v>4.0200000000000022</v>
      </c>
      <c r="J13" s="8"/>
      <c r="K13" s="26"/>
      <c r="L13" s="12"/>
      <c r="M13" s="51">
        <f t="shared" si="0"/>
        <v>0</v>
      </c>
      <c r="N13" s="24"/>
      <c r="O13" s="47">
        <f t="shared" si="5"/>
        <v>1.5119999999999982</v>
      </c>
      <c r="P13" s="48"/>
      <c r="Q13" s="47">
        <f t="shared" si="1"/>
        <v>449.99499999999983</v>
      </c>
      <c r="R13" s="165">
        <f t="shared" si="6"/>
        <v>0</v>
      </c>
      <c r="S13" s="159">
        <v>178.13599999999997</v>
      </c>
      <c r="T13" s="58">
        <v>47963.79999999993</v>
      </c>
      <c r="U13" s="58">
        <v>1527008.8350000004</v>
      </c>
      <c r="V13" s="58">
        <v>0</v>
      </c>
      <c r="W13" s="87">
        <v>-974700</v>
      </c>
      <c r="X13" s="58">
        <v>0</v>
      </c>
      <c r="Y13" s="58">
        <v>0</v>
      </c>
      <c r="Z13" s="87">
        <v>914168.90500000003</v>
      </c>
      <c r="AA13" s="86"/>
      <c r="AB13" s="80"/>
      <c r="AC13" s="58"/>
      <c r="AD13" s="87">
        <v>89545.5</v>
      </c>
      <c r="AE13" s="55" t="e">
        <f>D12*#REF!</f>
        <v>#REF!</v>
      </c>
      <c r="AF13" s="14"/>
      <c r="AG13" s="58"/>
      <c r="AH13" s="127"/>
      <c r="AI13" s="126"/>
      <c r="AJ13" s="103"/>
      <c r="AK13" s="91"/>
      <c r="AL13" s="135"/>
      <c r="AM13" s="21"/>
      <c r="AN13" s="21"/>
    </row>
    <row r="14" spans="1:40" ht="13.2" customHeight="1" thickBot="1" x14ac:dyDescent="0.35">
      <c r="A14" s="3">
        <v>45361</v>
      </c>
      <c r="B14" s="28">
        <v>16.850000000000001</v>
      </c>
      <c r="C14" s="30"/>
      <c r="D14" s="186"/>
      <c r="E14" s="43">
        <f t="shared" si="2"/>
        <v>427.61299999999983</v>
      </c>
      <c r="F14" s="51">
        <f t="shared" si="3"/>
        <v>0</v>
      </c>
      <c r="G14" s="30"/>
      <c r="H14" s="24"/>
      <c r="I14" s="161">
        <f t="shared" si="4"/>
        <v>4.0200000000000022</v>
      </c>
      <c r="J14" s="8"/>
      <c r="K14" s="11"/>
      <c r="L14" s="12"/>
      <c r="M14" s="51">
        <f t="shared" si="0"/>
        <v>0</v>
      </c>
      <c r="N14" s="24"/>
      <c r="O14" s="47">
        <f t="shared" si="5"/>
        <v>1.5119999999999982</v>
      </c>
      <c r="P14" s="48"/>
      <c r="Q14" s="47">
        <f t="shared" si="1"/>
        <v>433.14499999999981</v>
      </c>
      <c r="R14" s="165">
        <f t="shared" si="6"/>
        <v>16.850000000000001</v>
      </c>
      <c r="S14" s="159">
        <v>178.13599999999997</v>
      </c>
      <c r="T14" s="58">
        <v>47963.79999999993</v>
      </c>
      <c r="U14" s="58">
        <v>1527008.8350000004</v>
      </c>
      <c r="V14" s="58">
        <v>0</v>
      </c>
      <c r="W14" s="87">
        <v>-974700</v>
      </c>
      <c r="X14" s="58">
        <v>0</v>
      </c>
      <c r="Y14" s="58">
        <v>0</v>
      </c>
      <c r="Z14" s="87">
        <v>914168.90500000003</v>
      </c>
      <c r="AA14" s="86"/>
      <c r="AB14" s="80"/>
      <c r="AC14" s="58"/>
      <c r="AD14" s="87">
        <v>89545.5</v>
      </c>
      <c r="AE14" s="55" t="e">
        <f>481844-19.55*#REF!</f>
        <v>#REF!</v>
      </c>
      <c r="AF14" s="14"/>
      <c r="AG14" s="58"/>
      <c r="AH14" s="123" t="s">
        <v>49</v>
      </c>
      <c r="AI14" s="122">
        <v>39.018999999999998</v>
      </c>
      <c r="AJ14" s="99" t="s">
        <v>617</v>
      </c>
      <c r="AK14" s="457">
        <v>76655133</v>
      </c>
      <c r="AL14" s="239"/>
      <c r="AM14" s="21"/>
      <c r="AN14" s="21"/>
    </row>
    <row r="15" spans="1:40" ht="13.2" customHeight="1" thickBot="1" x14ac:dyDescent="0.35">
      <c r="A15" s="7">
        <v>45362</v>
      </c>
      <c r="B15" s="28">
        <v>18.059999999999999</v>
      </c>
      <c r="C15" s="30">
        <v>2.78</v>
      </c>
      <c r="D15" s="186">
        <f>'02.2024'!AI29+'03.2024'!AI7+'03.2024'!AI8</f>
        <v>107.996</v>
      </c>
      <c r="E15" s="43">
        <f t="shared" si="2"/>
        <v>514.76899999999989</v>
      </c>
      <c r="F15" s="51">
        <f t="shared" si="3"/>
        <v>2.78</v>
      </c>
      <c r="G15" s="9">
        <f>3.3-H15</f>
        <v>2.79</v>
      </c>
      <c r="H15" s="10">
        <v>0.51</v>
      </c>
      <c r="I15" s="161">
        <f t="shared" si="4"/>
        <v>3.5000000000000027</v>
      </c>
      <c r="J15" s="8"/>
      <c r="K15" s="11"/>
      <c r="L15" s="12"/>
      <c r="M15" s="51">
        <f>H15</f>
        <v>0.51</v>
      </c>
      <c r="N15" s="24">
        <v>0.2</v>
      </c>
      <c r="O15" s="47">
        <f t="shared" si="5"/>
        <v>1.8219999999999985</v>
      </c>
      <c r="P15" s="48"/>
      <c r="Q15" s="47">
        <f t="shared" si="1"/>
        <v>520.09099999999989</v>
      </c>
      <c r="R15" s="165">
        <f t="shared" si="6"/>
        <v>21.36</v>
      </c>
      <c r="S15" s="159">
        <f>AI9+AI10+AI14+AI15</f>
        <v>141.73599999999999</v>
      </c>
      <c r="T15" s="58">
        <f>47963.8+820000</f>
        <v>867963.8</v>
      </c>
      <c r="U15" s="407">
        <f>U10-AI15*M46+883000</f>
        <v>1602587.8900000006</v>
      </c>
      <c r="V15" s="58">
        <v>0</v>
      </c>
      <c r="W15" s="87">
        <f>-974700+1104660</f>
        <v>129960</v>
      </c>
      <c r="X15" s="58"/>
      <c r="Y15" s="58"/>
      <c r="Z15" s="107">
        <f>Z9-AI14*M45+842000</f>
        <v>789082.99000000011</v>
      </c>
      <c r="AA15" s="86"/>
      <c r="AB15" s="80"/>
      <c r="AC15" s="58"/>
      <c r="AD15" s="87">
        <v>89545.5</v>
      </c>
      <c r="AE15" s="271"/>
      <c r="AF15" s="14"/>
      <c r="AG15" s="58"/>
      <c r="AH15" s="128" t="s">
        <v>48</v>
      </c>
      <c r="AI15" s="120">
        <v>32.576999999999998</v>
      </c>
      <c r="AJ15" s="208" t="s">
        <v>619</v>
      </c>
      <c r="AK15" s="91">
        <v>58223967</v>
      </c>
      <c r="AL15" s="239"/>
      <c r="AM15" s="21"/>
      <c r="AN15" s="21"/>
    </row>
    <row r="16" spans="1:40" ht="13.2" customHeight="1" thickBot="1" x14ac:dyDescent="0.35">
      <c r="A16" s="7">
        <v>45363</v>
      </c>
      <c r="B16" s="28">
        <v>11.59</v>
      </c>
      <c r="C16" s="30">
        <v>0.91</v>
      </c>
      <c r="D16" s="186"/>
      <c r="E16" s="43">
        <f t="shared" si="2"/>
        <v>502.26899999999989</v>
      </c>
      <c r="F16" s="51">
        <f t="shared" si="3"/>
        <v>0.91</v>
      </c>
      <c r="G16" s="9">
        <f>0.36</f>
        <v>0.36</v>
      </c>
      <c r="H16" s="10"/>
      <c r="I16" s="161">
        <f t="shared" si="4"/>
        <v>4.0500000000000025</v>
      </c>
      <c r="J16" s="8"/>
      <c r="K16" s="11"/>
      <c r="L16" s="12"/>
      <c r="M16" s="51">
        <f t="shared" si="0"/>
        <v>0</v>
      </c>
      <c r="N16" s="24">
        <v>0.14199999999999999</v>
      </c>
      <c r="O16" s="47">
        <f t="shared" si="5"/>
        <v>1.6799999999999986</v>
      </c>
      <c r="P16" s="48"/>
      <c r="Q16" s="47">
        <f t="shared" si="1"/>
        <v>507.99899999999991</v>
      </c>
      <c r="R16" s="165">
        <f t="shared" si="6"/>
        <v>11.95</v>
      </c>
      <c r="S16" s="159">
        <v>141.73599999999999</v>
      </c>
      <c r="T16" s="58">
        <v>867963.8</v>
      </c>
      <c r="U16" s="58">
        <v>1602587.8900000006</v>
      </c>
      <c r="V16" s="58">
        <v>0</v>
      </c>
      <c r="W16" s="87">
        <v>129960</v>
      </c>
      <c r="X16" s="58"/>
      <c r="Y16" s="58"/>
      <c r="Z16" s="87">
        <v>789082.99000000011</v>
      </c>
      <c r="AA16" s="86"/>
      <c r="AB16" s="80"/>
      <c r="AC16" s="58"/>
      <c r="AD16" s="87">
        <v>89545.5</v>
      </c>
      <c r="AE16" s="55"/>
      <c r="AF16" s="14"/>
      <c r="AG16" s="58"/>
      <c r="AH16" s="128"/>
      <c r="AI16" s="120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7">
        <v>45364</v>
      </c>
      <c r="B17" s="28">
        <f>17.71-0.41</f>
        <v>17.3</v>
      </c>
      <c r="C17" s="30">
        <v>1.2629999999999999</v>
      </c>
      <c r="D17" s="186">
        <f>AI9</f>
        <v>35.94</v>
      </c>
      <c r="E17" s="43">
        <f t="shared" si="2"/>
        <v>519.64599999999984</v>
      </c>
      <c r="F17" s="51">
        <f t="shared" si="3"/>
        <v>1.2629999999999999</v>
      </c>
      <c r="G17" s="9">
        <f>0.573-H17</f>
        <v>0.17999999999999994</v>
      </c>
      <c r="H17" s="10">
        <v>0.39300000000000002</v>
      </c>
      <c r="I17" s="161">
        <f t="shared" si="4"/>
        <v>4.7400000000000029</v>
      </c>
      <c r="J17" s="4"/>
      <c r="K17" s="5"/>
      <c r="L17" s="6"/>
      <c r="M17" s="51">
        <f t="shared" si="0"/>
        <v>0.39300000000000002</v>
      </c>
      <c r="N17" s="24">
        <v>0.26</v>
      </c>
      <c r="O17" s="47">
        <f t="shared" si="5"/>
        <v>1.8129999999999986</v>
      </c>
      <c r="P17" s="49"/>
      <c r="Q17" s="47">
        <f t="shared" si="1"/>
        <v>526.19899999999984</v>
      </c>
      <c r="R17" s="165">
        <f t="shared" si="6"/>
        <v>17.873000000000001</v>
      </c>
      <c r="S17" s="160">
        <f>AI10+AI14+AI15+AI17</f>
        <v>139.49599999999998</v>
      </c>
      <c r="T17" s="59">
        <f>867963.8-AI17*M48</f>
        <v>87067.400000000023</v>
      </c>
      <c r="U17" s="58">
        <v>1602587.8900000006</v>
      </c>
      <c r="V17" s="58">
        <v>0</v>
      </c>
      <c r="W17" s="87">
        <v>129960</v>
      </c>
      <c r="X17" s="58"/>
      <c r="Y17" s="58"/>
      <c r="Z17" s="87">
        <v>789082.99000000011</v>
      </c>
      <c r="AA17" s="86"/>
      <c r="AB17" s="80"/>
      <c r="AC17" s="58"/>
      <c r="AD17" s="87">
        <v>0</v>
      </c>
      <c r="AE17" s="55"/>
      <c r="AF17" s="14"/>
      <c r="AG17" s="58"/>
      <c r="AH17" s="127" t="s">
        <v>43</v>
      </c>
      <c r="AI17" s="126">
        <v>33.700000000000003</v>
      </c>
      <c r="AJ17" s="103" t="s">
        <v>621</v>
      </c>
      <c r="AK17" s="91">
        <v>58176785</v>
      </c>
      <c r="AL17" s="130"/>
      <c r="AM17" s="99"/>
      <c r="AN17" s="27"/>
    </row>
    <row r="18" spans="1:40" ht="13.2" customHeight="1" thickBot="1" x14ac:dyDescent="0.35">
      <c r="A18" s="7">
        <v>45365</v>
      </c>
      <c r="B18" s="28">
        <v>9.91</v>
      </c>
      <c r="C18" s="30">
        <v>1.63</v>
      </c>
      <c r="D18" s="186"/>
      <c r="E18" s="43">
        <f t="shared" si="2"/>
        <v>508.10599999999982</v>
      </c>
      <c r="F18" s="51">
        <f t="shared" si="3"/>
        <v>1.63</v>
      </c>
      <c r="G18" s="9">
        <v>2.52</v>
      </c>
      <c r="H18" s="10"/>
      <c r="I18" s="161">
        <f t="shared" si="4"/>
        <v>3.8500000000000028</v>
      </c>
      <c r="J18" s="8"/>
      <c r="K18" s="11"/>
      <c r="L18" s="12"/>
      <c r="M18" s="51">
        <f t="shared" si="0"/>
        <v>0</v>
      </c>
      <c r="N18" s="24">
        <v>0.28799999999999998</v>
      </c>
      <c r="O18" s="47">
        <f t="shared" si="5"/>
        <v>1.5249999999999986</v>
      </c>
      <c r="P18" s="48"/>
      <c r="Q18" s="47">
        <f t="shared" si="1"/>
        <v>513.48099999999988</v>
      </c>
      <c r="R18" s="165">
        <f t="shared" si="6"/>
        <v>12.43</v>
      </c>
      <c r="S18" s="160">
        <v>139.49599999999998</v>
      </c>
      <c r="T18" s="58">
        <f>T17</f>
        <v>87067.400000000023</v>
      </c>
      <c r="U18" s="58">
        <v>1602587.8900000006</v>
      </c>
      <c r="V18" s="58">
        <v>0</v>
      </c>
      <c r="W18" s="87">
        <v>0</v>
      </c>
      <c r="X18" s="58"/>
      <c r="Y18" s="58"/>
      <c r="Z18" s="87">
        <v>789082.99000000011</v>
      </c>
      <c r="AA18" s="86"/>
      <c r="AB18" s="80"/>
      <c r="AC18" s="58"/>
      <c r="AD18" s="87">
        <v>0</v>
      </c>
      <c r="AE18" s="55"/>
      <c r="AF18" s="14"/>
      <c r="AG18" s="58"/>
      <c r="AH18" s="384"/>
      <c r="AI18" s="122"/>
      <c r="AJ18" s="103"/>
      <c r="AK18" s="91"/>
      <c r="AL18" s="239"/>
      <c r="AM18" s="21"/>
      <c r="AN18" s="21"/>
    </row>
    <row r="19" spans="1:40" ht="13.2" customHeight="1" thickBot="1" x14ac:dyDescent="0.35">
      <c r="A19" s="7">
        <v>45366</v>
      </c>
      <c r="B19" s="28">
        <v>41.78</v>
      </c>
      <c r="C19" s="30">
        <v>1.78</v>
      </c>
      <c r="D19" s="186"/>
      <c r="E19" s="43">
        <f t="shared" si="2"/>
        <v>464.54599999999982</v>
      </c>
      <c r="F19" s="51">
        <f t="shared" si="3"/>
        <v>1.78</v>
      </c>
      <c r="G19" s="9">
        <f>1.38-H19</f>
        <v>0.77999999999999992</v>
      </c>
      <c r="H19" s="10">
        <v>0.6</v>
      </c>
      <c r="I19" s="161">
        <f t="shared" si="4"/>
        <v>4.2500000000000027</v>
      </c>
      <c r="J19" s="8"/>
      <c r="K19" s="11"/>
      <c r="L19" s="12"/>
      <c r="M19" s="51">
        <f t="shared" si="0"/>
        <v>0.6</v>
      </c>
      <c r="N19" s="24">
        <v>0.26700000000000002</v>
      </c>
      <c r="O19" s="47">
        <f t="shared" si="5"/>
        <v>1.8579999999999988</v>
      </c>
      <c r="P19" s="48"/>
      <c r="Q19" s="47">
        <f t="shared" si="1"/>
        <v>470.65399999999983</v>
      </c>
      <c r="R19" s="165">
        <f t="shared" si="6"/>
        <v>43.160000000000004</v>
      </c>
      <c r="S19" s="160">
        <f>AI10+AI14+AI15+AI17+AI19</f>
        <v>171.04399999999998</v>
      </c>
      <c r="T19" s="58">
        <f>87067.4+724000</f>
        <v>811067.4</v>
      </c>
      <c r="U19" s="407">
        <f>1602587.89-AI19*M46</f>
        <v>820670.71</v>
      </c>
      <c r="V19" s="80">
        <v>0</v>
      </c>
      <c r="W19" s="87">
        <v>0</v>
      </c>
      <c r="X19" s="79"/>
      <c r="Y19" s="59"/>
      <c r="Z19" s="87">
        <v>789082.99000000011</v>
      </c>
      <c r="AA19" s="86"/>
      <c r="AB19" s="80"/>
      <c r="AC19" s="58">
        <v>965649.99999999988</v>
      </c>
      <c r="AD19" s="87">
        <v>0</v>
      </c>
      <c r="AE19" s="55"/>
      <c r="AF19" s="14"/>
      <c r="AG19" s="58">
        <v>57820.000000000116</v>
      </c>
      <c r="AH19" s="128" t="s">
        <v>48</v>
      </c>
      <c r="AI19" s="120">
        <v>31.547999999999998</v>
      </c>
      <c r="AJ19" s="519" t="s">
        <v>624</v>
      </c>
      <c r="AK19" s="91">
        <v>50819564</v>
      </c>
      <c r="AL19" s="239"/>
      <c r="AM19" s="21"/>
      <c r="AN19" s="21"/>
    </row>
    <row r="20" spans="1:40" ht="13.2" customHeight="1" thickBot="1" x14ac:dyDescent="0.35">
      <c r="A20" s="3">
        <v>45367</v>
      </c>
      <c r="B20" s="28">
        <v>17.89</v>
      </c>
      <c r="C20" s="30"/>
      <c r="D20" s="186">
        <f>AI10+AI14</f>
        <v>73.218999999999994</v>
      </c>
      <c r="E20" s="43">
        <f t="shared" si="2"/>
        <v>519.87499999999989</v>
      </c>
      <c r="F20" s="51">
        <f t="shared" si="3"/>
        <v>0</v>
      </c>
      <c r="G20" s="9"/>
      <c r="H20" s="10"/>
      <c r="I20" s="161">
        <f t="shared" si="4"/>
        <v>4.2500000000000027</v>
      </c>
      <c r="J20" s="8"/>
      <c r="K20" s="11"/>
      <c r="L20" s="12"/>
      <c r="M20" s="51">
        <f t="shared" si="0"/>
        <v>0</v>
      </c>
      <c r="N20" s="24"/>
      <c r="O20" s="47">
        <f t="shared" si="5"/>
        <v>1.8579999999999988</v>
      </c>
      <c r="P20" s="48"/>
      <c r="Q20" s="47">
        <f t="shared" si="1"/>
        <v>525.98299999999983</v>
      </c>
      <c r="R20" s="165">
        <f t="shared" si="6"/>
        <v>17.89</v>
      </c>
      <c r="S20" s="160">
        <f>AI15+AI17+AI19</f>
        <v>97.825000000000003</v>
      </c>
      <c r="T20" s="58">
        <v>811067.4</v>
      </c>
      <c r="U20" s="86">
        <v>820670.71</v>
      </c>
      <c r="V20" s="80">
        <v>0</v>
      </c>
      <c r="W20" s="87">
        <v>0</v>
      </c>
      <c r="X20" s="79"/>
      <c r="Y20" s="59"/>
      <c r="Z20" s="87">
        <v>789082.99000000011</v>
      </c>
      <c r="AA20" s="86"/>
      <c r="AB20" s="80"/>
      <c r="AC20" s="58">
        <v>965649.99999999988</v>
      </c>
      <c r="AD20" s="87">
        <v>0</v>
      </c>
      <c r="AE20" s="55"/>
      <c r="AF20" s="14"/>
      <c r="AG20" s="58">
        <v>57820.000000000116</v>
      </c>
      <c r="AH20" s="137"/>
      <c r="AI20" s="122"/>
      <c r="AJ20" s="519"/>
      <c r="AK20" s="91"/>
      <c r="AL20" s="239"/>
      <c r="AM20" s="21"/>
      <c r="AN20" s="21"/>
    </row>
    <row r="21" spans="1:40" ht="13.2" customHeight="1" thickBot="1" x14ac:dyDescent="0.35">
      <c r="A21" s="3">
        <v>45368</v>
      </c>
      <c r="B21" s="28"/>
      <c r="C21" s="28"/>
      <c r="D21" s="186"/>
      <c r="E21" s="43">
        <f t="shared" si="2"/>
        <v>519.87499999999989</v>
      </c>
      <c r="F21" s="51">
        <f t="shared" si="3"/>
        <v>0</v>
      </c>
      <c r="G21" s="9"/>
      <c r="H21" s="10"/>
      <c r="I21" s="161">
        <f t="shared" si="4"/>
        <v>4.2500000000000027</v>
      </c>
      <c r="J21" s="8"/>
      <c r="K21" s="11"/>
      <c r="L21" s="12"/>
      <c r="M21" s="51">
        <f t="shared" si="0"/>
        <v>0</v>
      </c>
      <c r="N21" s="24"/>
      <c r="O21" s="47">
        <f t="shared" si="5"/>
        <v>1.8579999999999988</v>
      </c>
      <c r="P21" s="48"/>
      <c r="Q21" s="47">
        <f t="shared" si="1"/>
        <v>525.98299999999983</v>
      </c>
      <c r="R21" s="165">
        <f t="shared" si="6"/>
        <v>0</v>
      </c>
      <c r="S21" s="160">
        <v>97.825000000000003</v>
      </c>
      <c r="T21" s="58">
        <v>811067.4</v>
      </c>
      <c r="U21" s="86">
        <v>820670.71</v>
      </c>
      <c r="V21" s="80">
        <v>0</v>
      </c>
      <c r="W21" s="87">
        <v>0</v>
      </c>
      <c r="X21" s="79"/>
      <c r="Y21" s="59"/>
      <c r="Z21" s="87">
        <v>789082.99000000011</v>
      </c>
      <c r="AA21" s="86"/>
      <c r="AB21" s="80"/>
      <c r="AC21" s="58">
        <v>965649.99999999988</v>
      </c>
      <c r="AD21" s="87">
        <v>0</v>
      </c>
      <c r="AE21" s="55"/>
      <c r="AF21" s="14"/>
      <c r="AG21" s="58">
        <v>57820.000000000116</v>
      </c>
      <c r="AH21" s="127"/>
      <c r="AI21" s="122"/>
      <c r="AJ21" s="103"/>
      <c r="AK21" s="91"/>
      <c r="AL21" s="21"/>
      <c r="AM21" s="21"/>
      <c r="AN21" s="21"/>
    </row>
    <row r="22" spans="1:40" ht="13.2" customHeight="1" thickBot="1" x14ac:dyDescent="0.35">
      <c r="A22" s="7">
        <v>45369</v>
      </c>
      <c r="B22" s="28"/>
      <c r="C22" s="146"/>
      <c r="D22" s="186"/>
      <c r="E22" s="43">
        <f t="shared" si="2"/>
        <v>519.87499999999989</v>
      </c>
      <c r="F22" s="51">
        <f t="shared" si="3"/>
        <v>0</v>
      </c>
      <c r="G22" s="9"/>
      <c r="H22" s="10"/>
      <c r="I22" s="161">
        <f t="shared" si="4"/>
        <v>4.2500000000000027</v>
      </c>
      <c r="J22" s="8"/>
      <c r="K22" s="11"/>
      <c r="L22" s="12"/>
      <c r="M22" s="51">
        <f t="shared" si="0"/>
        <v>0</v>
      </c>
      <c r="N22" s="24"/>
      <c r="O22" s="47">
        <f t="shared" si="5"/>
        <v>1.8579999999999988</v>
      </c>
      <c r="P22" s="48"/>
      <c r="Q22" s="47">
        <f t="shared" si="1"/>
        <v>525.98299999999983</v>
      </c>
      <c r="R22" s="165">
        <f t="shared" si="6"/>
        <v>0</v>
      </c>
      <c r="S22" s="160">
        <v>97.825000000000003</v>
      </c>
      <c r="T22" s="58">
        <v>811067.4</v>
      </c>
      <c r="U22" s="86">
        <v>820670.71</v>
      </c>
      <c r="V22" s="80">
        <v>0</v>
      </c>
      <c r="W22" s="87">
        <v>0</v>
      </c>
      <c r="X22" s="79"/>
      <c r="Y22" s="59"/>
      <c r="Z22" s="87">
        <v>789082.99000000011</v>
      </c>
      <c r="AA22" s="287"/>
      <c r="AB22" s="428"/>
      <c r="AC22" s="59" t="e">
        <f>965650-AI19*#REF!</f>
        <v>#REF!</v>
      </c>
      <c r="AD22" s="427">
        <v>0</v>
      </c>
      <c r="AE22" s="55"/>
      <c r="AF22" s="14"/>
      <c r="AG22" s="58">
        <v>57820.000000000116</v>
      </c>
      <c r="AH22" s="128"/>
      <c r="AI22" s="122"/>
      <c r="AJ22" s="103"/>
      <c r="AK22" s="91"/>
      <c r="AL22" s="21"/>
      <c r="AM22" s="21"/>
      <c r="AN22" s="21"/>
    </row>
    <row r="23" spans="1:40" ht="13.2" customHeight="1" thickBot="1" x14ac:dyDescent="0.35">
      <c r="A23" s="7">
        <v>45370</v>
      </c>
      <c r="B23" s="28"/>
      <c r="C23" s="30"/>
      <c r="D23" s="186"/>
      <c r="E23" s="43">
        <f t="shared" si="2"/>
        <v>519.87499999999989</v>
      </c>
      <c r="F23" s="51">
        <f t="shared" si="3"/>
        <v>0</v>
      </c>
      <c r="G23" s="9"/>
      <c r="H23" s="10"/>
      <c r="I23" s="161">
        <f t="shared" si="4"/>
        <v>4.2500000000000027</v>
      </c>
      <c r="J23" s="8"/>
      <c r="K23" s="11"/>
      <c r="L23" s="12"/>
      <c r="M23" s="51">
        <f t="shared" si="0"/>
        <v>0</v>
      </c>
      <c r="N23" s="24"/>
      <c r="O23" s="47">
        <f t="shared" si="5"/>
        <v>1.8579999999999988</v>
      </c>
      <c r="P23" s="48"/>
      <c r="Q23" s="47">
        <f t="shared" si="1"/>
        <v>525.98299999999983</v>
      </c>
      <c r="R23" s="165">
        <f t="shared" si="6"/>
        <v>0</v>
      </c>
      <c r="S23" s="160"/>
      <c r="T23" s="58"/>
      <c r="U23" s="407"/>
      <c r="V23" s="80"/>
      <c r="W23" s="87"/>
      <c r="X23" s="79"/>
      <c r="Y23" s="59"/>
      <c r="Z23" s="87"/>
      <c r="AA23" s="86"/>
      <c r="AB23" s="80"/>
      <c r="AC23" s="58">
        <v>159100</v>
      </c>
      <c r="AD23" s="87"/>
      <c r="AE23" s="55"/>
      <c r="AF23" s="14"/>
      <c r="AG23" s="58">
        <v>57820.000000000116</v>
      </c>
      <c r="AH23" s="128"/>
      <c r="AI23" s="120"/>
      <c r="AJ23" s="229"/>
      <c r="AK23" s="531"/>
      <c r="AL23" s="523"/>
      <c r="AM23" s="21"/>
      <c r="AN23" s="21"/>
    </row>
    <row r="24" spans="1:40" ht="13.2" customHeight="1" thickBot="1" x14ac:dyDescent="0.35">
      <c r="A24" s="7">
        <v>45371</v>
      </c>
      <c r="B24" s="28"/>
      <c r="C24" s="30"/>
      <c r="D24" s="186"/>
      <c r="E24" s="43">
        <f t="shared" si="2"/>
        <v>519.87499999999989</v>
      </c>
      <c r="F24" s="51">
        <f t="shared" si="3"/>
        <v>0</v>
      </c>
      <c r="G24" s="9"/>
      <c r="H24" s="10"/>
      <c r="I24" s="161">
        <f t="shared" si="4"/>
        <v>4.2500000000000027</v>
      </c>
      <c r="J24" s="8"/>
      <c r="K24" s="11"/>
      <c r="L24" s="12"/>
      <c r="M24" s="51">
        <f t="shared" si="0"/>
        <v>0</v>
      </c>
      <c r="N24" s="24"/>
      <c r="O24" s="47">
        <f t="shared" si="5"/>
        <v>1.8579999999999988</v>
      </c>
      <c r="P24" s="48"/>
      <c r="Q24" s="47">
        <f t="shared" si="1"/>
        <v>525.98299999999983</v>
      </c>
      <c r="R24" s="165">
        <f t="shared" si="6"/>
        <v>0</v>
      </c>
      <c r="S24" s="160"/>
      <c r="T24" s="86"/>
      <c r="U24" s="82"/>
      <c r="V24" s="86"/>
      <c r="W24" s="388"/>
      <c r="X24" s="79"/>
      <c r="Y24" s="58"/>
      <c r="Z24" s="87"/>
      <c r="AA24" s="86"/>
      <c r="AB24" s="80"/>
      <c r="AC24" s="58">
        <v>159100</v>
      </c>
      <c r="AD24" s="87"/>
      <c r="AE24" s="55"/>
      <c r="AF24" s="14"/>
      <c r="AG24" s="58">
        <v>57820.000000000116</v>
      </c>
      <c r="AH24" s="128"/>
      <c r="AI24" s="120"/>
      <c r="AJ24" s="103"/>
      <c r="AK24" s="91"/>
      <c r="AL24" s="21"/>
      <c r="AM24" s="21"/>
      <c r="AN24" s="21"/>
    </row>
    <row r="25" spans="1:40" ht="13.2" customHeight="1" thickBot="1" x14ac:dyDescent="0.35">
      <c r="A25" s="7">
        <v>45372</v>
      </c>
      <c r="B25" s="28"/>
      <c r="C25" s="30"/>
      <c r="D25" s="186"/>
      <c r="E25" s="43">
        <f t="shared" si="2"/>
        <v>519.87499999999989</v>
      </c>
      <c r="F25" s="51">
        <f t="shared" si="3"/>
        <v>0</v>
      </c>
      <c r="G25" s="219"/>
      <c r="H25" s="10"/>
      <c r="I25" s="161">
        <f t="shared" si="4"/>
        <v>4.2500000000000027</v>
      </c>
      <c r="J25" s="8"/>
      <c r="K25" s="11"/>
      <c r="L25" s="12"/>
      <c r="M25" s="51">
        <f t="shared" si="0"/>
        <v>0</v>
      </c>
      <c r="N25" s="24"/>
      <c r="O25" s="47">
        <f t="shared" si="5"/>
        <v>1.8579999999999988</v>
      </c>
      <c r="P25" s="48"/>
      <c r="Q25" s="47">
        <f t="shared" si="1"/>
        <v>525.98299999999983</v>
      </c>
      <c r="R25" s="165">
        <f t="shared" si="6"/>
        <v>0</v>
      </c>
      <c r="S25" s="160"/>
      <c r="T25" s="86"/>
      <c r="U25" s="407"/>
      <c r="V25" s="86"/>
      <c r="W25" s="388"/>
      <c r="X25" s="79"/>
      <c r="Y25" s="58"/>
      <c r="Z25" s="87"/>
      <c r="AA25" s="59">
        <f>19.52*41800</f>
        <v>815936</v>
      </c>
      <c r="AB25" s="86"/>
      <c r="AC25" s="58">
        <v>159100</v>
      </c>
      <c r="AD25" s="87"/>
      <c r="AE25" s="55"/>
      <c r="AF25" s="14"/>
      <c r="AG25" s="58">
        <v>0</v>
      </c>
      <c r="AH25" s="384"/>
      <c r="AI25" s="122"/>
      <c r="AJ25" s="103"/>
      <c r="AK25" s="91"/>
      <c r="AL25" s="438"/>
      <c r="AM25" s="21"/>
      <c r="AN25" s="21"/>
    </row>
    <row r="26" spans="1:40" ht="12" customHeight="1" thickBot="1" x14ac:dyDescent="0.35">
      <c r="A26" s="7">
        <v>45373</v>
      </c>
      <c r="B26" s="28"/>
      <c r="C26" s="30"/>
      <c r="D26" s="186"/>
      <c r="E26" s="43">
        <f>E25+D26-B26-C26</f>
        <v>519.87499999999989</v>
      </c>
      <c r="F26" s="51">
        <f t="shared" si="3"/>
        <v>0</v>
      </c>
      <c r="G26" s="9"/>
      <c r="H26" s="10"/>
      <c r="I26" s="161">
        <f t="shared" si="4"/>
        <v>4.2500000000000027</v>
      </c>
      <c r="J26" s="8"/>
      <c r="K26" s="11"/>
      <c r="L26" s="12"/>
      <c r="M26" s="51">
        <f t="shared" si="0"/>
        <v>0</v>
      </c>
      <c r="N26" s="24"/>
      <c r="O26" s="47">
        <f t="shared" si="5"/>
        <v>1.8579999999999988</v>
      </c>
      <c r="P26" s="48"/>
      <c r="Q26" s="47">
        <f t="shared" si="1"/>
        <v>525.98299999999983</v>
      </c>
      <c r="R26" s="165">
        <f t="shared" si="6"/>
        <v>0</v>
      </c>
      <c r="S26" s="160"/>
      <c r="T26" s="86"/>
      <c r="U26" s="82"/>
      <c r="V26" s="86"/>
      <c r="W26" s="388"/>
      <c r="X26" s="79"/>
      <c r="Y26" s="58"/>
      <c r="Z26" s="314"/>
      <c r="AA26" s="86">
        <v>0</v>
      </c>
      <c r="AB26" s="80"/>
      <c r="AC26" s="58">
        <v>0</v>
      </c>
      <c r="AD26" s="87"/>
      <c r="AE26" s="55"/>
      <c r="AF26" s="14"/>
      <c r="AG26" s="58">
        <v>0</v>
      </c>
      <c r="AH26" s="123"/>
      <c r="AI26" s="122"/>
      <c r="AJ26" s="208"/>
      <c r="AK26" s="91"/>
      <c r="AL26" s="21"/>
      <c r="AM26" s="21"/>
      <c r="AN26" s="21"/>
    </row>
    <row r="27" spans="1:40" ht="13.2" customHeight="1" thickBot="1" x14ac:dyDescent="0.35">
      <c r="A27" s="3">
        <v>45374</v>
      </c>
      <c r="B27" s="28"/>
      <c r="C27" s="28"/>
      <c r="D27" s="186"/>
      <c r="E27" s="43">
        <f>E26+D27-B27-C27</f>
        <v>519.87499999999989</v>
      </c>
      <c r="F27" s="51">
        <f t="shared" si="3"/>
        <v>0</v>
      </c>
      <c r="G27" s="9"/>
      <c r="H27" s="10"/>
      <c r="I27" s="161">
        <f t="shared" si="4"/>
        <v>4.2500000000000027</v>
      </c>
      <c r="J27" s="8"/>
      <c r="K27" s="11"/>
      <c r="L27" s="12"/>
      <c r="M27" s="51">
        <f t="shared" si="0"/>
        <v>0</v>
      </c>
      <c r="N27" s="24"/>
      <c r="O27" s="47">
        <f t="shared" si="5"/>
        <v>1.8579999999999988</v>
      </c>
      <c r="P27" s="48"/>
      <c r="Q27" s="47">
        <f t="shared" si="1"/>
        <v>525.98299999999983</v>
      </c>
      <c r="R27" s="165">
        <f t="shared" si="6"/>
        <v>0</v>
      </c>
      <c r="S27" s="160"/>
      <c r="T27" s="86"/>
      <c r="U27" s="82"/>
      <c r="V27" s="86"/>
      <c r="W27" s="388"/>
      <c r="X27" s="79"/>
      <c r="Y27" s="58"/>
      <c r="Z27" s="314"/>
      <c r="AA27" s="86"/>
      <c r="AB27" s="80"/>
      <c r="AC27" s="58">
        <v>0</v>
      </c>
      <c r="AD27" s="87"/>
      <c r="AE27" s="55"/>
      <c r="AF27" s="14"/>
      <c r="AG27" s="58"/>
      <c r="AH27" s="128"/>
      <c r="AI27" s="120"/>
      <c r="AJ27" s="21"/>
      <c r="AK27" s="91"/>
      <c r="AL27" s="21"/>
      <c r="AM27" s="21"/>
      <c r="AN27" s="21"/>
    </row>
    <row r="28" spans="1:40" ht="13.2" hidden="1" customHeight="1" outlineLevel="1" thickBot="1" x14ac:dyDescent="0.35">
      <c r="A28" s="3">
        <v>45375</v>
      </c>
      <c r="B28" s="28"/>
      <c r="C28" s="30"/>
      <c r="D28" s="186"/>
      <c r="E28" s="43">
        <f t="shared" si="2"/>
        <v>519.87499999999989</v>
      </c>
      <c r="F28" s="51">
        <f t="shared" si="3"/>
        <v>0</v>
      </c>
      <c r="G28" s="9"/>
      <c r="H28" s="10"/>
      <c r="I28" s="161">
        <f t="shared" si="4"/>
        <v>4.2500000000000027</v>
      </c>
      <c r="J28" s="8"/>
      <c r="K28" s="11"/>
      <c r="L28" s="12"/>
      <c r="M28" s="51">
        <f t="shared" si="0"/>
        <v>0</v>
      </c>
      <c r="N28" s="24"/>
      <c r="O28" s="47">
        <f t="shared" si="5"/>
        <v>1.8579999999999988</v>
      </c>
      <c r="P28" s="48"/>
      <c r="Q28" s="47">
        <f t="shared" si="1"/>
        <v>525.98299999999983</v>
      </c>
      <c r="R28" s="165">
        <f t="shared" si="6"/>
        <v>0</v>
      </c>
      <c r="S28" s="160"/>
      <c r="T28" s="86"/>
      <c r="U28" s="82"/>
      <c r="V28" s="86"/>
      <c r="W28" s="388"/>
      <c r="X28" s="79"/>
      <c r="Y28" s="58"/>
      <c r="Z28" s="87"/>
      <c r="AA28" s="86"/>
      <c r="AB28" s="80"/>
      <c r="AC28" s="58">
        <v>0</v>
      </c>
      <c r="AD28" s="87"/>
      <c r="AE28" s="55"/>
      <c r="AF28" s="93"/>
      <c r="AG28" s="58"/>
      <c r="AH28" s="384"/>
      <c r="AI28" s="385"/>
      <c r="AJ28" s="356"/>
      <c r="AK28" s="91"/>
      <c r="AL28" s="21"/>
      <c r="AM28" s="21"/>
      <c r="AN28" s="21"/>
    </row>
    <row r="29" spans="1:40" ht="13.2" hidden="1" customHeight="1" outlineLevel="1" thickBot="1" x14ac:dyDescent="0.35">
      <c r="A29" s="7">
        <v>45376</v>
      </c>
      <c r="B29" s="28"/>
      <c r="C29" s="30"/>
      <c r="D29" s="186"/>
      <c r="E29" s="43">
        <f>E28+D29-B29-C29</f>
        <v>519.87499999999989</v>
      </c>
      <c r="F29" s="51">
        <f t="shared" si="3"/>
        <v>0</v>
      </c>
      <c r="G29" s="9"/>
      <c r="H29" s="10"/>
      <c r="I29" s="161">
        <f t="shared" si="4"/>
        <v>4.2500000000000027</v>
      </c>
      <c r="J29" s="8"/>
      <c r="K29" s="11"/>
      <c r="L29" s="12"/>
      <c r="M29" s="51">
        <f t="shared" si="0"/>
        <v>0</v>
      </c>
      <c r="N29" s="24"/>
      <c r="O29" s="47">
        <f t="shared" si="5"/>
        <v>1.8579999999999988</v>
      </c>
      <c r="P29" s="48"/>
      <c r="Q29" s="47">
        <f t="shared" si="1"/>
        <v>525.98299999999983</v>
      </c>
      <c r="R29" s="165">
        <f t="shared" si="6"/>
        <v>0</v>
      </c>
      <c r="S29" s="160"/>
      <c r="T29" s="88"/>
      <c r="U29" s="86"/>
      <c r="V29" s="294"/>
      <c r="W29" s="66"/>
      <c r="X29" s="94"/>
      <c r="Y29" s="58"/>
      <c r="Z29" s="86"/>
      <c r="AA29" s="86"/>
      <c r="AB29" s="129"/>
      <c r="AC29" s="58">
        <v>0</v>
      </c>
      <c r="AD29" s="87"/>
      <c r="AE29" s="56"/>
      <c r="AF29" s="14"/>
      <c r="AG29" s="58"/>
      <c r="AH29" s="127"/>
      <c r="AI29" s="126"/>
      <c r="AJ29" s="103"/>
      <c r="AK29" s="118"/>
      <c r="AL29" s="21"/>
      <c r="AM29" s="21"/>
      <c r="AN29" s="21"/>
    </row>
    <row r="30" spans="1:40" s="21" customFormat="1" ht="13.2" hidden="1" customHeight="1" outlineLevel="1" thickBot="1" x14ac:dyDescent="0.35">
      <c r="A30" s="7">
        <v>45377</v>
      </c>
      <c r="B30" s="28"/>
      <c r="C30" s="146"/>
      <c r="D30" s="186"/>
      <c r="E30" s="43">
        <f>E29+D30-B30-C30</f>
        <v>519.87499999999989</v>
      </c>
      <c r="F30" s="51">
        <f t="shared" si="3"/>
        <v>0</v>
      </c>
      <c r="G30" s="30"/>
      <c r="H30" s="24"/>
      <c r="I30" s="161">
        <f t="shared" si="4"/>
        <v>4.2500000000000027</v>
      </c>
      <c r="J30" s="28"/>
      <c r="K30" s="26"/>
      <c r="L30" s="53"/>
      <c r="M30" s="51">
        <f t="shared" si="0"/>
        <v>0</v>
      </c>
      <c r="N30" s="24"/>
      <c r="O30" s="47">
        <f t="shared" si="5"/>
        <v>1.8579999999999988</v>
      </c>
      <c r="P30" s="54"/>
      <c r="Q30" s="47">
        <f t="shared" si="1"/>
        <v>525.98299999999983</v>
      </c>
      <c r="R30" s="165">
        <f t="shared" si="6"/>
        <v>0</v>
      </c>
      <c r="S30" s="160"/>
      <c r="T30" s="86"/>
      <c r="U30" s="86"/>
      <c r="V30" s="294"/>
      <c r="W30" s="66"/>
      <c r="X30" s="94"/>
      <c r="Y30" s="58"/>
      <c r="Z30" s="86"/>
      <c r="AA30" s="86"/>
      <c r="AB30" s="129"/>
      <c r="AC30" s="58">
        <v>0</v>
      </c>
      <c r="AD30" s="87"/>
      <c r="AE30" s="191"/>
      <c r="AF30" s="14"/>
      <c r="AG30" s="58"/>
      <c r="AH30" s="384"/>
      <c r="AI30" s="122"/>
      <c r="AJ30" s="103"/>
      <c r="AK30" s="91"/>
    </row>
    <row r="31" spans="1:40" s="21" customFormat="1" ht="13.2" hidden="1" customHeight="1" outlineLevel="1" thickBot="1" x14ac:dyDescent="0.35">
      <c r="A31" s="7">
        <v>45378</v>
      </c>
      <c r="B31" s="28"/>
      <c r="C31" s="30"/>
      <c r="D31" s="186"/>
      <c r="E31" s="43">
        <f t="shared" si="2"/>
        <v>519.87499999999989</v>
      </c>
      <c r="F31" s="51">
        <f t="shared" si="3"/>
        <v>0</v>
      </c>
      <c r="G31" s="68"/>
      <c r="H31" s="69"/>
      <c r="I31" s="161">
        <f t="shared" si="4"/>
        <v>4.2500000000000027</v>
      </c>
      <c r="J31" s="67"/>
      <c r="K31" s="70"/>
      <c r="L31" s="71"/>
      <c r="M31" s="51">
        <f t="shared" si="0"/>
        <v>0</v>
      </c>
      <c r="N31" s="24"/>
      <c r="O31" s="47">
        <f t="shared" si="5"/>
        <v>1.8579999999999988</v>
      </c>
      <c r="P31" s="72"/>
      <c r="Q31" s="47">
        <f t="shared" si="1"/>
        <v>525.98299999999983</v>
      </c>
      <c r="R31" s="165">
        <f t="shared" si="6"/>
        <v>0</v>
      </c>
      <c r="S31" s="160"/>
      <c r="T31" s="86"/>
      <c r="U31" s="86"/>
      <c r="V31" s="294"/>
      <c r="W31" s="66"/>
      <c r="X31" s="94"/>
      <c r="Y31" s="58"/>
      <c r="Z31" s="86"/>
      <c r="AA31" s="86"/>
      <c r="AB31" s="129"/>
      <c r="AC31" s="58"/>
      <c r="AD31" s="87"/>
      <c r="AE31" s="57"/>
      <c r="AF31" s="131"/>
      <c r="AG31" s="58"/>
      <c r="AH31" s="123"/>
      <c r="AI31" s="122"/>
      <c r="AJ31" s="103"/>
      <c r="AK31" s="102"/>
    </row>
    <row r="32" spans="1:40" ht="13.2" hidden="1" customHeight="1" outlineLevel="1" thickBot="1" x14ac:dyDescent="0.35">
      <c r="A32" s="7">
        <v>45379</v>
      </c>
      <c r="B32" s="28"/>
      <c r="C32" s="30"/>
      <c r="D32" s="186"/>
      <c r="E32" s="43">
        <f t="shared" si="2"/>
        <v>519.87499999999989</v>
      </c>
      <c r="F32" s="51">
        <f t="shared" si="3"/>
        <v>0</v>
      </c>
      <c r="G32" s="62"/>
      <c r="H32" s="62"/>
      <c r="I32" s="161">
        <f t="shared" si="4"/>
        <v>4.2500000000000027</v>
      </c>
      <c r="J32" s="62"/>
      <c r="K32" s="64"/>
      <c r="L32" s="13"/>
      <c r="M32" s="51">
        <f t="shared" si="0"/>
        <v>0</v>
      </c>
      <c r="N32" s="24"/>
      <c r="O32" s="47">
        <f t="shared" si="5"/>
        <v>1.8579999999999988</v>
      </c>
      <c r="P32" s="65"/>
      <c r="Q32" s="47">
        <f t="shared" si="1"/>
        <v>525.98299999999983</v>
      </c>
      <c r="R32" s="165">
        <f t="shared" si="6"/>
        <v>0</v>
      </c>
      <c r="S32" s="160"/>
      <c r="T32" s="86"/>
      <c r="U32" s="86"/>
      <c r="V32" s="294"/>
      <c r="W32" s="66"/>
      <c r="X32" s="94"/>
      <c r="Y32" s="58"/>
      <c r="Z32" s="86"/>
      <c r="AA32" s="86"/>
      <c r="AB32" s="129"/>
      <c r="AC32" s="58"/>
      <c r="AD32" s="87"/>
      <c r="AE32" s="57"/>
      <c r="AF32" s="87"/>
      <c r="AG32" s="58"/>
      <c r="AH32" s="123"/>
      <c r="AI32" s="122"/>
      <c r="AJ32" s="103"/>
      <c r="AK32" s="99"/>
      <c r="AL32" s="21"/>
      <c r="AM32" s="21"/>
    </row>
    <row r="33" spans="1:39" ht="13.2" hidden="1" customHeight="1" outlineLevel="1" thickBot="1" x14ac:dyDescent="0.35">
      <c r="A33" s="7">
        <v>45380</v>
      </c>
      <c r="B33" s="28"/>
      <c r="C33" s="30"/>
      <c r="D33" s="186"/>
      <c r="E33" s="43">
        <f t="shared" si="2"/>
        <v>519.87499999999989</v>
      </c>
      <c r="F33" s="51">
        <f t="shared" si="3"/>
        <v>0</v>
      </c>
      <c r="G33" s="62"/>
      <c r="H33" s="62"/>
      <c r="I33" s="161">
        <f t="shared" si="4"/>
        <v>4.2500000000000027</v>
      </c>
      <c r="J33" s="62"/>
      <c r="K33" s="64"/>
      <c r="L33" s="13"/>
      <c r="M33" s="51">
        <f t="shared" si="0"/>
        <v>0</v>
      </c>
      <c r="N33" s="24"/>
      <c r="O33" s="47">
        <f t="shared" si="5"/>
        <v>1.8579999999999988</v>
      </c>
      <c r="P33" s="65"/>
      <c r="Q33" s="47">
        <f t="shared" si="1"/>
        <v>525.98299999999983</v>
      </c>
      <c r="R33" s="165">
        <f>B33+G33+H33+J33</f>
        <v>0</v>
      </c>
      <c r="S33" s="160"/>
      <c r="T33" s="86"/>
      <c r="U33" s="86"/>
      <c r="V33" s="294"/>
      <c r="W33" s="66"/>
      <c r="X33" s="94"/>
      <c r="Y33" s="58"/>
      <c r="Z33" s="86"/>
      <c r="AA33" s="86"/>
      <c r="AB33" s="80"/>
      <c r="AC33" s="58"/>
      <c r="AD33" s="87"/>
      <c r="AE33" s="57"/>
      <c r="AF33" s="131"/>
      <c r="AG33" s="58"/>
      <c r="AH33" s="384"/>
      <c r="AI33" s="120"/>
      <c r="AJ33" s="99"/>
      <c r="AK33" s="99"/>
      <c r="AL33" s="21"/>
      <c r="AM33" s="21"/>
    </row>
    <row r="34" spans="1:39" ht="13.2" hidden="1" customHeight="1" outlineLevel="1" thickBot="1" x14ac:dyDescent="0.35">
      <c r="A34" s="3">
        <v>45381</v>
      </c>
      <c r="B34" s="28"/>
      <c r="C34" s="30"/>
      <c r="D34" s="92"/>
      <c r="E34" s="43">
        <f t="shared" si="2"/>
        <v>519.87499999999989</v>
      </c>
      <c r="F34" s="51">
        <f t="shared" si="3"/>
        <v>0</v>
      </c>
      <c r="G34" s="62"/>
      <c r="H34" s="62"/>
      <c r="I34" s="161">
        <f t="shared" si="4"/>
        <v>4.2500000000000027</v>
      </c>
      <c r="J34" s="44"/>
      <c r="K34" s="44"/>
      <c r="L34" s="44"/>
      <c r="M34" s="63">
        <f t="shared" si="0"/>
        <v>0</v>
      </c>
      <c r="N34" s="24"/>
      <c r="O34" s="47">
        <f t="shared" si="5"/>
        <v>1.8579999999999988</v>
      </c>
      <c r="P34" s="65">
        <v>0</v>
      </c>
      <c r="Q34" s="47">
        <f t="shared" si="1"/>
        <v>525.98299999999983</v>
      </c>
      <c r="R34" s="165">
        <f t="shared" si="6"/>
        <v>0</v>
      </c>
      <c r="S34" s="160"/>
      <c r="T34" s="86"/>
      <c r="U34" s="86"/>
      <c r="V34" s="87"/>
      <c r="W34" s="153"/>
      <c r="X34" s="94"/>
      <c r="Y34" s="58"/>
      <c r="Z34" s="86"/>
      <c r="AA34" s="86"/>
      <c r="AB34" s="129"/>
      <c r="AC34" s="58"/>
      <c r="AD34" s="87"/>
      <c r="AE34" s="57"/>
      <c r="AF34" s="87"/>
      <c r="AG34" s="58"/>
      <c r="AH34" s="384"/>
      <c r="AI34" s="122"/>
      <c r="AJ34" s="99"/>
      <c r="AK34" s="21"/>
      <c r="AL34" s="21"/>
      <c r="AM34" s="21"/>
    </row>
    <row r="35" spans="1:39" ht="15" hidden="1" outlineLevel="1" thickBot="1" x14ac:dyDescent="0.35">
      <c r="A35" s="3">
        <v>45382</v>
      </c>
      <c r="B35" s="108"/>
      <c r="C35" s="19"/>
      <c r="D35" s="92"/>
      <c r="E35" s="73">
        <f>E34+D35-B35-C35</f>
        <v>519.87499999999989</v>
      </c>
      <c r="F35" s="100">
        <f t="shared" si="3"/>
        <v>0</v>
      </c>
      <c r="G35" s="108"/>
      <c r="H35" s="108"/>
      <c r="I35" s="161">
        <f>I34+F35-G35-H35</f>
        <v>4.2500000000000027</v>
      </c>
      <c r="J35" s="18"/>
      <c r="K35" s="74"/>
      <c r="L35" s="75"/>
      <c r="M35" s="109">
        <f t="shared" si="0"/>
        <v>0</v>
      </c>
      <c r="N35" s="24"/>
      <c r="O35" s="50">
        <f>O34+M35-N35</f>
        <v>1.8579999999999988</v>
      </c>
      <c r="P35" s="76"/>
      <c r="Q35" s="50">
        <f t="shared" si="1"/>
        <v>525.98299999999983</v>
      </c>
      <c r="R35" s="166">
        <f t="shared" si="6"/>
        <v>0</v>
      </c>
      <c r="S35" s="160"/>
      <c r="T35" s="86"/>
      <c r="U35" s="86"/>
      <c r="V35" s="87"/>
      <c r="W35" s="153"/>
      <c r="X35" s="94"/>
      <c r="Y35" s="86"/>
      <c r="Z35" s="86"/>
      <c r="AA35" s="86"/>
      <c r="AB35" s="129"/>
      <c r="AC35" s="58"/>
      <c r="AD35" s="87"/>
      <c r="AE35" s="57"/>
      <c r="AF35" s="87"/>
      <c r="AG35" s="58"/>
      <c r="AH35" s="384"/>
      <c r="AI35" s="122"/>
      <c r="AJ35" s="99"/>
      <c r="AK35" s="21"/>
      <c r="AL35" s="21"/>
    </row>
    <row r="36" spans="1:39" ht="15" collapsed="1" thickBot="1" x14ac:dyDescent="0.35">
      <c r="A36" s="36" t="s">
        <v>12</v>
      </c>
      <c r="B36" s="37">
        <f>SUM(B5:B35)</f>
        <v>264.78000000000003</v>
      </c>
      <c r="C36" s="37">
        <f>SUM(C5:C35)</f>
        <v>13.418999999999999</v>
      </c>
      <c r="D36" s="37">
        <f>SUM(D5:D35)</f>
        <v>484.94399999999996</v>
      </c>
      <c r="E36" s="115">
        <f>INDEX(E5:E35,COUNTA(E5:E35))-12.74</f>
        <v>507.13499999999988</v>
      </c>
      <c r="F36" s="37">
        <f>SUM(F5:F35)</f>
        <v>13.418999999999999</v>
      </c>
      <c r="G36" s="37">
        <f>SUM(G5:G35)</f>
        <v>10.512</v>
      </c>
      <c r="H36" s="37">
        <f>SUM(H5:H35)</f>
        <v>2.5569999999999999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2.5569999999999999</v>
      </c>
      <c r="N36" s="37">
        <f>SUM(N5:N35)</f>
        <v>2.5179999999999998</v>
      </c>
      <c r="O36" s="41"/>
      <c r="P36" s="40">
        <f>B36+G36+H36+J36</f>
        <v>277.84900000000005</v>
      </c>
      <c r="Q36" s="41"/>
      <c r="R36" s="167">
        <f>SUM(R5:R35)</f>
        <v>277.84899999999999</v>
      </c>
      <c r="S36" s="114">
        <f>INDEX(S5:S35,COUNTA(S5:S35))</f>
        <v>97.825000000000003</v>
      </c>
      <c r="T36" s="169"/>
      <c r="U36" s="169"/>
      <c r="V36" s="158"/>
      <c r="W36" s="140"/>
      <c r="X36" s="95"/>
      <c r="Y36" s="116"/>
      <c r="Z36" s="96"/>
      <c r="AA36" s="104"/>
      <c r="AB36" s="81"/>
      <c r="AC36" s="58"/>
      <c r="AD36" s="106"/>
      <c r="AE36" s="106"/>
      <c r="AF36" s="132"/>
      <c r="AG36" s="58"/>
      <c r="AH36" s="384"/>
      <c r="AI36" s="122"/>
      <c r="AJ36" s="21"/>
      <c r="AK36" s="99"/>
      <c r="AL36" s="21"/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H37" s="384"/>
      <c r="AI37" s="122"/>
      <c r="AJ37" s="473"/>
      <c r="AK37" s="99"/>
      <c r="AL37" s="21"/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507.13499999999988</v>
      </c>
      <c r="AA38" s="111"/>
      <c r="AB38" s="111"/>
      <c r="AC38" s="111"/>
      <c r="AD38" s="112"/>
      <c r="AH38" s="474"/>
      <c r="AI38" s="475"/>
      <c r="AJ38" s="475"/>
      <c r="AK38" s="475"/>
      <c r="AL38" s="475"/>
    </row>
    <row r="39" spans="1:39" s="33" customFormat="1" ht="13.2" customHeight="1" x14ac:dyDescent="0.3">
      <c r="B39" s="2"/>
      <c r="E39" s="110"/>
      <c r="F39" s="60"/>
      <c r="Q39" s="319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97.825000000000003</v>
      </c>
      <c r="AA39" s="111"/>
      <c r="AB39" s="111"/>
      <c r="AC39" s="111"/>
      <c r="AD39" s="112"/>
      <c r="AH39" s="123"/>
      <c r="AI39" s="122"/>
      <c r="AJ39" s="473"/>
      <c r="AK39" s="99"/>
      <c r="AL39" s="475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N51</f>
        <v>99.950752451403133</v>
      </c>
      <c r="AA40" s="111"/>
      <c r="AB40" s="111"/>
      <c r="AC40" s="111"/>
      <c r="AD40" s="112"/>
      <c r="AH40" s="474"/>
      <c r="AI40" s="122"/>
      <c r="AJ40" s="475"/>
      <c r="AK40" s="475"/>
      <c r="AL40" s="475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704.91075245140303</v>
      </c>
      <c r="AA41" s="111"/>
      <c r="AB41" s="111"/>
      <c r="AC41" s="111"/>
      <c r="AD41" s="112"/>
      <c r="AH41" s="474"/>
      <c r="AI41" s="475"/>
      <c r="AJ41" s="475"/>
      <c r="AK41" s="475"/>
      <c r="AL41" s="475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9" s="315" customFormat="1" hidden="1" x14ac:dyDescent="0.3">
      <c r="C43" s="338"/>
      <c r="D43" s="211" t="s">
        <v>28</v>
      </c>
      <c r="E43" s="691" t="s">
        <v>60</v>
      </c>
      <c r="F43" s="692"/>
      <c r="G43" s="693"/>
      <c r="H43" s="650" t="s">
        <v>563</v>
      </c>
      <c r="I43" s="651"/>
      <c r="J43" s="124"/>
      <c r="K43" s="536"/>
      <c r="L43" s="145"/>
      <c r="M43" s="240">
        <f>17652+10036</f>
        <v>27688</v>
      </c>
      <c r="N43" s="147">
        <f>Z18/M43</f>
        <v>28.499096720600985</v>
      </c>
      <c r="O43" s="379" t="s">
        <v>585</v>
      </c>
      <c r="P43" s="138"/>
      <c r="Q43" s="307" t="s">
        <v>579</v>
      </c>
      <c r="R43" s="319" t="s">
        <v>133</v>
      </c>
      <c r="S43" s="319" t="s">
        <v>567</v>
      </c>
      <c r="T43" s="343"/>
      <c r="U43" s="319"/>
      <c r="V43" s="320"/>
      <c r="W43" s="321"/>
      <c r="X43" s="322"/>
      <c r="Y43" s="322"/>
      <c r="Z43" s="323"/>
      <c r="AA43" s="324"/>
      <c r="AB43" s="324"/>
      <c r="AC43" s="324"/>
      <c r="AD43" s="324"/>
      <c r="AG43" s="325"/>
      <c r="AH43" s="326"/>
      <c r="AI43" s="325"/>
      <c r="AJ43" s="325"/>
      <c r="AK43" s="325"/>
      <c r="AL43" s="324"/>
    </row>
    <row r="44" spans="1:39" s="315" customFormat="1" hidden="1" x14ac:dyDescent="0.3">
      <c r="C44" s="338"/>
      <c r="D44" s="211" t="s">
        <v>21</v>
      </c>
      <c r="E44" s="691" t="s">
        <v>60</v>
      </c>
      <c r="F44" s="692"/>
      <c r="G44" s="693"/>
      <c r="H44" s="650" t="s">
        <v>563</v>
      </c>
      <c r="I44" s="651"/>
      <c r="J44" s="124"/>
      <c r="K44" s="536"/>
      <c r="L44" s="145"/>
      <c r="M44" s="240">
        <f>17652+10036</f>
        <v>27688</v>
      </c>
      <c r="N44" s="147"/>
      <c r="O44" s="379" t="s">
        <v>586</v>
      </c>
      <c r="P44" s="138"/>
      <c r="Q44" s="307" t="s">
        <v>582</v>
      </c>
      <c r="R44" s="307" t="s">
        <v>591</v>
      </c>
      <c r="S44" s="307" t="s">
        <v>569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9" s="315" customFormat="1" x14ac:dyDescent="0.3">
      <c r="C45" s="338"/>
      <c r="D45" s="259" t="s">
        <v>28</v>
      </c>
      <c r="E45" s="688" t="s">
        <v>60</v>
      </c>
      <c r="F45" s="689"/>
      <c r="G45" s="690"/>
      <c r="H45" s="688" t="s">
        <v>587</v>
      </c>
      <c r="I45" s="689"/>
      <c r="J45" s="124"/>
      <c r="K45" s="536"/>
      <c r="L45" s="145"/>
      <c r="M45" s="240">
        <f>14749+10036</f>
        <v>24785</v>
      </c>
      <c r="N45" s="147">
        <f>Z15/M45</f>
        <v>31.837118821868071</v>
      </c>
      <c r="O45" s="540" t="s">
        <v>529</v>
      </c>
      <c r="P45" s="138"/>
      <c r="Q45" s="307" t="s">
        <v>588</v>
      </c>
      <c r="R45" s="307" t="s">
        <v>618</v>
      </c>
      <c r="S45" s="319" t="s">
        <v>181</v>
      </c>
      <c r="T45" s="343"/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9" s="315" customFormat="1" x14ac:dyDescent="0.3">
      <c r="C46" s="338"/>
      <c r="D46" s="259" t="s">
        <v>21</v>
      </c>
      <c r="E46" s="688" t="s">
        <v>60</v>
      </c>
      <c r="F46" s="689"/>
      <c r="G46" s="690"/>
      <c r="H46" s="688" t="s">
        <v>587</v>
      </c>
      <c r="I46" s="689"/>
      <c r="J46" s="124"/>
      <c r="K46" s="536"/>
      <c r="L46" s="145"/>
      <c r="M46" s="240">
        <f>14749+10036</f>
        <v>24785</v>
      </c>
      <c r="N46" s="147">
        <f>U19/M46</f>
        <v>33.111588057292714</v>
      </c>
      <c r="O46" s="540" t="s">
        <v>509</v>
      </c>
      <c r="P46" s="138"/>
      <c r="Q46" s="307" t="s">
        <v>615</v>
      </c>
      <c r="R46" s="307" t="s">
        <v>620</v>
      </c>
      <c r="S46" s="307" t="s">
        <v>625</v>
      </c>
      <c r="T46" s="319" t="s">
        <v>598</v>
      </c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9" s="315" customFormat="1" x14ac:dyDescent="0.3">
      <c r="C47" s="338"/>
      <c r="D47" s="211"/>
      <c r="E47" s="712" t="s">
        <v>18</v>
      </c>
      <c r="F47" s="713"/>
      <c r="G47" s="714"/>
      <c r="H47" s="712" t="s">
        <v>622</v>
      </c>
      <c r="I47" s="713"/>
      <c r="J47" s="124"/>
      <c r="K47" s="536"/>
      <c r="L47" s="145"/>
      <c r="M47" s="240">
        <v>24774</v>
      </c>
      <c r="N47" s="147"/>
      <c r="O47" s="702" t="s">
        <v>584</v>
      </c>
      <c r="P47" s="138"/>
      <c r="Q47" s="307" t="s">
        <v>588</v>
      </c>
      <c r="T47" s="381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9" s="315" customFormat="1" x14ac:dyDescent="0.3">
      <c r="C48" s="338"/>
      <c r="D48" s="211"/>
      <c r="E48" s="712" t="s">
        <v>18</v>
      </c>
      <c r="F48" s="713"/>
      <c r="G48" s="714"/>
      <c r="H48" s="712" t="s">
        <v>623</v>
      </c>
      <c r="I48" s="713"/>
      <c r="J48" s="124"/>
      <c r="K48" s="536"/>
      <c r="L48" s="145"/>
      <c r="M48" s="240">
        <v>23172</v>
      </c>
      <c r="N48" s="147">
        <f>T19/M48</f>
        <v>35.002045572242359</v>
      </c>
      <c r="O48" s="702"/>
      <c r="P48" s="138"/>
      <c r="Q48" s="319"/>
      <c r="R48" s="307" t="s">
        <v>595</v>
      </c>
      <c r="S48" s="319" t="s">
        <v>181</v>
      </c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ht="15" thickBot="1" x14ac:dyDescent="0.35">
      <c r="C49" s="338"/>
      <c r="D49" s="211"/>
      <c r="E49" s="672" t="s">
        <v>18</v>
      </c>
      <c r="F49" s="673"/>
      <c r="G49" s="674"/>
      <c r="H49" s="672" t="s">
        <v>626</v>
      </c>
      <c r="I49" s="673"/>
      <c r="J49" s="124"/>
      <c r="K49" s="547"/>
      <c r="L49" s="145"/>
      <c r="M49" s="240"/>
      <c r="N49" s="147"/>
      <c r="O49" s="548"/>
      <c r="P49" s="138"/>
      <c r="Q49" s="319" t="s">
        <v>166</v>
      </c>
      <c r="R49" s="319" t="s">
        <v>171</v>
      </c>
      <c r="S49" s="319" t="s">
        <v>172</v>
      </c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ht="15" hidden="1" thickBot="1" x14ac:dyDescent="0.35">
      <c r="C50" s="338"/>
      <c r="D50" s="211"/>
      <c r="E50" s="688" t="s">
        <v>229</v>
      </c>
      <c r="F50" s="689"/>
      <c r="G50" s="690"/>
      <c r="H50" s="688" t="s">
        <v>587</v>
      </c>
      <c r="I50" s="689"/>
      <c r="J50" s="124"/>
      <c r="K50" s="536"/>
      <c r="L50" s="145"/>
      <c r="M50" s="240">
        <v>22500</v>
      </c>
      <c r="N50" s="147"/>
      <c r="O50" s="379" t="s">
        <v>611</v>
      </c>
      <c r="P50" s="138"/>
      <c r="Q50" s="319"/>
      <c r="R50" s="319"/>
      <c r="S50" s="319"/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ht="13.95" customHeight="1" thickBot="1" x14ac:dyDescent="0.35">
      <c r="E51" s="634"/>
      <c r="F51" s="635"/>
      <c r="G51" s="636"/>
      <c r="H51" s="637"/>
      <c r="I51" s="638"/>
      <c r="J51" s="141"/>
      <c r="K51" s="141"/>
      <c r="L51" s="142"/>
      <c r="M51" s="424" t="s">
        <v>33</v>
      </c>
      <c r="N51" s="425">
        <f>SUBTOTAL(109,N43:N50)</f>
        <v>99.950752451403133</v>
      </c>
      <c r="O51" s="150"/>
      <c r="T51" s="181"/>
      <c r="U51" s="181"/>
      <c r="V51" s="177"/>
      <c r="W51" s="178"/>
      <c r="X51" s="178"/>
      <c r="Y51" s="178"/>
      <c r="Z51" s="180"/>
      <c r="AA51" s="90"/>
      <c r="AB51" s="90"/>
      <c r="AC51" s="21"/>
      <c r="AD51" s="21"/>
    </row>
    <row r="52" spans="3:38" ht="13.95" customHeight="1" x14ac:dyDescent="0.3">
      <c r="E52" s="359" t="s">
        <v>494</v>
      </c>
      <c r="F52" s="154"/>
      <c r="G52" s="154"/>
      <c r="H52" s="478"/>
      <c r="I52" s="479"/>
      <c r="J52" s="480"/>
      <c r="K52" s="480"/>
      <c r="L52" s="480"/>
      <c r="M52" s="481"/>
      <c r="N52" s="482"/>
      <c r="O52" s="483"/>
      <c r="T52" s="181"/>
      <c r="U52" s="181"/>
      <c r="V52" s="177"/>
      <c r="W52" s="178"/>
      <c r="X52" s="178"/>
      <c r="Y52" s="178"/>
      <c r="Z52" s="180"/>
      <c r="AA52" s="90"/>
      <c r="AB52" s="90"/>
      <c r="AC52" s="21"/>
      <c r="AD52" s="21"/>
    </row>
    <row r="53" spans="3:38" hidden="1" x14ac:dyDescent="0.3">
      <c r="E53" s="1" t="s">
        <v>116</v>
      </c>
      <c r="O53" s="139"/>
      <c r="V53" s="178"/>
      <c r="W53" s="178"/>
      <c r="X53" s="178"/>
      <c r="Y53" s="178"/>
      <c r="Z53" s="180"/>
      <c r="AA53" s="21"/>
      <c r="AB53" s="21"/>
      <c r="AC53" s="21"/>
      <c r="AD53" s="21"/>
    </row>
    <row r="54" spans="3:38" hidden="1" x14ac:dyDescent="0.3">
      <c r="E54" s="1" t="s">
        <v>57</v>
      </c>
      <c r="O54" s="1"/>
      <c r="P54" s="1"/>
      <c r="Q54" s="1"/>
      <c r="R54" s="224"/>
      <c r="V54" s="178"/>
      <c r="W54" s="178"/>
      <c r="X54" s="178"/>
      <c r="Y54" s="178"/>
      <c r="Z54" s="178"/>
      <c r="AA54" s="21"/>
      <c r="AB54" s="21"/>
      <c r="AC54" s="21"/>
      <c r="AD54" s="21"/>
    </row>
    <row r="55" spans="3:38" x14ac:dyDescent="0.3">
      <c r="E55" s="359" t="s">
        <v>379</v>
      </c>
      <c r="O55" s="1"/>
      <c r="P55" s="1"/>
      <c r="Q55" s="1"/>
      <c r="R55" s="224"/>
      <c r="V55" s="178"/>
      <c r="W55" s="178"/>
      <c r="X55" s="178"/>
      <c r="Y55" s="178"/>
      <c r="Z55" s="178"/>
      <c r="AA55" s="21"/>
      <c r="AB55" s="21"/>
      <c r="AC55" s="21"/>
      <c r="AD55" s="21"/>
    </row>
    <row r="56" spans="3:38" hidden="1" x14ac:dyDescent="0.3">
      <c r="E56" s="1" t="s">
        <v>288</v>
      </c>
      <c r="O56" s="1"/>
      <c r="P56" s="1"/>
      <c r="Q56" s="1"/>
      <c r="R56" s="224"/>
      <c r="V56" s="178"/>
      <c r="W56" s="178"/>
      <c r="X56" s="178"/>
      <c r="Y56" s="178"/>
      <c r="Z56" s="178"/>
      <c r="AA56" s="21"/>
      <c r="AB56" s="21"/>
      <c r="AC56" s="21"/>
      <c r="AD56" s="21"/>
    </row>
    <row r="57" spans="3:38" hidden="1" x14ac:dyDescent="0.3">
      <c r="E57" s="1" t="s">
        <v>287</v>
      </c>
    </row>
    <row r="58" spans="3:38" x14ac:dyDescent="0.3">
      <c r="E58" s="359" t="s">
        <v>339</v>
      </c>
    </row>
    <row r="59" spans="3:38" x14ac:dyDescent="0.3">
      <c r="E59" s="359" t="s">
        <v>290</v>
      </c>
    </row>
    <row r="60" spans="3:38" hidden="1" x14ac:dyDescent="0.3">
      <c r="E60" s="1" t="s">
        <v>289</v>
      </c>
      <c r="V60" s="175"/>
      <c r="W60" s="175"/>
      <c r="X60" s="175"/>
      <c r="Y60" s="175"/>
      <c r="Z60" s="175"/>
      <c r="AA60" s="21"/>
      <c r="AB60" s="21"/>
      <c r="AC60" s="21"/>
      <c r="AD60" s="21"/>
    </row>
    <row r="61" spans="3:38" x14ac:dyDescent="0.3">
      <c r="E61" s="359" t="s">
        <v>495</v>
      </c>
    </row>
    <row r="62" spans="3:38" x14ac:dyDescent="0.3">
      <c r="E62" s="1" t="s">
        <v>291</v>
      </c>
    </row>
    <row r="63" spans="3:38" x14ac:dyDescent="0.3">
      <c r="E63" s="1" t="s">
        <v>292</v>
      </c>
    </row>
  </sheetData>
  <mergeCells count="54"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Q1:Q4"/>
    <mergeCell ref="R1:R4"/>
    <mergeCell ref="S1:S3"/>
    <mergeCell ref="T1:V2"/>
    <mergeCell ref="W1:AG2"/>
    <mergeCell ref="AF3:AF4"/>
    <mergeCell ref="AG3:AG4"/>
    <mergeCell ref="AD3:AD4"/>
    <mergeCell ref="AE3:AE4"/>
    <mergeCell ref="U41:Y41"/>
    <mergeCell ref="Z3:Z4"/>
    <mergeCell ref="AA3:AA4"/>
    <mergeCell ref="AB3:AB4"/>
    <mergeCell ref="AC3:AC4"/>
    <mergeCell ref="U3:U4"/>
    <mergeCell ref="V3:V4"/>
    <mergeCell ref="W3:W4"/>
    <mergeCell ref="X3:X4"/>
    <mergeCell ref="Y3:Y4"/>
    <mergeCell ref="T38:V38"/>
    <mergeCell ref="T39:V39"/>
    <mergeCell ref="T40:V40"/>
    <mergeCell ref="T3:T4"/>
    <mergeCell ref="E43:G43"/>
    <mergeCell ref="H43:I43"/>
    <mergeCell ref="E44:G44"/>
    <mergeCell ref="H44:I44"/>
    <mergeCell ref="E45:G45"/>
    <mergeCell ref="H45:I45"/>
    <mergeCell ref="E46:G46"/>
    <mergeCell ref="H46:I46"/>
    <mergeCell ref="E47:G47"/>
    <mergeCell ref="H47:I47"/>
    <mergeCell ref="E48:G48"/>
    <mergeCell ref="H48:I48"/>
    <mergeCell ref="O47:O48"/>
    <mergeCell ref="E50:G50"/>
    <mergeCell ref="H50:I50"/>
    <mergeCell ref="E51:G51"/>
    <mergeCell ref="H51:I51"/>
    <mergeCell ref="E49:G49"/>
    <mergeCell ref="H49:I49"/>
  </mergeCells>
  <pageMargins left="0.7" right="0.17" top="0.72" bottom="0.34" header="0.77" footer="0.3"/>
  <pageSetup paperSize="9" scale="79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56"/>
  <sheetViews>
    <sheetView zoomScaleNormal="100" workbookViewId="0">
      <pane ySplit="4" topLeftCell="A17" activePane="bottomLeft" state="frozen"/>
      <selection pane="bottomLeft" activeCell="U3" sqref="U3:U4"/>
    </sheetView>
  </sheetViews>
  <sheetFormatPr defaultColWidth="9.109375" defaultRowHeight="14.4" outlineLevelRow="1" outlineLevelCol="1" x14ac:dyDescent="0.3"/>
  <cols>
    <col min="1" max="1" width="8.44140625" style="2" customWidth="1"/>
    <col min="2" max="2" width="6.33203125" style="2" customWidth="1"/>
    <col min="3" max="3" width="5.6640625" style="2" customWidth="1"/>
    <col min="4" max="4" width="6.6640625" style="2" customWidth="1"/>
    <col min="5" max="5" width="6.6640625" style="35" customWidth="1"/>
    <col min="6" max="6" width="6.6640625" style="2" customWidth="1"/>
    <col min="7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8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2" width="12.6640625" style="20" customWidth="1"/>
    <col min="23" max="23" width="11.6640625" style="20" hidden="1" customWidth="1"/>
    <col min="24" max="24" width="10.6640625" style="20" hidden="1" customWidth="1"/>
    <col min="25" max="26" width="12.6640625" style="20" customWidth="1"/>
    <col min="27" max="29" width="9.6640625" style="2" hidden="1" customWidth="1"/>
    <col min="30" max="31" width="10.6640625" style="2" hidden="1" customWidth="1"/>
    <col min="32" max="32" width="0.109375" style="2" hidden="1" customWidth="1"/>
    <col min="33" max="33" width="11.33203125" style="2" hidden="1" customWidth="1"/>
    <col min="34" max="34" width="6" style="77" customWidth="1" outlineLevel="1"/>
    <col min="35" max="35" width="6.66406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108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41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106</v>
      </c>
      <c r="V3" s="608" t="s">
        <v>107</v>
      </c>
      <c r="W3" s="606" t="s">
        <v>62</v>
      </c>
      <c r="X3" s="599" t="s">
        <v>45</v>
      </c>
      <c r="Y3" s="567" t="s">
        <v>106</v>
      </c>
      <c r="Z3" s="577" t="s">
        <v>107</v>
      </c>
      <c r="AA3" s="599" t="s">
        <v>30</v>
      </c>
      <c r="AB3" s="599" t="s">
        <v>37</v>
      </c>
      <c r="AC3" s="567"/>
      <c r="AD3" s="601" t="s">
        <v>14</v>
      </c>
      <c r="AE3" s="597" t="s">
        <v>63</v>
      </c>
      <c r="AF3" s="604" t="s">
        <v>16</v>
      </c>
      <c r="AG3" s="597" t="s">
        <v>19</v>
      </c>
    </row>
    <row r="4" spans="1:40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232" t="s">
        <v>10</v>
      </c>
      <c r="K4" s="233" t="s">
        <v>2</v>
      </c>
      <c r="L4" s="234" t="s">
        <v>9</v>
      </c>
      <c r="M4" s="232" t="s">
        <v>10</v>
      </c>
      <c r="N4" s="233" t="s">
        <v>2</v>
      </c>
      <c r="O4" s="234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8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52">
        <v>44927</v>
      </c>
      <c r="B5" s="28"/>
      <c r="C5" s="30"/>
      <c r="D5" s="22"/>
      <c r="E5" s="42">
        <f>'12.22'!E35-B5-C5+D5</f>
        <v>451.5160000000003</v>
      </c>
      <c r="F5" s="51">
        <f>C5</f>
        <v>0</v>
      </c>
      <c r="G5" s="9"/>
      <c r="H5" s="10"/>
      <c r="I5" s="161">
        <f>'12.22'!I35+F5-G5-H5</f>
        <v>7.0399999999999983</v>
      </c>
      <c r="J5" s="8"/>
      <c r="K5" s="11"/>
      <c r="L5" s="25"/>
      <c r="M5" s="51">
        <f t="shared" ref="M5:M35" si="0">H5</f>
        <v>0</v>
      </c>
      <c r="N5" s="24"/>
      <c r="O5" s="47">
        <f>'12.22'!O35+M5-N5</f>
        <v>1.4689999999999994</v>
      </c>
      <c r="P5" s="46">
        <v>0</v>
      </c>
      <c r="Q5" s="45">
        <f t="shared" ref="Q5:Q35" si="1">E5+I5+L5+O5</f>
        <v>460.02500000000032</v>
      </c>
      <c r="R5" s="165">
        <f>B5+G5+H5+J5</f>
        <v>0</v>
      </c>
      <c r="S5" s="159">
        <v>72.573999999999998</v>
      </c>
      <c r="T5" s="58">
        <f>'12.22'!T35</f>
        <v>947415</v>
      </c>
      <c r="U5" s="58">
        <f>'12.22'!U35</f>
        <v>1533000</v>
      </c>
      <c r="V5" s="58">
        <f>'12.22'!V35</f>
        <v>570142.93000000005</v>
      </c>
      <c r="W5" s="58">
        <f>'12.22'!W35</f>
        <v>0</v>
      </c>
      <c r="X5" s="58">
        <f>'12.22'!X35</f>
        <v>0</v>
      </c>
      <c r="Y5" s="58">
        <f>'12.22'!Y35</f>
        <v>1004000</v>
      </c>
      <c r="Z5" s="86">
        <f>'12.22'!Z35</f>
        <v>127257.99</v>
      </c>
      <c r="AA5" s="58" t="e">
        <f>#REF!</f>
        <v>#REF!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>
        <v>183734.39999999999</v>
      </c>
      <c r="AH5" s="127"/>
      <c r="AI5" s="126"/>
      <c r="AJ5" s="99"/>
      <c r="AK5" s="91"/>
      <c r="AL5" s="21"/>
      <c r="AM5" s="21"/>
    </row>
    <row r="6" spans="1:40" ht="13.2" customHeight="1" thickBot="1" x14ac:dyDescent="0.35">
      <c r="A6" s="52">
        <v>44928</v>
      </c>
      <c r="B6" s="28"/>
      <c r="C6" s="30"/>
      <c r="D6" s="22">
        <f>'12.22'!AI13+'12.22'!AI16</f>
        <v>72.573999999999998</v>
      </c>
      <c r="E6" s="43">
        <f t="shared" ref="E6:E35" si="2">E5+D6-B6-C6</f>
        <v>524.09000000000026</v>
      </c>
      <c r="F6" s="51">
        <f t="shared" ref="F6:F35" si="3">C6</f>
        <v>0</v>
      </c>
      <c r="G6" s="9"/>
      <c r="H6" s="10"/>
      <c r="I6" s="161">
        <f t="shared" ref="I6:I35" si="4">I5+F6-G6-H6</f>
        <v>7.0399999999999983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1.4689999999999994</v>
      </c>
      <c r="P6" s="48"/>
      <c r="Q6" s="47">
        <f t="shared" si="1"/>
        <v>532.59900000000027</v>
      </c>
      <c r="R6" s="165">
        <f t="shared" ref="R6:R35" si="6">B6+G6+H6+J6</f>
        <v>0</v>
      </c>
      <c r="S6" s="160">
        <v>0</v>
      </c>
      <c r="T6" s="58"/>
      <c r="U6" s="58">
        <v>1533000</v>
      </c>
      <c r="V6" s="58">
        <v>570142.93000000005</v>
      </c>
      <c r="W6" s="58">
        <v>0</v>
      </c>
      <c r="X6" s="58">
        <v>0</v>
      </c>
      <c r="Y6" s="58">
        <v>1004000</v>
      </c>
      <c r="Z6" s="86">
        <v>127257.99</v>
      </c>
      <c r="AA6" s="58">
        <v>0</v>
      </c>
      <c r="AB6" s="58">
        <v>0</v>
      </c>
      <c r="AC6" s="58">
        <v>0</v>
      </c>
      <c r="AD6" s="58">
        <v>76674</v>
      </c>
      <c r="AE6" s="58">
        <v>0</v>
      </c>
      <c r="AF6" s="58">
        <v>0</v>
      </c>
      <c r="AG6" s="58">
        <v>183734.39999999999</v>
      </c>
      <c r="AH6" s="123"/>
      <c r="AI6" s="122"/>
      <c r="AJ6" s="99"/>
      <c r="AK6" s="21"/>
      <c r="AL6" s="21"/>
      <c r="AM6" s="21"/>
    </row>
    <row r="7" spans="1:40" ht="13.2" customHeight="1" thickBot="1" x14ac:dyDescent="0.35">
      <c r="A7" s="52">
        <v>44929</v>
      </c>
      <c r="B7" s="28"/>
      <c r="C7" s="30"/>
      <c r="D7" s="186"/>
      <c r="E7" s="43">
        <f t="shared" si="2"/>
        <v>524.09000000000026</v>
      </c>
      <c r="F7" s="51">
        <f t="shared" si="3"/>
        <v>0</v>
      </c>
      <c r="G7" s="9"/>
      <c r="H7" s="10"/>
      <c r="I7" s="161">
        <f t="shared" si="4"/>
        <v>7.0399999999999983</v>
      </c>
      <c r="J7" s="8"/>
      <c r="K7" s="11"/>
      <c r="L7" s="12"/>
      <c r="M7" s="51">
        <f t="shared" si="0"/>
        <v>0</v>
      </c>
      <c r="N7" s="24">
        <v>0.03</v>
      </c>
      <c r="O7" s="47">
        <f t="shared" si="5"/>
        <v>1.4389999999999994</v>
      </c>
      <c r="P7" s="48"/>
      <c r="Q7" s="47">
        <f t="shared" si="1"/>
        <v>532.56900000000019</v>
      </c>
      <c r="R7" s="165">
        <f t="shared" si="6"/>
        <v>0</v>
      </c>
      <c r="S7" s="160">
        <f>AI7</f>
        <v>66.736000000000004</v>
      </c>
      <c r="T7" s="58"/>
      <c r="U7" s="157">
        <f>1533000-AI7*M48</f>
        <v>636068.15999999992</v>
      </c>
      <c r="V7" s="58">
        <v>570142.93000000005</v>
      </c>
      <c r="W7" s="58">
        <v>0</v>
      </c>
      <c r="X7" s="58">
        <v>0</v>
      </c>
      <c r="Y7" s="58">
        <v>1004000</v>
      </c>
      <c r="Z7" s="86">
        <v>127257.99</v>
      </c>
      <c r="AA7" s="58">
        <v>0</v>
      </c>
      <c r="AB7" s="58">
        <v>0</v>
      </c>
      <c r="AC7" s="58">
        <v>0</v>
      </c>
      <c r="AD7" s="58">
        <v>76674</v>
      </c>
      <c r="AE7" s="58">
        <v>0</v>
      </c>
      <c r="AF7" s="58">
        <v>0</v>
      </c>
      <c r="AG7" s="58">
        <v>183734.39999999999</v>
      </c>
      <c r="AH7" s="128" t="s">
        <v>48</v>
      </c>
      <c r="AI7" s="120">
        <v>66.736000000000004</v>
      </c>
      <c r="AJ7" s="99" t="s">
        <v>109</v>
      </c>
      <c r="AK7" s="91">
        <v>58251919</v>
      </c>
      <c r="AL7" s="21"/>
      <c r="AM7" s="21"/>
    </row>
    <row r="8" spans="1:40" ht="12.75" customHeight="1" thickBot="1" x14ac:dyDescent="0.35">
      <c r="A8" s="52">
        <v>44930</v>
      </c>
      <c r="B8" s="28">
        <v>43.72</v>
      </c>
      <c r="C8" s="30"/>
      <c r="D8" s="186"/>
      <c r="E8" s="43">
        <f t="shared" si="2"/>
        <v>480.37000000000023</v>
      </c>
      <c r="F8" s="51">
        <f t="shared" si="3"/>
        <v>0</v>
      </c>
      <c r="G8" s="9"/>
      <c r="H8" s="10"/>
      <c r="I8" s="161">
        <f t="shared" si="4"/>
        <v>7.0399999999999983</v>
      </c>
      <c r="J8" s="8"/>
      <c r="K8" s="11"/>
      <c r="L8" s="12"/>
      <c r="M8" s="51">
        <f t="shared" si="0"/>
        <v>0</v>
      </c>
      <c r="N8" s="24">
        <v>0.122</v>
      </c>
      <c r="O8" s="47">
        <f t="shared" si="5"/>
        <v>1.3169999999999993</v>
      </c>
      <c r="P8" s="48"/>
      <c r="Q8" s="47">
        <f t="shared" si="1"/>
        <v>488.72700000000026</v>
      </c>
      <c r="R8" s="165">
        <f t="shared" si="6"/>
        <v>43.72</v>
      </c>
      <c r="S8" s="160">
        <f>AI7+AI8</f>
        <v>104.386</v>
      </c>
      <c r="T8" s="59">
        <f>T5-AI8*M43</f>
        <v>466473.9</v>
      </c>
      <c r="U8" s="82">
        <v>636068.15999999992</v>
      </c>
      <c r="V8" s="212">
        <v>570142.93000000005</v>
      </c>
      <c r="W8" s="58">
        <v>0</v>
      </c>
      <c r="X8" s="58">
        <v>0</v>
      </c>
      <c r="Y8" s="58">
        <v>1004000</v>
      </c>
      <c r="Z8" s="86">
        <v>127257.99</v>
      </c>
      <c r="AA8" s="58">
        <v>0</v>
      </c>
      <c r="AB8" s="58">
        <v>0</v>
      </c>
      <c r="AC8" s="58">
        <v>0</v>
      </c>
      <c r="AD8" s="58">
        <v>76674</v>
      </c>
      <c r="AE8" s="58">
        <v>0</v>
      </c>
      <c r="AF8" s="58">
        <v>0</v>
      </c>
      <c r="AG8" s="58">
        <v>183734.39999999999</v>
      </c>
      <c r="AH8" s="127" t="s">
        <v>43</v>
      </c>
      <c r="AI8" s="126">
        <v>37.65</v>
      </c>
      <c r="AJ8" s="99" t="s">
        <v>112</v>
      </c>
      <c r="AK8" s="91">
        <v>57757015</v>
      </c>
      <c r="AL8" s="239"/>
      <c r="AM8" s="21"/>
    </row>
    <row r="9" spans="1:40" ht="13.2" customHeight="1" thickBot="1" x14ac:dyDescent="0.35">
      <c r="A9" s="52">
        <v>44931</v>
      </c>
      <c r="B9" s="28"/>
      <c r="C9" s="30"/>
      <c r="D9" s="186"/>
      <c r="E9" s="43">
        <f t="shared" si="2"/>
        <v>480.37000000000023</v>
      </c>
      <c r="F9" s="51">
        <f t="shared" si="3"/>
        <v>0</v>
      </c>
      <c r="G9" s="9"/>
      <c r="H9" s="10"/>
      <c r="I9" s="161">
        <f t="shared" si="4"/>
        <v>7.0399999999999983</v>
      </c>
      <c r="J9" s="8"/>
      <c r="K9" s="11"/>
      <c r="L9" s="12"/>
      <c r="M9" s="51">
        <f t="shared" si="0"/>
        <v>0</v>
      </c>
      <c r="N9" s="24"/>
      <c r="O9" s="47">
        <f t="shared" si="5"/>
        <v>1.3169999999999993</v>
      </c>
      <c r="P9" s="48"/>
      <c r="Q9" s="47">
        <f t="shared" si="1"/>
        <v>488.72700000000026</v>
      </c>
      <c r="R9" s="165">
        <f t="shared" si="6"/>
        <v>0</v>
      </c>
      <c r="S9" s="160">
        <f>S8+AI9</f>
        <v>137.58499999999998</v>
      </c>
      <c r="T9" s="86"/>
      <c r="U9" s="82">
        <v>636068.15999999992</v>
      </c>
      <c r="V9" s="212">
        <v>570142.93000000005</v>
      </c>
      <c r="W9" s="80"/>
      <c r="X9" s="184"/>
      <c r="Y9" s="107">
        <f>Y8-AI9*M46</f>
        <v>557805.43999999994</v>
      </c>
      <c r="Z9" s="86">
        <v>127257.99</v>
      </c>
      <c r="AA9" s="87">
        <v>0</v>
      </c>
      <c r="AB9" s="80">
        <v>0</v>
      </c>
      <c r="AC9" s="230">
        <v>0</v>
      </c>
      <c r="AD9" s="87">
        <v>76674</v>
      </c>
      <c r="AE9" s="55">
        <v>0</v>
      </c>
      <c r="AF9" s="14">
        <v>0</v>
      </c>
      <c r="AG9" s="58">
        <v>183734.39999999999</v>
      </c>
      <c r="AH9" s="123" t="s">
        <v>49</v>
      </c>
      <c r="AI9" s="122">
        <v>33.198999999999998</v>
      </c>
      <c r="AJ9" s="99" t="s">
        <v>113</v>
      </c>
      <c r="AK9" s="91">
        <v>58258617</v>
      </c>
      <c r="AL9" s="99"/>
      <c r="AM9" s="21"/>
      <c r="AN9" s="21"/>
    </row>
    <row r="10" spans="1:40" s="1" customFormat="1" ht="13.2" customHeight="1" thickBot="1" x14ac:dyDescent="0.35">
      <c r="A10" s="52">
        <v>44932</v>
      </c>
      <c r="B10" s="28">
        <v>21.92</v>
      </c>
      <c r="C10" s="30"/>
      <c r="D10" s="186"/>
      <c r="E10" s="43">
        <f t="shared" si="2"/>
        <v>458.45000000000022</v>
      </c>
      <c r="F10" s="51">
        <f t="shared" si="3"/>
        <v>0</v>
      </c>
      <c r="G10" s="30"/>
      <c r="H10" s="10"/>
      <c r="I10" s="161">
        <f t="shared" si="4"/>
        <v>7.0399999999999983</v>
      </c>
      <c r="J10" s="8"/>
      <c r="K10" s="11"/>
      <c r="L10" s="12"/>
      <c r="M10" s="51">
        <f t="shared" si="0"/>
        <v>0</v>
      </c>
      <c r="N10" s="24"/>
      <c r="O10" s="47">
        <f t="shared" si="5"/>
        <v>1.3169999999999993</v>
      </c>
      <c r="P10" s="48"/>
      <c r="Q10" s="47">
        <f t="shared" si="1"/>
        <v>466.80700000000024</v>
      </c>
      <c r="R10" s="165">
        <f t="shared" si="6"/>
        <v>21.92</v>
      </c>
      <c r="S10" s="160">
        <v>137.58499999999998</v>
      </c>
      <c r="T10" s="86"/>
      <c r="U10" s="82">
        <v>636068.15999999992</v>
      </c>
      <c r="V10" s="212">
        <v>570142.93000000005</v>
      </c>
      <c r="W10" s="80"/>
      <c r="X10" s="184"/>
      <c r="Y10" s="58">
        <v>557805.43999999994</v>
      </c>
      <c r="Z10" s="86">
        <v>127257.99</v>
      </c>
      <c r="AA10" s="87"/>
      <c r="AB10" s="80"/>
      <c r="AC10" s="187"/>
      <c r="AD10" s="87">
        <v>0</v>
      </c>
      <c r="AE10" s="55"/>
      <c r="AF10" s="136"/>
      <c r="AG10" s="58">
        <v>0</v>
      </c>
      <c r="AH10" s="128"/>
      <c r="AI10" s="120"/>
      <c r="AJ10" s="99"/>
      <c r="AK10" s="91"/>
      <c r="AL10" s="239"/>
      <c r="AM10" s="27"/>
      <c r="AN10" s="27"/>
    </row>
    <row r="11" spans="1:40" ht="13.2" customHeight="1" thickBot="1" x14ac:dyDescent="0.35">
      <c r="A11" s="52">
        <v>44933</v>
      </c>
      <c r="B11" s="28"/>
      <c r="C11" s="30"/>
      <c r="D11" s="186"/>
      <c r="E11" s="43">
        <f t="shared" si="2"/>
        <v>458.45000000000022</v>
      </c>
      <c r="F11" s="51">
        <f t="shared" si="3"/>
        <v>0</v>
      </c>
      <c r="G11" s="9"/>
      <c r="H11" s="10"/>
      <c r="I11" s="161">
        <f t="shared" si="4"/>
        <v>7.0399999999999983</v>
      </c>
      <c r="J11" s="8"/>
      <c r="K11" s="11"/>
      <c r="L11" s="12"/>
      <c r="M11" s="51">
        <f t="shared" si="0"/>
        <v>0</v>
      </c>
      <c r="N11" s="24"/>
      <c r="O11" s="47">
        <f t="shared" si="5"/>
        <v>1.3169999999999993</v>
      </c>
      <c r="P11" s="48"/>
      <c r="Q11" s="47">
        <f t="shared" si="1"/>
        <v>466.80700000000024</v>
      </c>
      <c r="R11" s="165">
        <f t="shared" si="6"/>
        <v>0</v>
      </c>
      <c r="S11" s="160">
        <v>137.58499999999998</v>
      </c>
      <c r="T11" s="86"/>
      <c r="U11" s="82">
        <v>636068.15999999992</v>
      </c>
      <c r="V11" s="212">
        <v>570142.93000000005</v>
      </c>
      <c r="W11" s="80"/>
      <c r="X11" s="85"/>
      <c r="Y11" s="58">
        <v>557805.43999999994</v>
      </c>
      <c r="Z11" s="86">
        <v>127257.99</v>
      </c>
      <c r="AA11" s="87"/>
      <c r="AB11" s="80"/>
      <c r="AC11" s="230"/>
      <c r="AD11" s="87">
        <v>0</v>
      </c>
      <c r="AE11" s="55"/>
      <c r="AF11" s="14"/>
      <c r="AG11" s="86">
        <v>0</v>
      </c>
      <c r="AH11" s="123"/>
      <c r="AI11" s="122"/>
      <c r="AJ11" s="103"/>
      <c r="AK11" s="91"/>
      <c r="AL11" s="21"/>
      <c r="AM11" s="21"/>
      <c r="AN11" s="21"/>
    </row>
    <row r="12" spans="1:40" ht="13.2" customHeight="1" thickBot="1" x14ac:dyDescent="0.35">
      <c r="A12" s="52">
        <v>44934</v>
      </c>
      <c r="B12" s="28"/>
      <c r="C12" s="30"/>
      <c r="D12" s="186"/>
      <c r="E12" s="43">
        <f t="shared" si="2"/>
        <v>458.45000000000022</v>
      </c>
      <c r="F12" s="51">
        <f t="shared" si="3"/>
        <v>0</v>
      </c>
      <c r="G12" s="30"/>
      <c r="H12" s="24"/>
      <c r="I12" s="161">
        <f t="shared" si="4"/>
        <v>7.0399999999999983</v>
      </c>
      <c r="J12" s="8"/>
      <c r="K12" s="11"/>
      <c r="L12" s="12"/>
      <c r="M12" s="51">
        <f t="shared" si="0"/>
        <v>0</v>
      </c>
      <c r="N12" s="24"/>
      <c r="O12" s="47">
        <f t="shared" si="5"/>
        <v>1.3169999999999993</v>
      </c>
      <c r="P12" s="48"/>
      <c r="Q12" s="47">
        <f t="shared" si="1"/>
        <v>466.80700000000024</v>
      </c>
      <c r="R12" s="165">
        <f t="shared" si="6"/>
        <v>0</v>
      </c>
      <c r="S12" s="160">
        <v>137.58499999999998</v>
      </c>
      <c r="T12" s="86"/>
      <c r="U12" s="82">
        <v>636068.15999999992</v>
      </c>
      <c r="V12" s="212">
        <v>570142.93000000005</v>
      </c>
      <c r="W12" s="80"/>
      <c r="X12" s="85"/>
      <c r="Y12" s="58">
        <v>557805.43999999994</v>
      </c>
      <c r="Z12" s="86">
        <v>127257.99</v>
      </c>
      <c r="AA12" s="86"/>
      <c r="AB12" s="80"/>
      <c r="AC12" s="187"/>
      <c r="AD12" s="87">
        <v>0</v>
      </c>
      <c r="AE12" s="55"/>
      <c r="AF12" s="14"/>
      <c r="AG12" s="86">
        <v>0</v>
      </c>
      <c r="AH12" s="123"/>
      <c r="AI12" s="122"/>
      <c r="AJ12" s="103"/>
      <c r="AK12" s="91"/>
      <c r="AL12" s="21"/>
      <c r="AM12" s="21"/>
      <c r="AN12" s="21"/>
    </row>
    <row r="13" spans="1:40" ht="13.2" customHeight="1" thickBot="1" x14ac:dyDescent="0.35">
      <c r="A13" s="7">
        <v>44935</v>
      </c>
      <c r="B13" s="28">
        <v>14.09</v>
      </c>
      <c r="C13" s="30">
        <v>1.1220000000000001</v>
      </c>
      <c r="D13" s="186">
        <f>AI7+AI8</f>
        <v>104.386</v>
      </c>
      <c r="E13" s="43">
        <f t="shared" si="2"/>
        <v>547.62400000000025</v>
      </c>
      <c r="F13" s="51">
        <f t="shared" si="3"/>
        <v>1.1220000000000001</v>
      </c>
      <c r="G13" s="9">
        <f>1.162-H13</f>
        <v>1.1619999999999999</v>
      </c>
      <c r="H13" s="10"/>
      <c r="I13" s="161">
        <f t="shared" si="4"/>
        <v>6.9999999999999991</v>
      </c>
      <c r="J13" s="8"/>
      <c r="K13" s="26"/>
      <c r="L13" s="12"/>
      <c r="M13" s="51">
        <f t="shared" si="0"/>
        <v>0</v>
      </c>
      <c r="N13" s="24">
        <v>0.41899999999999998</v>
      </c>
      <c r="O13" s="47">
        <f t="shared" si="5"/>
        <v>0.89799999999999924</v>
      </c>
      <c r="P13" s="48"/>
      <c r="Q13" s="47">
        <f t="shared" si="1"/>
        <v>555.52200000000028</v>
      </c>
      <c r="R13" s="165">
        <f t="shared" si="6"/>
        <v>15.251999999999999</v>
      </c>
      <c r="S13" s="160">
        <f>AI9+AI13</f>
        <v>67.498999999999995</v>
      </c>
      <c r="T13" s="88">
        <f>T8-AI13*M43</f>
        <v>28325.70000000007</v>
      </c>
      <c r="U13" s="82">
        <v>636068.15999999992</v>
      </c>
      <c r="V13" s="212">
        <v>570142.93000000005</v>
      </c>
      <c r="W13" s="80"/>
      <c r="X13" s="85"/>
      <c r="Y13" s="58">
        <v>557805.43999999994</v>
      </c>
      <c r="Z13" s="86">
        <v>127257.99</v>
      </c>
      <c r="AA13" s="86"/>
      <c r="AB13" s="80"/>
      <c r="AC13" s="187"/>
      <c r="AD13" s="87">
        <v>0</v>
      </c>
      <c r="AE13" s="55"/>
      <c r="AF13" s="14"/>
      <c r="AG13" s="86">
        <v>0</v>
      </c>
      <c r="AH13" s="127" t="s">
        <v>43</v>
      </c>
      <c r="AI13" s="126">
        <v>34.299999999999997</v>
      </c>
      <c r="AJ13" s="99" t="s">
        <v>114</v>
      </c>
      <c r="AK13" s="91">
        <v>50863935</v>
      </c>
      <c r="AL13" s="135"/>
      <c r="AM13" s="21"/>
      <c r="AN13" s="21"/>
    </row>
    <row r="14" spans="1:40" ht="13.2" customHeight="1" thickBot="1" x14ac:dyDescent="0.35">
      <c r="A14" s="7">
        <v>44936</v>
      </c>
      <c r="B14" s="28">
        <v>1.69</v>
      </c>
      <c r="C14" s="30">
        <v>2.1349999999999998</v>
      </c>
      <c r="D14" s="186"/>
      <c r="E14" s="43">
        <f t="shared" si="2"/>
        <v>543.79900000000021</v>
      </c>
      <c r="F14" s="51">
        <f t="shared" si="3"/>
        <v>2.1349999999999998</v>
      </c>
      <c r="G14" s="30">
        <f>3.315-H14</f>
        <v>2.48</v>
      </c>
      <c r="H14" s="24">
        <v>0.83499999999999996</v>
      </c>
      <c r="I14" s="161">
        <f t="shared" si="4"/>
        <v>5.8199999999999976</v>
      </c>
      <c r="J14" s="8"/>
      <c r="K14" s="11"/>
      <c r="L14" s="12"/>
      <c r="M14" s="51">
        <f t="shared" si="0"/>
        <v>0.83499999999999996</v>
      </c>
      <c r="N14" s="24">
        <v>0.127</v>
      </c>
      <c r="O14" s="47">
        <f t="shared" si="5"/>
        <v>1.6059999999999992</v>
      </c>
      <c r="P14" s="48"/>
      <c r="Q14" s="47">
        <f t="shared" si="1"/>
        <v>551.22500000000025</v>
      </c>
      <c r="R14" s="165">
        <f t="shared" si="6"/>
        <v>5.0049999999999999</v>
      </c>
      <c r="S14" s="160">
        <v>67.498999999999995</v>
      </c>
      <c r="T14" s="86">
        <f>T13+77000</f>
        <v>105325.70000000007</v>
      </c>
      <c r="U14" s="86">
        <v>636068.15999999992</v>
      </c>
      <c r="V14" s="86">
        <v>570142.93000000005</v>
      </c>
      <c r="W14" s="80"/>
      <c r="X14" s="85"/>
      <c r="Y14" s="58">
        <v>557805.43999999994</v>
      </c>
      <c r="Z14" s="86">
        <v>127257.99</v>
      </c>
      <c r="AA14" s="86"/>
      <c r="AB14" s="80"/>
      <c r="AC14" s="190"/>
      <c r="AD14" s="87">
        <v>0</v>
      </c>
      <c r="AE14" s="55"/>
      <c r="AF14" s="14"/>
      <c r="AG14" s="86">
        <v>0</v>
      </c>
      <c r="AH14" s="128"/>
      <c r="AI14" s="120"/>
      <c r="AJ14" s="208"/>
      <c r="AK14" s="91"/>
      <c r="AL14" s="239"/>
      <c r="AM14" s="21"/>
      <c r="AN14" s="21"/>
    </row>
    <row r="15" spans="1:40" ht="13.2" customHeight="1" thickBot="1" x14ac:dyDescent="0.35">
      <c r="A15" s="7">
        <v>44937</v>
      </c>
      <c r="B15" s="28">
        <v>20.38</v>
      </c>
      <c r="C15" s="30">
        <v>3.9620000000000002</v>
      </c>
      <c r="D15" s="186"/>
      <c r="E15" s="43">
        <f t="shared" si="2"/>
        <v>519.45700000000022</v>
      </c>
      <c r="F15" s="51">
        <f t="shared" si="3"/>
        <v>3.9620000000000002</v>
      </c>
      <c r="G15" s="9">
        <f>1.982-H15</f>
        <v>1.982</v>
      </c>
      <c r="H15" s="10"/>
      <c r="I15" s="161">
        <f t="shared" si="4"/>
        <v>7.799999999999998</v>
      </c>
      <c r="J15" s="8"/>
      <c r="K15" s="11"/>
      <c r="L15" s="12"/>
      <c r="M15" s="51">
        <f>H15</f>
        <v>0</v>
      </c>
      <c r="N15" s="24">
        <v>0.2</v>
      </c>
      <c r="O15" s="47">
        <f t="shared" si="5"/>
        <v>1.4059999999999993</v>
      </c>
      <c r="P15" s="48"/>
      <c r="Q15" s="47">
        <f t="shared" si="1"/>
        <v>528.66300000000012</v>
      </c>
      <c r="R15" s="165">
        <f t="shared" si="6"/>
        <v>22.361999999999998</v>
      </c>
      <c r="S15" s="160">
        <v>67.498999999999995</v>
      </c>
      <c r="T15" s="86"/>
      <c r="U15" s="157">
        <f>636068.16-AI15*M48</f>
        <v>135656.64000000007</v>
      </c>
      <c r="V15" s="86">
        <v>570142.93000000005</v>
      </c>
      <c r="W15" s="80"/>
      <c r="X15" s="85"/>
      <c r="Y15" s="58">
        <v>557805.43999999994</v>
      </c>
      <c r="Z15" s="86">
        <v>127257.99</v>
      </c>
      <c r="AA15" s="86"/>
      <c r="AB15" s="80"/>
      <c r="AC15" s="79"/>
      <c r="AD15" s="87">
        <v>0</v>
      </c>
      <c r="AE15" s="55"/>
      <c r="AF15" s="14"/>
      <c r="AG15" s="86">
        <v>0</v>
      </c>
      <c r="AH15" s="128" t="s">
        <v>48</v>
      </c>
      <c r="AI15" s="120">
        <v>37.232999999999997</v>
      </c>
      <c r="AJ15" s="208" t="s">
        <v>115</v>
      </c>
      <c r="AK15" s="91">
        <v>76625458</v>
      </c>
      <c r="AL15" s="239"/>
      <c r="AM15" s="21"/>
      <c r="AN15" s="21"/>
    </row>
    <row r="16" spans="1:40" ht="13.2" customHeight="1" thickBot="1" x14ac:dyDescent="0.35">
      <c r="A16" s="7">
        <v>44938</v>
      </c>
      <c r="B16" s="28">
        <v>47.6</v>
      </c>
      <c r="C16" s="30">
        <v>0</v>
      </c>
      <c r="D16" s="186">
        <f>AI9</f>
        <v>33.198999999999998</v>
      </c>
      <c r="E16" s="43">
        <f t="shared" si="2"/>
        <v>505.05600000000015</v>
      </c>
      <c r="F16" s="51">
        <f t="shared" si="3"/>
        <v>0</v>
      </c>
      <c r="G16" s="9">
        <v>0.24</v>
      </c>
      <c r="H16" s="10"/>
      <c r="I16" s="161">
        <f t="shared" si="4"/>
        <v>7.5599999999999978</v>
      </c>
      <c r="J16" s="8"/>
      <c r="K16" s="11"/>
      <c r="L16" s="12"/>
      <c r="M16" s="51">
        <f t="shared" si="0"/>
        <v>0</v>
      </c>
      <c r="N16" s="24">
        <v>0.193</v>
      </c>
      <c r="O16" s="47">
        <f t="shared" si="5"/>
        <v>1.2129999999999992</v>
      </c>
      <c r="P16" s="48"/>
      <c r="Q16" s="47">
        <f t="shared" si="1"/>
        <v>513.82900000000006</v>
      </c>
      <c r="R16" s="165">
        <f t="shared" si="6"/>
        <v>47.84</v>
      </c>
      <c r="S16" s="160">
        <f>AI13+AI15</f>
        <v>71.532999999999987</v>
      </c>
      <c r="T16" s="86">
        <f>T14+424000</f>
        <v>529325.70000000007</v>
      </c>
      <c r="U16" s="86">
        <f>135656.64+657000+95000</f>
        <v>887656.64</v>
      </c>
      <c r="V16" s="86">
        <v>570142.93000000005</v>
      </c>
      <c r="W16" s="80"/>
      <c r="X16" s="85"/>
      <c r="Y16" s="58">
        <f>557805.44+430000</f>
        <v>987805.44</v>
      </c>
      <c r="Z16" s="86">
        <v>127257.99</v>
      </c>
      <c r="AA16" s="86"/>
      <c r="AB16" s="80"/>
      <c r="AC16" s="230"/>
      <c r="AD16" s="87">
        <v>0</v>
      </c>
      <c r="AE16" s="55"/>
      <c r="AF16" s="14"/>
      <c r="AG16" s="86">
        <v>0</v>
      </c>
      <c r="AH16" s="123"/>
      <c r="AI16" s="122"/>
      <c r="AJ16" s="208"/>
      <c r="AK16" s="91"/>
      <c r="AL16" s="239"/>
      <c r="AM16" s="21"/>
      <c r="AN16" s="21"/>
    </row>
    <row r="17" spans="1:40" s="1" customFormat="1" ht="13.2" customHeight="1" thickBot="1" x14ac:dyDescent="0.35">
      <c r="A17" s="7">
        <v>44939</v>
      </c>
      <c r="B17" s="28">
        <v>45.92</v>
      </c>
      <c r="C17" s="30">
        <v>1.7909999999999999</v>
      </c>
      <c r="D17" s="186"/>
      <c r="E17" s="43">
        <f t="shared" si="2"/>
        <v>457.34500000000014</v>
      </c>
      <c r="F17" s="51">
        <f t="shared" si="3"/>
        <v>1.7909999999999999</v>
      </c>
      <c r="G17" s="9">
        <f>1.351-H17</f>
        <v>0.71199999999999997</v>
      </c>
      <c r="H17" s="10">
        <v>0.63900000000000001</v>
      </c>
      <c r="I17" s="161">
        <f t="shared" si="4"/>
        <v>7.9999999999999973</v>
      </c>
      <c r="J17" s="4"/>
      <c r="K17" s="5"/>
      <c r="L17" s="6"/>
      <c r="M17" s="51">
        <f t="shared" si="0"/>
        <v>0.63900000000000001</v>
      </c>
      <c r="N17" s="24">
        <v>0.23</v>
      </c>
      <c r="O17" s="47">
        <f t="shared" si="5"/>
        <v>1.6219999999999992</v>
      </c>
      <c r="P17" s="49"/>
      <c r="Q17" s="47">
        <f t="shared" si="1"/>
        <v>466.96700000000016</v>
      </c>
      <c r="R17" s="165">
        <f t="shared" si="6"/>
        <v>47.271000000000008</v>
      </c>
      <c r="S17" s="160">
        <v>71.532999999999987</v>
      </c>
      <c r="T17" s="86"/>
      <c r="U17" s="86">
        <v>887656.64</v>
      </c>
      <c r="V17" s="86">
        <v>570142.93000000005</v>
      </c>
      <c r="W17" s="80"/>
      <c r="X17" s="85"/>
      <c r="Y17" s="58">
        <v>987805.44</v>
      </c>
      <c r="Z17" s="86">
        <v>127257.99</v>
      </c>
      <c r="AA17" s="86"/>
      <c r="AB17" s="80"/>
      <c r="AC17" s="187"/>
      <c r="AD17" s="87">
        <v>0</v>
      </c>
      <c r="AE17" s="55"/>
      <c r="AF17" s="14"/>
      <c r="AG17" s="86">
        <v>0</v>
      </c>
      <c r="AH17" s="123"/>
      <c r="AI17" s="122"/>
      <c r="AJ17" s="21"/>
      <c r="AK17" s="91"/>
      <c r="AL17" s="130"/>
      <c r="AM17" s="99"/>
      <c r="AN17" s="27"/>
    </row>
    <row r="18" spans="1:40" ht="13.2" customHeight="1" thickBot="1" x14ac:dyDescent="0.35">
      <c r="A18" s="52">
        <v>44940</v>
      </c>
      <c r="B18" s="28"/>
      <c r="C18" s="30"/>
      <c r="D18" s="186"/>
      <c r="E18" s="43">
        <f t="shared" si="2"/>
        <v>457.34500000000014</v>
      </c>
      <c r="F18" s="51">
        <f t="shared" si="3"/>
        <v>0</v>
      </c>
      <c r="G18" s="9"/>
      <c r="H18" s="10"/>
      <c r="I18" s="161">
        <f t="shared" si="4"/>
        <v>7.9999999999999973</v>
      </c>
      <c r="J18" s="8"/>
      <c r="K18" s="11"/>
      <c r="L18" s="12"/>
      <c r="M18" s="51">
        <f t="shared" si="0"/>
        <v>0</v>
      </c>
      <c r="N18" s="24"/>
      <c r="O18" s="47">
        <f t="shared" si="5"/>
        <v>1.6219999999999992</v>
      </c>
      <c r="P18" s="48"/>
      <c r="Q18" s="47">
        <f t="shared" si="1"/>
        <v>466.96700000000016</v>
      </c>
      <c r="R18" s="165">
        <f t="shared" si="6"/>
        <v>0</v>
      </c>
      <c r="S18" s="160">
        <f>AI13+AI15+AI18</f>
        <v>109.75699999999998</v>
      </c>
      <c r="T18" s="86"/>
      <c r="U18" s="86">
        <v>887656.64</v>
      </c>
      <c r="V18" s="86">
        <v>570142.93000000005</v>
      </c>
      <c r="W18" s="80"/>
      <c r="X18" s="85"/>
      <c r="Y18" s="107">
        <f>Y17-AI18*M46</f>
        <v>474074.88</v>
      </c>
      <c r="Z18" s="86">
        <v>127257.99</v>
      </c>
      <c r="AA18" s="86"/>
      <c r="AB18" s="80"/>
      <c r="AC18" s="187"/>
      <c r="AD18" s="87">
        <v>0</v>
      </c>
      <c r="AE18" s="55"/>
      <c r="AF18" s="14"/>
      <c r="AG18" s="86">
        <v>0</v>
      </c>
      <c r="AH18" s="123" t="s">
        <v>49</v>
      </c>
      <c r="AI18" s="122">
        <v>38.223999999999997</v>
      </c>
      <c r="AJ18" s="208" t="s">
        <v>118</v>
      </c>
      <c r="AK18" s="91">
        <v>54628326</v>
      </c>
      <c r="AL18" s="239"/>
      <c r="AM18" s="21"/>
      <c r="AN18" s="21"/>
    </row>
    <row r="19" spans="1:40" ht="13.2" customHeight="1" thickBot="1" x14ac:dyDescent="0.35">
      <c r="A19" s="52">
        <v>44941</v>
      </c>
      <c r="B19" s="28"/>
      <c r="C19" s="30"/>
      <c r="D19" s="186"/>
      <c r="E19" s="43">
        <f t="shared" si="2"/>
        <v>457.34500000000014</v>
      </c>
      <c r="F19" s="51">
        <f t="shared" si="3"/>
        <v>0</v>
      </c>
      <c r="G19" s="9"/>
      <c r="H19" s="10"/>
      <c r="I19" s="161">
        <f t="shared" si="4"/>
        <v>7.9999999999999973</v>
      </c>
      <c r="J19" s="8"/>
      <c r="K19" s="11"/>
      <c r="L19" s="12"/>
      <c r="M19" s="51">
        <f t="shared" si="0"/>
        <v>0</v>
      </c>
      <c r="N19" s="24"/>
      <c r="O19" s="47">
        <f t="shared" si="5"/>
        <v>1.6219999999999992</v>
      </c>
      <c r="P19" s="48"/>
      <c r="Q19" s="47">
        <f t="shared" si="1"/>
        <v>466.96700000000016</v>
      </c>
      <c r="R19" s="165">
        <f t="shared" si="6"/>
        <v>0</v>
      </c>
      <c r="S19" s="160">
        <v>109.75699999999998</v>
      </c>
      <c r="T19" s="86"/>
      <c r="U19" s="86">
        <v>887656.64</v>
      </c>
      <c r="V19" s="86">
        <v>570142.93000000005</v>
      </c>
      <c r="W19" s="80"/>
      <c r="X19" s="94"/>
      <c r="Y19" s="58">
        <v>474074.88</v>
      </c>
      <c r="Z19" s="86">
        <v>127257.99</v>
      </c>
      <c r="AA19" s="86"/>
      <c r="AB19" s="80"/>
      <c r="AC19" s="79"/>
      <c r="AD19" s="87">
        <v>0</v>
      </c>
      <c r="AE19" s="55"/>
      <c r="AF19" s="14"/>
      <c r="AG19" s="86">
        <v>0</v>
      </c>
      <c r="AH19" s="137"/>
      <c r="AI19" s="126"/>
      <c r="AJ19" s="103"/>
      <c r="AK19" s="91"/>
      <c r="AL19" s="239"/>
      <c r="AM19" s="21"/>
      <c r="AN19" s="21"/>
    </row>
    <row r="20" spans="1:40" ht="13.2" customHeight="1" thickBot="1" x14ac:dyDescent="0.35">
      <c r="A20" s="7">
        <v>44942</v>
      </c>
      <c r="B20" s="28">
        <v>15.51</v>
      </c>
      <c r="C20" s="30">
        <v>1.29</v>
      </c>
      <c r="D20" s="196"/>
      <c r="E20" s="43">
        <f t="shared" si="2"/>
        <v>440.54500000000013</v>
      </c>
      <c r="F20" s="51">
        <f t="shared" si="3"/>
        <v>1.29</v>
      </c>
      <c r="G20" s="9">
        <f>1.39-H20</f>
        <v>1.39</v>
      </c>
      <c r="H20" s="10"/>
      <c r="I20" s="161">
        <f t="shared" si="4"/>
        <v>7.8999999999999977</v>
      </c>
      <c r="J20" s="8"/>
      <c r="K20" s="11"/>
      <c r="L20" s="12"/>
      <c r="M20" s="51">
        <f t="shared" si="0"/>
        <v>0</v>
      </c>
      <c r="N20" s="24">
        <v>0.34300000000000003</v>
      </c>
      <c r="O20" s="47">
        <f t="shared" si="5"/>
        <v>1.2789999999999992</v>
      </c>
      <c r="P20" s="48"/>
      <c r="Q20" s="47">
        <f t="shared" si="1"/>
        <v>449.7240000000001</v>
      </c>
      <c r="R20" s="165">
        <f t="shared" si="6"/>
        <v>16.899999999999999</v>
      </c>
      <c r="S20" s="160">
        <v>109.75699999999998</v>
      </c>
      <c r="T20" s="86">
        <f>T16+848000</f>
        <v>1377325.7000000002</v>
      </c>
      <c r="U20" s="86">
        <v>887656.64</v>
      </c>
      <c r="V20" s="86">
        <v>570142.93000000005</v>
      </c>
      <c r="W20" s="80"/>
      <c r="X20" s="94"/>
      <c r="Y20" s="58">
        <v>474074.88</v>
      </c>
      <c r="Z20" s="86">
        <v>127257.99</v>
      </c>
      <c r="AA20" s="86"/>
      <c r="AB20" s="80"/>
      <c r="AC20" s="79"/>
      <c r="AD20" s="87">
        <v>0</v>
      </c>
      <c r="AE20" s="55"/>
      <c r="AF20" s="14"/>
      <c r="AG20" s="86">
        <v>0</v>
      </c>
      <c r="AH20" s="137"/>
      <c r="AI20" s="126"/>
      <c r="AJ20" s="103"/>
      <c r="AK20" s="91"/>
      <c r="AL20" s="21"/>
      <c r="AM20" s="21"/>
      <c r="AN20" s="21"/>
    </row>
    <row r="21" spans="1:40" ht="13.2" customHeight="1" thickBot="1" x14ac:dyDescent="0.35">
      <c r="A21" s="7">
        <v>44943</v>
      </c>
      <c r="B21" s="28">
        <v>12.018000000000001</v>
      </c>
      <c r="C21" s="28">
        <v>3.1680000000000001</v>
      </c>
      <c r="D21" s="186">
        <f>AI15</f>
        <v>37.232999999999997</v>
      </c>
      <c r="E21" s="43">
        <f t="shared" si="2"/>
        <v>462.5920000000001</v>
      </c>
      <c r="F21" s="51">
        <f t="shared" si="3"/>
        <v>3.1680000000000001</v>
      </c>
      <c r="G21" s="9">
        <f>2.468-H21</f>
        <v>1.68</v>
      </c>
      <c r="H21" s="10">
        <v>0.78800000000000003</v>
      </c>
      <c r="I21" s="161">
        <f t="shared" si="4"/>
        <v>8.5999999999999979</v>
      </c>
      <c r="J21" s="8"/>
      <c r="K21" s="11"/>
      <c r="L21" s="12"/>
      <c r="M21" s="51">
        <f t="shared" si="0"/>
        <v>0.78800000000000003</v>
      </c>
      <c r="N21" s="24">
        <v>0.30299999999999999</v>
      </c>
      <c r="O21" s="47">
        <f t="shared" si="5"/>
        <v>1.7639999999999993</v>
      </c>
      <c r="P21" s="48"/>
      <c r="Q21" s="47">
        <f t="shared" si="1"/>
        <v>472.95600000000013</v>
      </c>
      <c r="R21" s="165">
        <f t="shared" si="6"/>
        <v>14.486000000000001</v>
      </c>
      <c r="S21" s="160">
        <f>AI18+AI21</f>
        <v>75.524000000000001</v>
      </c>
      <c r="T21" s="88">
        <f>T20-AI21*M43+96000</f>
        <v>996855.50000000023</v>
      </c>
      <c r="U21" s="86">
        <v>887656.64</v>
      </c>
      <c r="V21" s="86">
        <v>570142.93000000005</v>
      </c>
      <c r="W21" s="80"/>
      <c r="X21" s="94"/>
      <c r="Y21" s="58">
        <v>474074.88</v>
      </c>
      <c r="Z21" s="86">
        <v>127257.99</v>
      </c>
      <c r="AA21" s="86"/>
      <c r="AB21" s="80"/>
      <c r="AC21" s="79"/>
      <c r="AD21" s="87">
        <v>0</v>
      </c>
      <c r="AE21" s="55"/>
      <c r="AF21" s="14"/>
      <c r="AG21" s="86">
        <v>0</v>
      </c>
      <c r="AH21" s="127" t="s">
        <v>43</v>
      </c>
      <c r="AI21" s="126">
        <v>37.299999999999997</v>
      </c>
      <c r="AJ21" s="208" t="s">
        <v>119</v>
      </c>
      <c r="AK21" s="91">
        <v>76673219</v>
      </c>
      <c r="AL21" s="21"/>
      <c r="AM21" s="21"/>
      <c r="AN21" s="21"/>
    </row>
    <row r="22" spans="1:40" ht="13.2" customHeight="1" thickBot="1" x14ac:dyDescent="0.35">
      <c r="A22" s="7">
        <v>44944</v>
      </c>
      <c r="B22" s="156">
        <v>8.09</v>
      </c>
      <c r="C22" s="146">
        <v>0</v>
      </c>
      <c r="D22" s="186">
        <f>AI13</f>
        <v>34.299999999999997</v>
      </c>
      <c r="E22" s="43">
        <f t="shared" si="2"/>
        <v>488.80200000000013</v>
      </c>
      <c r="F22" s="51">
        <f t="shared" si="3"/>
        <v>0</v>
      </c>
      <c r="G22" s="9">
        <f>0.72-H22</f>
        <v>0.72</v>
      </c>
      <c r="H22" s="10"/>
      <c r="I22" s="161">
        <f t="shared" si="4"/>
        <v>7.8799999999999981</v>
      </c>
      <c r="J22" s="8"/>
      <c r="K22" s="11"/>
      <c r="L22" s="12"/>
      <c r="M22" s="51">
        <f t="shared" si="0"/>
        <v>0</v>
      </c>
      <c r="N22" s="24">
        <v>0.36599999999999999</v>
      </c>
      <c r="O22" s="47">
        <f t="shared" si="5"/>
        <v>1.3979999999999992</v>
      </c>
      <c r="P22" s="48"/>
      <c r="Q22" s="47">
        <f t="shared" si="1"/>
        <v>498.08000000000015</v>
      </c>
      <c r="R22" s="165">
        <f t="shared" si="6"/>
        <v>8.81</v>
      </c>
      <c r="S22" s="160">
        <v>75.524000000000001</v>
      </c>
      <c r="T22" s="86"/>
      <c r="U22" s="86">
        <v>887656.64</v>
      </c>
      <c r="V22" s="86">
        <v>570142.93000000005</v>
      </c>
      <c r="W22" s="66"/>
      <c r="X22" s="94"/>
      <c r="Y22" s="58">
        <v>474074.88</v>
      </c>
      <c r="Z22" s="86">
        <v>127257.99</v>
      </c>
      <c r="AA22" s="86"/>
      <c r="AB22" s="80"/>
      <c r="AC22" s="79"/>
      <c r="AD22" s="87">
        <v>0</v>
      </c>
      <c r="AE22" s="55"/>
      <c r="AF22" s="14"/>
      <c r="AG22" s="86">
        <v>0</v>
      </c>
      <c r="AH22" s="127"/>
      <c r="AI22" s="126"/>
      <c r="AJ22" s="103"/>
      <c r="AK22" s="91"/>
      <c r="AL22" s="21"/>
      <c r="AM22" s="21"/>
      <c r="AN22" s="21"/>
    </row>
    <row r="23" spans="1:40" ht="13.2" customHeight="1" thickBot="1" x14ac:dyDescent="0.35">
      <c r="A23" s="7">
        <v>44945</v>
      </c>
      <c r="B23" s="28">
        <v>11.11</v>
      </c>
      <c r="C23" s="30">
        <v>1.365</v>
      </c>
      <c r="D23" s="186"/>
      <c r="E23" s="43">
        <f t="shared" si="2"/>
        <v>476.32700000000011</v>
      </c>
      <c r="F23" s="51">
        <f t="shared" si="3"/>
        <v>1.365</v>
      </c>
      <c r="G23" s="9">
        <f>1.245-H23</f>
        <v>0.7400000000000001</v>
      </c>
      <c r="H23" s="10">
        <v>0.505</v>
      </c>
      <c r="I23" s="161">
        <f t="shared" si="4"/>
        <v>7.9999999999999973</v>
      </c>
      <c r="J23" s="8"/>
      <c r="K23" s="11"/>
      <c r="L23" s="12"/>
      <c r="M23" s="51">
        <f t="shared" si="0"/>
        <v>0.505</v>
      </c>
      <c r="N23" s="24">
        <v>0.32300000000000001</v>
      </c>
      <c r="O23" s="47">
        <f t="shared" si="5"/>
        <v>1.5799999999999992</v>
      </c>
      <c r="P23" s="48"/>
      <c r="Q23" s="47">
        <f t="shared" si="1"/>
        <v>485.9070000000001</v>
      </c>
      <c r="R23" s="165">
        <f t="shared" si="6"/>
        <v>12.355</v>
      </c>
      <c r="S23" s="160">
        <f>AI21+AI18+AI23</f>
        <v>140.03199999999998</v>
      </c>
      <c r="T23" s="86"/>
      <c r="U23" s="157">
        <f>887656.64-AI23*M48</f>
        <v>20669.120000000112</v>
      </c>
      <c r="V23" s="86">
        <v>570142.93000000005</v>
      </c>
      <c r="W23" s="66"/>
      <c r="X23" s="94"/>
      <c r="Y23" s="58">
        <v>474074.88</v>
      </c>
      <c r="Z23" s="86">
        <v>127257.99</v>
      </c>
      <c r="AA23" s="86"/>
      <c r="AB23" s="80"/>
      <c r="AC23" s="79"/>
      <c r="AD23" s="87">
        <v>0</v>
      </c>
      <c r="AE23" s="55"/>
      <c r="AF23" s="14"/>
      <c r="AG23" s="86">
        <v>0</v>
      </c>
      <c r="AH23" s="128" t="s">
        <v>48</v>
      </c>
      <c r="AI23" s="264">
        <v>64.507999999999996</v>
      </c>
      <c r="AJ23" s="21" t="s">
        <v>125</v>
      </c>
      <c r="AK23" s="21" t="s">
        <v>126</v>
      </c>
      <c r="AL23" s="91"/>
      <c r="AM23" s="21"/>
      <c r="AN23" s="21"/>
    </row>
    <row r="24" spans="1:40" ht="13.2" customHeight="1" thickBot="1" x14ac:dyDescent="0.35">
      <c r="A24" s="7">
        <v>44946</v>
      </c>
      <c r="B24" s="28">
        <v>8.68</v>
      </c>
      <c r="C24" s="30">
        <v>1.65</v>
      </c>
      <c r="D24" s="186">
        <f>AI18</f>
        <v>38.223999999999997</v>
      </c>
      <c r="E24" s="43">
        <f t="shared" si="2"/>
        <v>504.22100000000017</v>
      </c>
      <c r="F24" s="51">
        <f t="shared" si="3"/>
        <v>1.65</v>
      </c>
      <c r="G24" s="9">
        <f>0.85-H24</f>
        <v>0.31999999999999995</v>
      </c>
      <c r="H24" s="10">
        <v>0.53</v>
      </c>
      <c r="I24" s="161">
        <f t="shared" si="4"/>
        <v>8.7999999999999972</v>
      </c>
      <c r="J24" s="8"/>
      <c r="K24" s="11"/>
      <c r="L24" s="12"/>
      <c r="M24" s="51">
        <f t="shared" si="0"/>
        <v>0.53</v>
      </c>
      <c r="N24" s="24">
        <v>0.27700000000000002</v>
      </c>
      <c r="O24" s="47">
        <f t="shared" si="5"/>
        <v>1.8329999999999993</v>
      </c>
      <c r="P24" s="48"/>
      <c r="Q24" s="47">
        <f t="shared" si="1"/>
        <v>514.85400000000016</v>
      </c>
      <c r="R24" s="165">
        <f t="shared" si="6"/>
        <v>9.5299999999999994</v>
      </c>
      <c r="S24" s="160">
        <f>AI21+AI23</f>
        <v>101.80799999999999</v>
      </c>
      <c r="T24" s="86"/>
      <c r="U24" s="86">
        <v>20669.120000000112</v>
      </c>
      <c r="V24" s="86">
        <v>570142.93000000005</v>
      </c>
      <c r="W24" s="66"/>
      <c r="X24" s="94"/>
      <c r="Y24" s="58">
        <v>474074.88</v>
      </c>
      <c r="Z24" s="86">
        <v>127257.99</v>
      </c>
      <c r="AA24" s="86"/>
      <c r="AB24" s="80"/>
      <c r="AC24" s="79"/>
      <c r="AD24" s="87">
        <v>0</v>
      </c>
      <c r="AE24" s="55"/>
      <c r="AF24" s="14"/>
      <c r="AG24" s="86">
        <v>0</v>
      </c>
      <c r="AH24" s="218"/>
      <c r="AI24" s="155"/>
      <c r="AJ24" s="103"/>
      <c r="AK24" s="91"/>
      <c r="AL24" s="21"/>
      <c r="AM24" s="21"/>
      <c r="AN24" s="21"/>
    </row>
    <row r="25" spans="1:40" ht="13.2" customHeight="1" thickBot="1" x14ac:dyDescent="0.35">
      <c r="A25" s="52">
        <v>44947</v>
      </c>
      <c r="B25" s="28"/>
      <c r="C25" s="30"/>
      <c r="D25" s="186"/>
      <c r="E25" s="43">
        <f t="shared" si="2"/>
        <v>504.22100000000017</v>
      </c>
      <c r="F25" s="51">
        <f t="shared" si="3"/>
        <v>0</v>
      </c>
      <c r="G25" s="219"/>
      <c r="H25" s="10"/>
      <c r="I25" s="161">
        <f t="shared" si="4"/>
        <v>8.7999999999999972</v>
      </c>
      <c r="J25" s="8"/>
      <c r="K25" s="11"/>
      <c r="L25" s="12"/>
      <c r="M25" s="51">
        <f t="shared" si="0"/>
        <v>0</v>
      </c>
      <c r="N25" s="24"/>
      <c r="O25" s="47">
        <f t="shared" si="5"/>
        <v>1.8329999999999993</v>
      </c>
      <c r="P25" s="48"/>
      <c r="Q25" s="47">
        <f t="shared" si="1"/>
        <v>514.85400000000016</v>
      </c>
      <c r="R25" s="165">
        <f t="shared" si="6"/>
        <v>0</v>
      </c>
      <c r="S25" s="160">
        <v>101.80799999999999</v>
      </c>
      <c r="T25" s="86"/>
      <c r="U25" s="86">
        <v>20669.120000000112</v>
      </c>
      <c r="V25" s="86">
        <v>570142.93000000005</v>
      </c>
      <c r="W25" s="66"/>
      <c r="X25" s="94"/>
      <c r="Y25" s="58">
        <v>474074.88</v>
      </c>
      <c r="Z25" s="86">
        <v>127257.99</v>
      </c>
      <c r="AA25" s="86"/>
      <c r="AB25" s="80"/>
      <c r="AC25" s="79"/>
      <c r="AD25" s="87">
        <v>0</v>
      </c>
      <c r="AE25" s="55"/>
      <c r="AF25" s="14"/>
      <c r="AG25" s="86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52">
        <v>44948</v>
      </c>
      <c r="B26" s="28"/>
      <c r="C26" s="30"/>
      <c r="D26" s="186"/>
      <c r="E26" s="43">
        <f>E25+D26-B26-C26</f>
        <v>504.22100000000017</v>
      </c>
      <c r="F26" s="51">
        <f t="shared" si="3"/>
        <v>0</v>
      </c>
      <c r="G26" s="9"/>
      <c r="H26" s="10"/>
      <c r="I26" s="161">
        <f t="shared" si="4"/>
        <v>8.7999999999999972</v>
      </c>
      <c r="J26" s="8"/>
      <c r="K26" s="11"/>
      <c r="L26" s="12"/>
      <c r="M26" s="51">
        <f t="shared" si="0"/>
        <v>0</v>
      </c>
      <c r="N26" s="24"/>
      <c r="O26" s="47">
        <f t="shared" si="5"/>
        <v>1.8329999999999993</v>
      </c>
      <c r="P26" s="48"/>
      <c r="Q26" s="47">
        <f t="shared" si="1"/>
        <v>514.85400000000016</v>
      </c>
      <c r="R26" s="165">
        <f t="shared" si="6"/>
        <v>0</v>
      </c>
      <c r="S26" s="160">
        <v>101.80799999999999</v>
      </c>
      <c r="T26" s="86"/>
      <c r="U26" s="86">
        <v>20669.120000000112</v>
      </c>
      <c r="V26" s="87">
        <v>570142.93000000005</v>
      </c>
      <c r="W26" s="66"/>
      <c r="X26" s="94"/>
      <c r="Y26" s="58">
        <v>474074.88</v>
      </c>
      <c r="Z26" s="86">
        <v>127257.99</v>
      </c>
      <c r="AA26" s="86"/>
      <c r="AB26" s="80"/>
      <c r="AC26" s="79"/>
      <c r="AD26" s="87">
        <v>0</v>
      </c>
      <c r="AE26" s="55"/>
      <c r="AF26" s="14"/>
      <c r="AG26" s="86">
        <v>0</v>
      </c>
      <c r="AH26" s="127"/>
      <c r="AI26" s="126"/>
      <c r="AJ26" s="21"/>
      <c r="AK26" s="91"/>
      <c r="AL26" s="21"/>
      <c r="AM26" s="21"/>
      <c r="AN26" s="21"/>
    </row>
    <row r="27" spans="1:40" ht="13.2" customHeight="1" thickBot="1" x14ac:dyDescent="0.35">
      <c r="A27" s="7">
        <v>44949</v>
      </c>
      <c r="B27" s="28">
        <v>43.57</v>
      </c>
      <c r="C27" s="28">
        <v>1.2</v>
      </c>
      <c r="D27" s="186">
        <f>AI21</f>
        <v>37.299999999999997</v>
      </c>
      <c r="E27" s="43">
        <f>E26+D27-B27-C27</f>
        <v>496.7510000000002</v>
      </c>
      <c r="F27" s="51">
        <f t="shared" si="3"/>
        <v>1.2</v>
      </c>
      <c r="G27" s="9">
        <f>0.97</f>
        <v>0.97</v>
      </c>
      <c r="H27" s="10"/>
      <c r="I27" s="161">
        <f t="shared" si="4"/>
        <v>9.0299999999999958</v>
      </c>
      <c r="J27" s="8"/>
      <c r="K27" s="11"/>
      <c r="L27" s="12"/>
      <c r="M27" s="51">
        <f t="shared" si="0"/>
        <v>0</v>
      </c>
      <c r="N27" s="24">
        <v>0.184</v>
      </c>
      <c r="O27" s="47">
        <f t="shared" si="5"/>
        <v>1.6489999999999994</v>
      </c>
      <c r="P27" s="48"/>
      <c r="Q27" s="47">
        <f t="shared" si="1"/>
        <v>507.43000000000018</v>
      </c>
      <c r="R27" s="165">
        <f t="shared" si="6"/>
        <v>44.54</v>
      </c>
      <c r="S27" s="160">
        <f>AI23+AI27</f>
        <v>135.958</v>
      </c>
      <c r="T27" s="88">
        <f>T21-AI27*M44</f>
        <v>127023.20000000019</v>
      </c>
      <c r="U27" s="86">
        <v>20669.120000000112</v>
      </c>
      <c r="V27" s="87">
        <v>570142.93000000005</v>
      </c>
      <c r="W27" s="153"/>
      <c r="X27" s="94"/>
      <c r="Y27" s="58">
        <v>474074.88</v>
      </c>
      <c r="Z27" s="86">
        <v>127257.99</v>
      </c>
      <c r="AA27" s="86"/>
      <c r="AB27" s="129"/>
      <c r="AC27" s="79"/>
      <c r="AD27" s="87">
        <v>0</v>
      </c>
      <c r="AE27" s="55"/>
      <c r="AF27" s="14"/>
      <c r="AG27" s="86">
        <v>0</v>
      </c>
      <c r="AH27" s="127" t="s">
        <v>43</v>
      </c>
      <c r="AI27" s="263">
        <v>71.45</v>
      </c>
      <c r="AJ27" s="21" t="s">
        <v>134</v>
      </c>
      <c r="AK27" s="91" t="s">
        <v>135</v>
      </c>
      <c r="AL27" s="21"/>
      <c r="AM27" s="21"/>
      <c r="AN27" s="21"/>
    </row>
    <row r="28" spans="1:40" ht="13.2" customHeight="1" outlineLevel="1" thickBot="1" x14ac:dyDescent="0.35">
      <c r="A28" s="7">
        <v>44950</v>
      </c>
      <c r="B28" s="28">
        <v>10.064</v>
      </c>
      <c r="C28" s="30">
        <v>0.378</v>
      </c>
      <c r="D28" s="186"/>
      <c r="E28" s="43">
        <f t="shared" si="2"/>
        <v>486.3090000000002</v>
      </c>
      <c r="F28" s="51">
        <f t="shared" si="3"/>
        <v>0.378</v>
      </c>
      <c r="G28" s="9">
        <f>2.638-H28</f>
        <v>2.1799999999999997</v>
      </c>
      <c r="H28" s="10">
        <v>0.45800000000000002</v>
      </c>
      <c r="I28" s="44">
        <f t="shared" si="4"/>
        <v>6.769999999999996</v>
      </c>
      <c r="J28" s="8"/>
      <c r="K28" s="11"/>
      <c r="L28" s="12"/>
      <c r="M28" s="51">
        <f t="shared" si="0"/>
        <v>0.45800000000000002</v>
      </c>
      <c r="N28" s="24">
        <v>0.27800000000000002</v>
      </c>
      <c r="O28" s="47">
        <f t="shared" si="5"/>
        <v>1.8289999999999993</v>
      </c>
      <c r="P28" s="48"/>
      <c r="Q28" s="47">
        <f t="shared" si="1"/>
        <v>494.90800000000019</v>
      </c>
      <c r="R28" s="165">
        <f t="shared" si="6"/>
        <v>12.702</v>
      </c>
      <c r="S28" s="160">
        <f>AI23+AI27+AI28</f>
        <v>168.74799999999999</v>
      </c>
      <c r="T28" s="86">
        <f>T27+460000</f>
        <v>587023.20000000019</v>
      </c>
      <c r="U28" s="86">
        <f>888000+20669.12</f>
        <v>908669.12</v>
      </c>
      <c r="V28" s="87">
        <v>570142.93000000005</v>
      </c>
      <c r="W28" s="188"/>
      <c r="X28" s="189"/>
      <c r="Y28" s="107">
        <f>474074.88-AI28*M46+580000</f>
        <v>613377.28000000003</v>
      </c>
      <c r="Z28" s="86">
        <v>127257.99</v>
      </c>
      <c r="AA28" s="93"/>
      <c r="AB28" s="93"/>
      <c r="AC28" s="93"/>
      <c r="AD28" s="87">
        <v>0</v>
      </c>
      <c r="AE28" s="55"/>
      <c r="AF28" s="93"/>
      <c r="AG28" s="86">
        <v>0</v>
      </c>
      <c r="AH28" s="123" t="s">
        <v>49</v>
      </c>
      <c r="AI28" s="122">
        <v>32.79</v>
      </c>
      <c r="AJ28" s="262" t="s">
        <v>137</v>
      </c>
      <c r="AK28" s="262">
        <v>58242967</v>
      </c>
      <c r="AL28" s="21"/>
      <c r="AM28" s="21"/>
      <c r="AN28" s="21"/>
    </row>
    <row r="29" spans="1:40" ht="13.2" customHeight="1" outlineLevel="1" thickBot="1" x14ac:dyDescent="0.35">
      <c r="A29" s="7">
        <v>44951</v>
      </c>
      <c r="B29" s="28">
        <v>7.56</v>
      </c>
      <c r="C29" s="30">
        <v>3.81</v>
      </c>
      <c r="D29" s="186"/>
      <c r="E29" s="43">
        <f t="shared" si="2"/>
        <v>474.93900000000019</v>
      </c>
      <c r="F29" s="51">
        <f t="shared" si="3"/>
        <v>3.81</v>
      </c>
      <c r="G29" s="9">
        <f>2.12-H29</f>
        <v>2.12</v>
      </c>
      <c r="H29" s="10"/>
      <c r="I29" s="44">
        <f t="shared" si="4"/>
        <v>8.4599999999999973</v>
      </c>
      <c r="J29" s="8"/>
      <c r="K29" s="11"/>
      <c r="L29" s="12"/>
      <c r="M29" s="51">
        <f t="shared" si="0"/>
        <v>0</v>
      </c>
      <c r="N29" s="24">
        <v>0.16200000000000001</v>
      </c>
      <c r="O29" s="47">
        <f t="shared" si="5"/>
        <v>1.6669999999999994</v>
      </c>
      <c r="P29" s="48"/>
      <c r="Q29" s="47">
        <f t="shared" si="1"/>
        <v>485.06600000000014</v>
      </c>
      <c r="R29" s="165">
        <f t="shared" si="6"/>
        <v>9.68</v>
      </c>
      <c r="S29" s="160">
        <v>168.74799999999999</v>
      </c>
      <c r="T29" s="86"/>
      <c r="U29" s="86">
        <v>908669.12</v>
      </c>
      <c r="V29" s="87">
        <v>570142.93000000005</v>
      </c>
      <c r="W29" s="153"/>
      <c r="X29" s="94"/>
      <c r="Y29" s="58">
        <v>613377.28000000003</v>
      </c>
      <c r="Z29" s="86">
        <v>127257.99</v>
      </c>
      <c r="AA29" s="86"/>
      <c r="AB29" s="129"/>
      <c r="AC29" s="79"/>
      <c r="AD29" s="87">
        <v>0</v>
      </c>
      <c r="AE29" s="56"/>
      <c r="AF29" s="14"/>
      <c r="AG29" s="86">
        <v>0</v>
      </c>
      <c r="AH29" s="123"/>
      <c r="AI29" s="126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44952</v>
      </c>
      <c r="B30" s="28">
        <v>24.58</v>
      </c>
      <c r="C30" s="146">
        <v>1.9319999999999999</v>
      </c>
      <c r="D30" s="186"/>
      <c r="E30" s="43">
        <f t="shared" si="2"/>
        <v>448.42700000000019</v>
      </c>
      <c r="F30" s="51">
        <f t="shared" si="3"/>
        <v>1.9319999999999999</v>
      </c>
      <c r="G30" s="30">
        <f>1.752-H30</f>
        <v>1.3620000000000001</v>
      </c>
      <c r="H30" s="24">
        <v>0.39</v>
      </c>
      <c r="I30" s="44">
        <f t="shared" si="4"/>
        <v>8.639999999999997</v>
      </c>
      <c r="J30" s="28"/>
      <c r="K30" s="26"/>
      <c r="L30" s="53"/>
      <c r="M30" s="51">
        <f t="shared" si="0"/>
        <v>0.39</v>
      </c>
      <c r="N30" s="24">
        <v>0.16700000000000001</v>
      </c>
      <c r="O30" s="47">
        <f t="shared" si="5"/>
        <v>1.8899999999999995</v>
      </c>
      <c r="P30" s="54"/>
      <c r="Q30" s="47">
        <f t="shared" si="1"/>
        <v>458.95700000000016</v>
      </c>
      <c r="R30" s="165">
        <f t="shared" si="6"/>
        <v>26.332000000000001</v>
      </c>
      <c r="S30" s="160">
        <v>168.74799999999999</v>
      </c>
      <c r="T30" s="86"/>
      <c r="U30" s="86">
        <v>908669.12</v>
      </c>
      <c r="V30" s="87">
        <v>570142.93000000005</v>
      </c>
      <c r="W30" s="153"/>
      <c r="X30" s="94"/>
      <c r="Y30" s="58">
        <v>613377.28000000003</v>
      </c>
      <c r="Z30" s="86">
        <v>127257.99</v>
      </c>
      <c r="AA30" s="86"/>
      <c r="AB30" s="129"/>
      <c r="AC30" s="79"/>
      <c r="AD30" s="87">
        <v>0</v>
      </c>
      <c r="AE30" s="191"/>
      <c r="AF30" s="14"/>
      <c r="AG30" s="86">
        <v>0</v>
      </c>
      <c r="AH30" s="123"/>
      <c r="AI30" s="122"/>
      <c r="AJ30" s="103"/>
      <c r="AK30" s="91"/>
    </row>
    <row r="31" spans="1:40" s="21" customFormat="1" ht="13.2" customHeight="1" outlineLevel="1" thickBot="1" x14ac:dyDescent="0.35">
      <c r="A31" s="7">
        <v>44953</v>
      </c>
      <c r="B31" s="28">
        <v>30.06</v>
      </c>
      <c r="C31" s="30">
        <v>1.03</v>
      </c>
      <c r="D31" s="186"/>
      <c r="E31" s="43">
        <f t="shared" si="2"/>
        <v>417.33700000000022</v>
      </c>
      <c r="F31" s="51">
        <f t="shared" si="3"/>
        <v>1.03</v>
      </c>
      <c r="G31" s="68">
        <f>1.2-H31</f>
        <v>1.2</v>
      </c>
      <c r="H31" s="69"/>
      <c r="I31" s="44">
        <f t="shared" si="4"/>
        <v>8.4699999999999971</v>
      </c>
      <c r="J31" s="67"/>
      <c r="K31" s="70"/>
      <c r="L31" s="71"/>
      <c r="M31" s="51">
        <f t="shared" si="0"/>
        <v>0</v>
      </c>
      <c r="N31" s="24">
        <v>0.191</v>
      </c>
      <c r="O31" s="47">
        <f t="shared" si="5"/>
        <v>1.6989999999999994</v>
      </c>
      <c r="P31" s="72"/>
      <c r="Q31" s="47">
        <f t="shared" si="1"/>
        <v>427.5060000000002</v>
      </c>
      <c r="R31" s="165">
        <f t="shared" si="6"/>
        <v>31.259999999999998</v>
      </c>
      <c r="S31" s="160">
        <v>168.74799999999999</v>
      </c>
      <c r="T31" s="86"/>
      <c r="U31" s="86">
        <v>908669.12</v>
      </c>
      <c r="V31" s="87">
        <v>570142.93000000005</v>
      </c>
      <c r="W31" s="153"/>
      <c r="X31" s="94"/>
      <c r="Y31" s="58">
        <v>613377.28000000003</v>
      </c>
      <c r="Z31" s="86">
        <v>127257.99</v>
      </c>
      <c r="AA31" s="86"/>
      <c r="AB31" s="129"/>
      <c r="AC31" s="79"/>
      <c r="AD31" s="87"/>
      <c r="AE31" s="57"/>
      <c r="AF31" s="131"/>
      <c r="AG31" s="133"/>
      <c r="AH31" s="127"/>
      <c r="AI31" s="126"/>
      <c r="AK31" s="102"/>
    </row>
    <row r="32" spans="1:40" ht="13.2" customHeight="1" outlineLevel="1" thickBot="1" x14ac:dyDescent="0.35">
      <c r="A32" s="52">
        <v>44954</v>
      </c>
      <c r="B32" s="28"/>
      <c r="C32" s="30"/>
      <c r="D32" s="186"/>
      <c r="E32" s="43">
        <f t="shared" si="2"/>
        <v>417.33700000000022</v>
      </c>
      <c r="F32" s="51">
        <f t="shared" si="3"/>
        <v>0</v>
      </c>
      <c r="G32" s="62"/>
      <c r="H32" s="62"/>
      <c r="I32" s="44">
        <f t="shared" si="4"/>
        <v>8.4699999999999971</v>
      </c>
      <c r="J32" s="62"/>
      <c r="K32" s="64"/>
      <c r="L32" s="13"/>
      <c r="M32" s="51">
        <f t="shared" si="0"/>
        <v>0</v>
      </c>
      <c r="N32" s="24"/>
      <c r="O32" s="47">
        <f t="shared" si="5"/>
        <v>1.6989999999999994</v>
      </c>
      <c r="P32" s="65"/>
      <c r="Q32" s="47">
        <f t="shared" si="1"/>
        <v>427.5060000000002</v>
      </c>
      <c r="R32" s="165">
        <f t="shared" si="6"/>
        <v>0</v>
      </c>
      <c r="S32" s="160">
        <v>168.74799999999999</v>
      </c>
      <c r="T32" s="86"/>
      <c r="U32" s="86">
        <v>908669.12</v>
      </c>
      <c r="V32" s="87">
        <v>570142.93000000005</v>
      </c>
      <c r="W32" s="153"/>
      <c r="X32" s="94"/>
      <c r="Y32" s="58">
        <v>613377.28000000003</v>
      </c>
      <c r="Z32" s="86">
        <v>127257.99</v>
      </c>
      <c r="AA32" s="86"/>
      <c r="AB32" s="129"/>
      <c r="AC32" s="79"/>
      <c r="AD32" s="87"/>
      <c r="AE32" s="57"/>
      <c r="AF32" s="131"/>
      <c r="AG32" s="133"/>
      <c r="AH32" s="192"/>
      <c r="AI32" s="155"/>
      <c r="AJ32" s="99"/>
      <c r="AK32" s="99"/>
      <c r="AL32" s="21"/>
    </row>
    <row r="33" spans="1:38" ht="13.2" customHeight="1" outlineLevel="1" thickBot="1" x14ac:dyDescent="0.35">
      <c r="A33" s="52">
        <v>44955</v>
      </c>
      <c r="B33" s="8"/>
      <c r="C33" s="9"/>
      <c r="D33" s="186">
        <f>AI23+AI27</f>
        <v>135.958</v>
      </c>
      <c r="E33" s="43">
        <f t="shared" si="2"/>
        <v>553.29500000000019</v>
      </c>
      <c r="F33" s="51">
        <f t="shared" si="3"/>
        <v>0</v>
      </c>
      <c r="G33" s="62"/>
      <c r="H33" s="62"/>
      <c r="I33" s="44">
        <f t="shared" si="4"/>
        <v>8.4699999999999971</v>
      </c>
      <c r="J33" s="62"/>
      <c r="K33" s="64"/>
      <c r="L33" s="13"/>
      <c r="M33" s="51">
        <f t="shared" si="0"/>
        <v>0</v>
      </c>
      <c r="N33" s="24"/>
      <c r="O33" s="47">
        <f t="shared" si="5"/>
        <v>1.6989999999999994</v>
      </c>
      <c r="P33" s="65"/>
      <c r="Q33" s="47">
        <f t="shared" si="1"/>
        <v>563.46400000000017</v>
      </c>
      <c r="R33" s="165">
        <f>B33+G33+H33+J33</f>
        <v>0</v>
      </c>
      <c r="S33" s="160">
        <f>168.748-AI23-AI27</f>
        <v>32.789999999999992</v>
      </c>
      <c r="T33" s="86"/>
      <c r="U33" s="86">
        <v>908669.12</v>
      </c>
      <c r="V33" s="87">
        <v>570142.93000000005</v>
      </c>
      <c r="W33" s="153"/>
      <c r="X33" s="94"/>
      <c r="Y33" s="58">
        <v>613377.28000000003</v>
      </c>
      <c r="Z33" s="86">
        <v>127257.99</v>
      </c>
      <c r="AA33" s="86"/>
      <c r="AB33" s="80"/>
      <c r="AC33" s="79"/>
      <c r="AD33" s="87"/>
      <c r="AE33" s="57"/>
      <c r="AF33" s="131"/>
      <c r="AG33" s="133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7">
        <v>44956</v>
      </c>
      <c r="B34" s="62">
        <v>25.75</v>
      </c>
      <c r="C34" s="30">
        <v>2.6280000000000001</v>
      </c>
      <c r="D34" s="92"/>
      <c r="E34" s="43">
        <f t="shared" si="2"/>
        <v>524.91700000000014</v>
      </c>
      <c r="F34" s="51">
        <f t="shared" si="3"/>
        <v>2.6280000000000001</v>
      </c>
      <c r="G34" s="62">
        <f>1.528-H34</f>
        <v>1.06</v>
      </c>
      <c r="H34" s="62">
        <v>0.46800000000000003</v>
      </c>
      <c r="I34" s="44">
        <f t="shared" si="4"/>
        <v>9.5699999999999967</v>
      </c>
      <c r="J34" s="44"/>
      <c r="K34" s="44"/>
      <c r="L34" s="44"/>
      <c r="M34" s="63">
        <f t="shared" si="0"/>
        <v>0.46800000000000003</v>
      </c>
      <c r="N34" s="24">
        <v>0.23200000000000001</v>
      </c>
      <c r="O34" s="47">
        <f t="shared" si="5"/>
        <v>1.9349999999999994</v>
      </c>
      <c r="P34" s="65">
        <v>0</v>
      </c>
      <c r="Q34" s="47">
        <f t="shared" si="1"/>
        <v>536.42200000000014</v>
      </c>
      <c r="R34" s="165">
        <f t="shared" si="6"/>
        <v>27.277999999999999</v>
      </c>
      <c r="S34" s="160">
        <f>AI28</f>
        <v>32.79</v>
      </c>
      <c r="T34" s="86"/>
      <c r="U34" s="86">
        <v>908669.12</v>
      </c>
      <c r="V34" s="87">
        <v>570142.93000000005</v>
      </c>
      <c r="W34" s="153"/>
      <c r="X34" s="94"/>
      <c r="Y34" s="58">
        <v>613377.28000000003</v>
      </c>
      <c r="Z34" s="86">
        <v>127257.99</v>
      </c>
      <c r="AA34" s="86"/>
      <c r="AB34" s="80"/>
      <c r="AC34" s="79"/>
      <c r="AD34" s="87"/>
      <c r="AE34" s="57"/>
      <c r="AF34" s="131"/>
      <c r="AG34" s="133"/>
      <c r="AH34" s="127"/>
      <c r="AI34" s="21"/>
      <c r="AJ34" s="103"/>
      <c r="AL34" s="21"/>
    </row>
    <row r="35" spans="1:38" ht="12" customHeight="1" outlineLevel="1" thickBot="1" x14ac:dyDescent="0.35">
      <c r="A35" s="7">
        <v>44957</v>
      </c>
      <c r="B35" s="108">
        <v>12.1</v>
      </c>
      <c r="C35" s="19">
        <v>4.5999999999999999E-2</v>
      </c>
      <c r="D35" s="92">
        <f>AI28</f>
        <v>32.79</v>
      </c>
      <c r="E35" s="73">
        <f t="shared" si="2"/>
        <v>545.56100000000004</v>
      </c>
      <c r="F35" s="100">
        <f t="shared" si="3"/>
        <v>4.5999999999999999E-2</v>
      </c>
      <c r="G35" s="108">
        <f>2.226-H35</f>
        <v>1.986</v>
      </c>
      <c r="H35" s="108">
        <v>0.24</v>
      </c>
      <c r="I35" s="101">
        <f t="shared" si="4"/>
        <v>7.3899999999999961</v>
      </c>
      <c r="J35" s="18"/>
      <c r="K35" s="74"/>
      <c r="L35" s="75"/>
      <c r="M35" s="109">
        <f t="shared" si="0"/>
        <v>0.24</v>
      </c>
      <c r="N35" s="24">
        <v>0.46700000000000003</v>
      </c>
      <c r="O35" s="50">
        <f>O34+M35-N35</f>
        <v>1.7079999999999993</v>
      </c>
      <c r="P35" s="76"/>
      <c r="Q35" s="50">
        <f t="shared" si="1"/>
        <v>554.65899999999999</v>
      </c>
      <c r="R35" s="166">
        <f t="shared" si="6"/>
        <v>14.326000000000001</v>
      </c>
      <c r="S35" s="160">
        <v>0</v>
      </c>
      <c r="T35" s="86">
        <f>T28-27000</f>
        <v>560023.20000000019</v>
      </c>
      <c r="U35" s="86">
        <v>908669.12</v>
      </c>
      <c r="V35" s="87">
        <v>570142.93000000005</v>
      </c>
      <c r="W35" s="153"/>
      <c r="X35" s="94"/>
      <c r="Y35" s="58">
        <v>613377.28000000003</v>
      </c>
      <c r="Z35" s="86">
        <v>127257.99</v>
      </c>
      <c r="AA35" s="86"/>
      <c r="AB35" s="80"/>
      <c r="AC35" s="79"/>
      <c r="AD35" s="87"/>
      <c r="AE35" s="57"/>
      <c r="AF35" s="131"/>
      <c r="AG35" s="133"/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404.41200000000003</v>
      </c>
      <c r="C36" s="37">
        <f>SUM(C5:C35)</f>
        <v>27.506999999999998</v>
      </c>
      <c r="D36" s="37">
        <f>SUM(D5:D35)</f>
        <v>525.96399999999994</v>
      </c>
      <c r="E36" s="115">
        <f>INDEX(E5:E35,COUNTA(E5:E35))-15</f>
        <v>530.56100000000004</v>
      </c>
      <c r="F36" s="37">
        <f>SUM(F5:F35)</f>
        <v>27.506999999999998</v>
      </c>
      <c r="G36" s="37">
        <f>SUM(G5:G35)</f>
        <v>22.303999999999998</v>
      </c>
      <c r="H36" s="37">
        <f>SUM(H5:H35)</f>
        <v>4.8529999999999998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4.8529999999999998</v>
      </c>
      <c r="N36" s="37">
        <f>SUM(N5:N35)</f>
        <v>4.613999999999999</v>
      </c>
      <c r="O36" s="41"/>
      <c r="P36" s="40">
        <f>B36+G36+H36+J36</f>
        <v>431.56900000000002</v>
      </c>
      <c r="Q36" s="41"/>
      <c r="R36" s="167">
        <f>SUM(R5:R35)</f>
        <v>431.56900000000002</v>
      </c>
      <c r="S36" s="114">
        <f>INDEX(S5:S35,COUNTA(S5:S35))</f>
        <v>0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182"/>
      <c r="U38" s="182"/>
      <c r="V38" s="119" t="s">
        <v>51</v>
      </c>
      <c r="W38" s="171"/>
      <c r="X38" s="171"/>
      <c r="Y38" s="171"/>
      <c r="Z38" s="193">
        <f>E36</f>
        <v>530.56100000000004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170"/>
      <c r="U39" s="170"/>
      <c r="V39" s="183" t="s">
        <v>34</v>
      </c>
      <c r="W39" s="172"/>
      <c r="X39" s="172"/>
      <c r="Y39" s="172"/>
      <c r="Z39" s="194">
        <f>S36</f>
        <v>0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170"/>
      <c r="U40" s="170"/>
      <c r="V40" s="185" t="s">
        <v>36</v>
      </c>
      <c r="W40" s="173"/>
      <c r="X40" s="173"/>
      <c r="Y40" s="173"/>
      <c r="Z40" s="195">
        <f>N50</f>
        <v>179.68861187181591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170"/>
      <c r="V41" s="612" t="s">
        <v>35</v>
      </c>
      <c r="W41" s="613"/>
      <c r="X41" s="614"/>
      <c r="Y41" s="173"/>
      <c r="Z41" s="144">
        <f>Z38+Z39+Z40</f>
        <v>710.24961187181589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ht="16.2" customHeight="1" x14ac:dyDescent="0.3">
      <c r="D43" s="98"/>
      <c r="E43" s="564" t="s">
        <v>18</v>
      </c>
      <c r="F43" s="564"/>
      <c r="G43" s="564"/>
      <c r="H43" s="552" t="s">
        <v>127</v>
      </c>
      <c r="I43" s="553"/>
      <c r="J43" s="124"/>
      <c r="K43" s="237"/>
      <c r="L43" s="145"/>
      <c r="M43" s="168">
        <v>12774</v>
      </c>
      <c r="N43" s="147"/>
      <c r="O43" s="238" t="s">
        <v>56</v>
      </c>
      <c r="P43" s="138"/>
      <c r="Q43" s="164" t="s">
        <v>85</v>
      </c>
      <c r="R43" s="164" t="s">
        <v>86</v>
      </c>
      <c r="S43" s="164" t="s">
        <v>87</v>
      </c>
      <c r="U43" s="163"/>
      <c r="V43" s="177"/>
      <c r="W43" s="178"/>
      <c r="X43" s="179"/>
      <c r="Y43" s="179"/>
      <c r="Z43" s="180"/>
      <c r="AA43" s="91"/>
      <c r="AB43" s="91"/>
      <c r="AC43" s="91"/>
      <c r="AD43" s="91"/>
      <c r="AG43" s="197"/>
      <c r="AI43" s="123"/>
      <c r="AJ43" s="123"/>
      <c r="AK43" s="123"/>
      <c r="AL43" s="91"/>
    </row>
    <row r="44" spans="1:38" ht="16.2" customHeight="1" x14ac:dyDescent="0.3">
      <c r="D44" s="98"/>
      <c r="E44" s="564" t="s">
        <v>18</v>
      </c>
      <c r="F44" s="564"/>
      <c r="G44" s="564"/>
      <c r="H44" s="552" t="s">
        <v>128</v>
      </c>
      <c r="I44" s="553"/>
      <c r="J44" s="124"/>
      <c r="K44" s="258"/>
      <c r="L44" s="145"/>
      <c r="M44" s="168">
        <f>12774-600</f>
        <v>12174</v>
      </c>
      <c r="N44" s="147"/>
      <c r="O44" s="238"/>
      <c r="P44" s="138"/>
      <c r="Q44" s="164"/>
      <c r="R44" s="164"/>
      <c r="S44" s="164"/>
      <c r="T44" s="164" t="s">
        <v>88</v>
      </c>
      <c r="U44" s="163"/>
      <c r="V44" s="177"/>
      <c r="W44" s="178"/>
      <c r="X44" s="179"/>
      <c r="Y44" s="179"/>
      <c r="Z44" s="180"/>
      <c r="AA44" s="91"/>
      <c r="AB44" s="91"/>
      <c r="AC44" s="91"/>
      <c r="AD44" s="91"/>
      <c r="AG44" s="197"/>
      <c r="AI44" s="123"/>
      <c r="AJ44" s="123"/>
      <c r="AK44" s="123"/>
      <c r="AL44" s="91"/>
    </row>
    <row r="45" spans="1:38" s="1" customFormat="1" ht="16.2" customHeight="1" x14ac:dyDescent="0.3">
      <c r="D45" s="242"/>
      <c r="E45" s="642" t="s">
        <v>18</v>
      </c>
      <c r="F45" s="642"/>
      <c r="G45" s="642"/>
      <c r="H45" s="643" t="s">
        <v>124</v>
      </c>
      <c r="I45" s="644"/>
      <c r="J45" s="243"/>
      <c r="K45" s="244"/>
      <c r="L45" s="245"/>
      <c r="M45" s="246">
        <v>11172</v>
      </c>
      <c r="N45" s="247">
        <f>T28/M45</f>
        <v>52.544146079484442</v>
      </c>
      <c r="O45" s="248"/>
      <c r="P45" s="249"/>
      <c r="Q45" s="250" t="s">
        <v>120</v>
      </c>
      <c r="R45" s="250" t="s">
        <v>121</v>
      </c>
      <c r="S45" s="250" t="s">
        <v>122</v>
      </c>
      <c r="T45" s="250" t="s">
        <v>123</v>
      </c>
      <c r="U45" s="250"/>
      <c r="V45" s="251"/>
      <c r="W45" s="252"/>
      <c r="X45" s="253"/>
      <c r="Y45" s="253"/>
      <c r="Z45" s="254"/>
      <c r="AA45" s="255"/>
      <c r="AB45" s="255"/>
      <c r="AC45" s="255"/>
      <c r="AD45" s="255"/>
      <c r="AG45" s="256"/>
      <c r="AH45" s="257"/>
      <c r="AI45" s="256"/>
      <c r="AJ45" s="256"/>
      <c r="AK45" s="256"/>
      <c r="AL45" s="255"/>
    </row>
    <row r="46" spans="1:38" ht="16.2" customHeight="1" x14ac:dyDescent="0.3">
      <c r="D46" s="211" t="s">
        <v>28</v>
      </c>
      <c r="E46" s="611" t="s">
        <v>60</v>
      </c>
      <c r="F46" s="611"/>
      <c r="G46" s="611"/>
      <c r="H46" s="552" t="s">
        <v>55</v>
      </c>
      <c r="I46" s="553"/>
      <c r="J46" s="124"/>
      <c r="K46" s="237"/>
      <c r="L46" s="145"/>
      <c r="M46" s="240">
        <f>4451+8989</f>
        <v>13440</v>
      </c>
      <c r="N46" s="241"/>
      <c r="O46" s="238" t="s">
        <v>29</v>
      </c>
      <c r="P46" s="89"/>
      <c r="Q46" s="164" t="s">
        <v>96</v>
      </c>
      <c r="R46" s="164" t="s">
        <v>117</v>
      </c>
      <c r="S46" s="164" t="s">
        <v>136</v>
      </c>
      <c r="T46" s="34"/>
      <c r="U46" s="34"/>
      <c r="V46" s="177"/>
      <c r="W46" s="178"/>
      <c r="X46" s="179"/>
      <c r="Y46" s="179"/>
      <c r="Z46" s="180"/>
      <c r="AA46" s="91"/>
      <c r="AB46" s="91"/>
      <c r="AC46" s="91"/>
      <c r="AD46" s="91"/>
      <c r="AI46" s="123"/>
      <c r="AJ46" s="123"/>
      <c r="AK46" s="123"/>
      <c r="AL46" s="91"/>
    </row>
    <row r="47" spans="1:38" ht="16.2" customHeight="1" x14ac:dyDescent="0.3">
      <c r="D47" s="259" t="s">
        <v>28</v>
      </c>
      <c r="E47" s="646" t="s">
        <v>60</v>
      </c>
      <c r="F47" s="646"/>
      <c r="G47" s="646"/>
      <c r="H47" s="643" t="s">
        <v>124</v>
      </c>
      <c r="I47" s="644"/>
      <c r="J47" s="243"/>
      <c r="K47" s="244"/>
      <c r="L47" s="245"/>
      <c r="M47" s="260">
        <f>2982+8989</f>
        <v>11971</v>
      </c>
      <c r="N47" s="241">
        <f>Y28/M47</f>
        <v>51.238599949878875</v>
      </c>
      <c r="O47" s="238"/>
      <c r="P47" s="89"/>
      <c r="Q47" s="250" t="s">
        <v>131</v>
      </c>
      <c r="R47" s="250" t="s">
        <v>132</v>
      </c>
      <c r="S47" s="250" t="s">
        <v>133</v>
      </c>
      <c r="T47" s="34"/>
      <c r="U47" s="34"/>
      <c r="V47" s="177"/>
      <c r="W47" s="178"/>
      <c r="X47" s="179"/>
      <c r="Y47" s="179"/>
      <c r="Z47" s="180"/>
      <c r="AA47" s="91"/>
      <c r="AB47" s="91"/>
      <c r="AC47" s="91"/>
      <c r="AD47" s="91"/>
      <c r="AI47" s="123"/>
      <c r="AJ47" s="123"/>
      <c r="AK47" s="123"/>
      <c r="AL47" s="91"/>
    </row>
    <row r="48" spans="1:38" ht="16.2" customHeight="1" x14ac:dyDescent="0.3">
      <c r="D48" s="211" t="s">
        <v>21</v>
      </c>
      <c r="E48" s="549" t="s">
        <v>60</v>
      </c>
      <c r="F48" s="550"/>
      <c r="G48" s="551"/>
      <c r="H48" s="552" t="s">
        <v>55</v>
      </c>
      <c r="I48" s="645"/>
      <c r="J48" s="125"/>
      <c r="K48" s="237"/>
      <c r="L48" s="145"/>
      <c r="M48" s="240">
        <f>4451+8989</f>
        <v>13440</v>
      </c>
      <c r="N48" s="241"/>
      <c r="O48" s="238" t="s">
        <v>40</v>
      </c>
      <c r="P48" s="89"/>
      <c r="Q48" s="164" t="s">
        <v>110</v>
      </c>
      <c r="R48" s="164" t="s">
        <v>111</v>
      </c>
      <c r="S48" s="164" t="s">
        <v>101</v>
      </c>
      <c r="T48" s="163"/>
      <c r="U48" s="163"/>
      <c r="V48" s="177"/>
      <c r="W48" s="178"/>
      <c r="X48" s="179"/>
      <c r="Y48" s="179"/>
      <c r="Z48" s="180"/>
      <c r="AA48" s="91"/>
      <c r="AB48" s="91"/>
      <c r="AC48" s="91"/>
      <c r="AD48" s="91"/>
      <c r="AI48" s="127"/>
      <c r="AJ48" s="103"/>
      <c r="AK48" s="103"/>
      <c r="AL48" s="91"/>
    </row>
    <row r="49" spans="4:38" ht="16.2" customHeight="1" thickBot="1" x14ac:dyDescent="0.35">
      <c r="D49" s="259" t="s">
        <v>21</v>
      </c>
      <c r="E49" s="647" t="s">
        <v>60</v>
      </c>
      <c r="F49" s="648"/>
      <c r="G49" s="649"/>
      <c r="H49" s="643" t="s">
        <v>124</v>
      </c>
      <c r="I49" s="644"/>
      <c r="J49" s="261"/>
      <c r="K49" s="244"/>
      <c r="L49" s="245"/>
      <c r="M49" s="260">
        <f>2982+8989</f>
        <v>11971</v>
      </c>
      <c r="N49" s="241">
        <f>U28/M49</f>
        <v>75.905865842452599</v>
      </c>
      <c r="O49" s="238"/>
      <c r="P49" s="89"/>
      <c r="Q49" s="250" t="s">
        <v>120</v>
      </c>
      <c r="R49" s="250" t="s">
        <v>129</v>
      </c>
      <c r="S49" s="250" t="s">
        <v>130</v>
      </c>
      <c r="T49" s="163"/>
      <c r="U49" s="163"/>
      <c r="V49" s="177"/>
      <c r="W49" s="178"/>
      <c r="X49" s="179"/>
      <c r="Y49" s="179"/>
      <c r="Z49" s="180"/>
      <c r="AA49" s="91"/>
      <c r="AB49" s="91"/>
      <c r="AC49" s="91"/>
      <c r="AD49" s="91"/>
      <c r="AI49" s="127"/>
      <c r="AJ49" s="103"/>
      <c r="AK49" s="103"/>
      <c r="AL49" s="91"/>
    </row>
    <row r="50" spans="4:38" ht="13.95" customHeight="1" thickBot="1" x14ac:dyDescent="0.35">
      <c r="E50" s="634"/>
      <c r="F50" s="635"/>
      <c r="G50" s="636"/>
      <c r="H50" s="637"/>
      <c r="I50" s="638"/>
      <c r="J50" s="141"/>
      <c r="K50" s="141"/>
      <c r="L50" s="142"/>
      <c r="M50" s="148" t="s">
        <v>33</v>
      </c>
      <c r="N50" s="149">
        <f>SUBTOTAL(109,N43:N49)</f>
        <v>179.68861187181591</v>
      </c>
      <c r="O50" s="150"/>
      <c r="T50" s="181"/>
      <c r="U50" s="181"/>
      <c r="V50" s="177"/>
      <c r="W50" s="178"/>
      <c r="X50" s="178"/>
      <c r="Y50" s="178"/>
      <c r="Z50" s="180"/>
      <c r="AA50" s="90"/>
      <c r="AB50" s="90"/>
      <c r="AC50" s="21"/>
      <c r="AD50" s="21"/>
    </row>
    <row r="51" spans="4:38" x14ac:dyDescent="0.3">
      <c r="E51" s="1" t="s">
        <v>116</v>
      </c>
      <c r="O51" s="139"/>
      <c r="V51" s="178"/>
      <c r="W51" s="178"/>
      <c r="X51" s="178"/>
      <c r="Y51" s="178"/>
      <c r="Z51" s="180"/>
      <c r="AA51" s="21"/>
      <c r="AB51" s="21"/>
      <c r="AC51" s="21"/>
      <c r="AD51" s="21"/>
    </row>
    <row r="52" spans="4:38" x14ac:dyDescent="0.3">
      <c r="E52" s="1" t="s">
        <v>57</v>
      </c>
      <c r="O52" s="1"/>
      <c r="P52" s="1"/>
      <c r="Q52" s="1"/>
      <c r="R52" s="224"/>
      <c r="V52" s="178"/>
      <c r="W52" s="178"/>
      <c r="X52" s="178"/>
      <c r="Y52" s="178"/>
      <c r="Z52" s="178"/>
      <c r="AA52" s="21"/>
      <c r="AB52" s="21"/>
      <c r="AC52" s="21"/>
      <c r="AD52" s="21"/>
    </row>
    <row r="53" spans="4:38" x14ac:dyDescent="0.3">
      <c r="E53" s="1" t="s">
        <v>64</v>
      </c>
    </row>
    <row r="54" spans="4:38" x14ac:dyDescent="0.3">
      <c r="E54" s="1" t="s">
        <v>58</v>
      </c>
      <c r="V54" s="175"/>
      <c r="W54" s="175"/>
      <c r="X54" s="175"/>
      <c r="Y54" s="175"/>
      <c r="Z54" s="175"/>
      <c r="AA54" s="21"/>
      <c r="AB54" s="21"/>
      <c r="AC54" s="21"/>
      <c r="AD54" s="21"/>
    </row>
    <row r="55" spans="4:38" x14ac:dyDescent="0.3">
      <c r="E55" s="1" t="s">
        <v>59</v>
      </c>
    </row>
    <row r="56" spans="4:38" x14ac:dyDescent="0.3">
      <c r="E56" s="1" t="s">
        <v>61</v>
      </c>
    </row>
  </sheetData>
  <mergeCells count="48">
    <mergeCell ref="E44:G44"/>
    <mergeCell ref="H44:I44"/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E43:G43"/>
    <mergeCell ref="H43:I43"/>
    <mergeCell ref="Q1:Q4"/>
    <mergeCell ref="R1:R4"/>
    <mergeCell ref="S1:S3"/>
    <mergeCell ref="T1:V2"/>
    <mergeCell ref="W1:AG2"/>
    <mergeCell ref="AF3:AF4"/>
    <mergeCell ref="AG3:AG4"/>
    <mergeCell ref="AD3:AD4"/>
    <mergeCell ref="AE3:AE4"/>
    <mergeCell ref="T3:T4"/>
    <mergeCell ref="U3:U4"/>
    <mergeCell ref="V41:X41"/>
    <mergeCell ref="Z3:Z4"/>
    <mergeCell ref="AA3:AA4"/>
    <mergeCell ref="AB3:AB4"/>
    <mergeCell ref="AC3:AC4"/>
    <mergeCell ref="V3:V4"/>
    <mergeCell ref="W3:W4"/>
    <mergeCell ref="X3:X4"/>
    <mergeCell ref="Y3:Y4"/>
    <mergeCell ref="E45:G45"/>
    <mergeCell ref="H45:I45"/>
    <mergeCell ref="E48:G48"/>
    <mergeCell ref="H48:I48"/>
    <mergeCell ref="E50:G50"/>
    <mergeCell ref="H50:I50"/>
    <mergeCell ref="E46:G46"/>
    <mergeCell ref="H46:I46"/>
    <mergeCell ref="H47:I47"/>
    <mergeCell ref="H49:I49"/>
    <mergeCell ref="E47:G47"/>
    <mergeCell ref="E49:G49"/>
  </mergeCells>
  <pageMargins left="0.31496062992125984" right="0.17" top="0.19" bottom="0.19" header="0.19" footer="0.18"/>
  <pageSetup paperSize="9" scale="7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55"/>
  <sheetViews>
    <sheetView zoomScale="90" zoomScaleNormal="90" workbookViewId="0">
      <pane ySplit="4" topLeftCell="A26" activePane="bottomLeft" state="frozen"/>
      <selection pane="bottomLeft" activeCell="U24" sqref="U24:U31"/>
    </sheetView>
  </sheetViews>
  <sheetFormatPr defaultColWidth="9.109375" defaultRowHeight="14.4" outlineLevelRow="1" outlineLevelCol="1" x14ac:dyDescent="0.3"/>
  <cols>
    <col min="1" max="1" width="8.44140625" style="2" customWidth="1"/>
    <col min="2" max="2" width="6.33203125" style="2" customWidth="1"/>
    <col min="3" max="3" width="5.6640625" style="2" customWidth="1"/>
    <col min="4" max="4" width="9" style="2" customWidth="1"/>
    <col min="5" max="5" width="6.6640625" style="35" customWidth="1"/>
    <col min="6" max="6" width="6.6640625" style="2" customWidth="1"/>
    <col min="7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8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1" width="15.6640625" style="20" customWidth="1"/>
    <col min="22" max="22" width="12.6640625" style="20" hidden="1" customWidth="1"/>
    <col min="23" max="23" width="11.6640625" style="20" hidden="1" customWidth="1"/>
    <col min="24" max="24" width="10.6640625" style="20" hidden="1" customWidth="1"/>
    <col min="25" max="25" width="12.6640625" style="20" hidden="1" customWidth="1"/>
    <col min="26" max="26" width="15.6640625" style="20" customWidth="1"/>
    <col min="27" max="29" width="9.6640625" style="2" hidden="1" customWidth="1"/>
    <col min="30" max="31" width="10.6640625" style="2" hidden="1" customWidth="1"/>
    <col min="32" max="32" width="0.109375" style="2" hidden="1" customWidth="1"/>
    <col min="33" max="33" width="11.33203125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138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41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45</v>
      </c>
      <c r="Y3" s="567"/>
      <c r="Z3" s="567" t="s">
        <v>160</v>
      </c>
      <c r="AA3" s="599" t="s">
        <v>30</v>
      </c>
      <c r="AB3" s="599" t="s">
        <v>37</v>
      </c>
      <c r="AC3" s="567"/>
      <c r="AD3" s="601" t="s">
        <v>14</v>
      </c>
      <c r="AE3" s="597" t="s">
        <v>63</v>
      </c>
      <c r="AF3" s="604" t="s">
        <v>16</v>
      </c>
      <c r="AG3" s="597" t="s">
        <v>19</v>
      </c>
    </row>
    <row r="4" spans="1:40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265" t="s">
        <v>10</v>
      </c>
      <c r="K4" s="266" t="s">
        <v>2</v>
      </c>
      <c r="L4" s="267" t="s">
        <v>9</v>
      </c>
      <c r="M4" s="265" t="s">
        <v>10</v>
      </c>
      <c r="N4" s="266" t="s">
        <v>2</v>
      </c>
      <c r="O4" s="267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44958</v>
      </c>
      <c r="B5" s="28">
        <v>10.199999999999999</v>
      </c>
      <c r="C5" s="30">
        <v>4.4829999999999997</v>
      </c>
      <c r="D5" s="22"/>
      <c r="E5" s="42">
        <f>'01.2023'!E35-B5-C5+D5</f>
        <v>530.87800000000004</v>
      </c>
      <c r="F5" s="51">
        <f>C5</f>
        <v>4.4829999999999997</v>
      </c>
      <c r="G5" s="9">
        <f>2.753-H5</f>
        <v>2.17</v>
      </c>
      <c r="H5" s="10">
        <v>0.58299999999999996</v>
      </c>
      <c r="I5" s="161">
        <f>'01.2023'!I35+F5-G5-H5</f>
        <v>9.1199999999999957</v>
      </c>
      <c r="J5" s="8"/>
      <c r="K5" s="11"/>
      <c r="L5" s="25"/>
      <c r="M5" s="51">
        <f t="shared" ref="M5:M35" si="0">H5</f>
        <v>0.58299999999999996</v>
      </c>
      <c r="N5" s="24">
        <v>0.23200000000000001</v>
      </c>
      <c r="O5" s="47">
        <f>'01.2023'!O35+M5-N5</f>
        <v>2.0589999999999993</v>
      </c>
      <c r="P5" s="46">
        <v>0</v>
      </c>
      <c r="Q5" s="45">
        <f t="shared" ref="Q5:Q35" si="1">E5+I5+L5+O5</f>
        <v>542.05700000000002</v>
      </c>
      <c r="R5" s="165">
        <f>B5+G5+H5+J5</f>
        <v>12.952999999999999</v>
      </c>
      <c r="S5" s="159">
        <f>AI5</f>
        <v>33.65</v>
      </c>
      <c r="T5" s="59">
        <f>'01.2023'!T35-AI5*M43</f>
        <v>184085.4000000002</v>
      </c>
      <c r="U5" s="58">
        <f>'01.2023'!U35</f>
        <v>908669.12</v>
      </c>
      <c r="V5" s="58"/>
      <c r="W5" s="58">
        <f>'01.2023'!W35</f>
        <v>0</v>
      </c>
      <c r="X5" s="58">
        <f>'01.2023'!X35</f>
        <v>0</v>
      </c>
      <c r="Y5" s="58"/>
      <c r="Z5" s="58">
        <f>'01.2023'!Y35</f>
        <v>613377.28000000003</v>
      </c>
      <c r="AA5" s="58" t="e">
        <f>#REF!</f>
        <v>#REF!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/>
      <c r="AH5" s="127" t="s">
        <v>43</v>
      </c>
      <c r="AI5" s="126">
        <v>33.65</v>
      </c>
      <c r="AJ5" s="21" t="s">
        <v>141</v>
      </c>
      <c r="AK5" s="91">
        <v>58232349</v>
      </c>
      <c r="AL5" s="21"/>
      <c r="AM5" s="21"/>
    </row>
    <row r="6" spans="1:40" ht="13.2" customHeight="1" thickBot="1" x14ac:dyDescent="0.35">
      <c r="A6" s="7">
        <v>44959</v>
      </c>
      <c r="B6" s="28">
        <v>20.03</v>
      </c>
      <c r="C6" s="30">
        <v>1.0820000000000001</v>
      </c>
      <c r="D6" s="22"/>
      <c r="E6" s="43">
        <f t="shared" ref="E6:E35" si="2">E5+D6-B6-C6</f>
        <v>509.76600000000008</v>
      </c>
      <c r="F6" s="51">
        <f t="shared" ref="F6:F35" si="3">C6</f>
        <v>1.0820000000000001</v>
      </c>
      <c r="G6" s="9">
        <v>1.3220000000000001</v>
      </c>
      <c r="H6" s="10"/>
      <c r="I6" s="161">
        <f t="shared" ref="I6:I35" si="4">I5+F6-G6-H6</f>
        <v>8.8799999999999955</v>
      </c>
      <c r="J6" s="8"/>
      <c r="K6" s="11"/>
      <c r="L6" s="12"/>
      <c r="M6" s="51">
        <f t="shared" si="0"/>
        <v>0</v>
      </c>
      <c r="N6" s="24">
        <v>0.21</v>
      </c>
      <c r="O6" s="47">
        <f t="shared" ref="O6:O34" si="5">O5+M6-N6</f>
        <v>1.8489999999999993</v>
      </c>
      <c r="P6" s="48"/>
      <c r="Q6" s="47">
        <f t="shared" si="1"/>
        <v>520.49500000000012</v>
      </c>
      <c r="R6" s="165">
        <f t="shared" ref="R6:R35" si="6">B6+G6+H6+J6</f>
        <v>21.352</v>
      </c>
      <c r="S6" s="160">
        <f>AI5+AI6+AI7</f>
        <v>104.21200000000002</v>
      </c>
      <c r="T6" s="58">
        <f>T5+390000</f>
        <v>574085.40000000014</v>
      </c>
      <c r="U6" s="157">
        <f>U5-AI6*M47+673000</f>
        <v>1174161.4479999999</v>
      </c>
      <c r="V6" s="58"/>
      <c r="W6" s="58">
        <v>0</v>
      </c>
      <c r="X6" s="58">
        <v>0</v>
      </c>
      <c r="Y6" s="107"/>
      <c r="Z6" s="107">
        <f>Z5-AI7*M47+422000</f>
        <v>640312.76399999997</v>
      </c>
      <c r="AA6" s="58">
        <v>0</v>
      </c>
      <c r="AB6" s="58">
        <v>0</v>
      </c>
      <c r="AC6" s="58">
        <v>0</v>
      </c>
      <c r="AD6" s="58">
        <v>76674</v>
      </c>
      <c r="AE6" s="58">
        <v>0</v>
      </c>
      <c r="AF6" s="58">
        <v>0</v>
      </c>
      <c r="AG6" s="58"/>
      <c r="AH6" s="128" t="s">
        <v>48</v>
      </c>
      <c r="AI6" s="120">
        <v>35.828000000000003</v>
      </c>
      <c r="AJ6" s="99" t="s">
        <v>139</v>
      </c>
      <c r="AK6" s="21">
        <v>76634047</v>
      </c>
      <c r="AL6" s="21"/>
      <c r="AM6" s="21"/>
    </row>
    <row r="7" spans="1:40" ht="13.2" customHeight="1" thickBot="1" x14ac:dyDescent="0.35">
      <c r="A7" s="7">
        <v>44960</v>
      </c>
      <c r="B7" s="28">
        <v>24.73</v>
      </c>
      <c r="C7" s="30">
        <v>2.1269999999999998</v>
      </c>
      <c r="D7" s="186"/>
      <c r="E7" s="43">
        <f t="shared" si="2"/>
        <v>482.90900000000005</v>
      </c>
      <c r="F7" s="51">
        <f t="shared" si="3"/>
        <v>2.1269999999999998</v>
      </c>
      <c r="G7" s="9">
        <f>2.017-H7</f>
        <v>1.69</v>
      </c>
      <c r="H7" s="10">
        <v>0.32700000000000001</v>
      </c>
      <c r="I7" s="161">
        <f t="shared" si="4"/>
        <v>8.9899999999999949</v>
      </c>
      <c r="J7" s="8"/>
      <c r="K7" s="11"/>
      <c r="L7" s="12"/>
      <c r="M7" s="51">
        <f t="shared" si="0"/>
        <v>0.32700000000000001</v>
      </c>
      <c r="N7" s="24">
        <v>0.254</v>
      </c>
      <c r="O7" s="47">
        <f t="shared" si="5"/>
        <v>1.9219999999999993</v>
      </c>
      <c r="P7" s="48"/>
      <c r="Q7" s="47">
        <f t="shared" si="1"/>
        <v>493.82100000000008</v>
      </c>
      <c r="R7" s="165">
        <f t="shared" si="6"/>
        <v>26.747000000000003</v>
      </c>
      <c r="S7" s="160">
        <v>104.21200000000002</v>
      </c>
      <c r="T7" s="58"/>
      <c r="U7" s="58">
        <v>1174161.4479999999</v>
      </c>
      <c r="V7" s="58"/>
      <c r="W7" s="58">
        <v>0</v>
      </c>
      <c r="X7" s="58">
        <v>0</v>
      </c>
      <c r="Y7" s="58"/>
      <c r="Z7" s="86"/>
      <c r="AA7" s="58">
        <v>0</v>
      </c>
      <c r="AB7" s="58">
        <v>0</v>
      </c>
      <c r="AC7" s="58">
        <v>0</v>
      </c>
      <c r="AD7" s="58">
        <v>76674</v>
      </c>
      <c r="AE7" s="58">
        <v>0</v>
      </c>
      <c r="AF7" s="58">
        <v>0</v>
      </c>
      <c r="AG7" s="58"/>
      <c r="AH7" s="123" t="s">
        <v>49</v>
      </c>
      <c r="AI7" s="122">
        <v>34.734000000000002</v>
      </c>
      <c r="AJ7" s="21" t="s">
        <v>140</v>
      </c>
      <c r="AK7" s="91">
        <v>50839808</v>
      </c>
      <c r="AL7" s="21"/>
      <c r="AM7" s="21"/>
    </row>
    <row r="8" spans="1:40" ht="12.75" customHeight="1" thickBot="1" x14ac:dyDescent="0.35">
      <c r="A8" s="3">
        <v>44961</v>
      </c>
      <c r="B8" s="28"/>
      <c r="C8" s="30"/>
      <c r="D8" s="186"/>
      <c r="E8" s="43">
        <f t="shared" si="2"/>
        <v>482.90900000000005</v>
      </c>
      <c r="F8" s="51">
        <f t="shared" si="3"/>
        <v>0</v>
      </c>
      <c r="G8" s="9"/>
      <c r="H8" s="10"/>
      <c r="I8" s="161">
        <f t="shared" si="4"/>
        <v>8.9899999999999949</v>
      </c>
      <c r="J8" s="8"/>
      <c r="K8" s="11"/>
      <c r="L8" s="12"/>
      <c r="M8" s="51">
        <f t="shared" si="0"/>
        <v>0</v>
      </c>
      <c r="N8" s="24"/>
      <c r="O8" s="47">
        <f t="shared" si="5"/>
        <v>1.9219999999999993</v>
      </c>
      <c r="P8" s="48"/>
      <c r="Q8" s="47">
        <f t="shared" si="1"/>
        <v>493.82100000000008</v>
      </c>
      <c r="R8" s="165">
        <f t="shared" si="6"/>
        <v>0</v>
      </c>
      <c r="S8" s="160">
        <v>104.21200000000002</v>
      </c>
      <c r="T8" s="58"/>
      <c r="U8" s="82">
        <v>1174161.4479999999</v>
      </c>
      <c r="V8" s="212"/>
      <c r="W8" s="58">
        <v>0</v>
      </c>
      <c r="X8" s="58">
        <v>0</v>
      </c>
      <c r="Y8" s="58"/>
      <c r="Z8" s="86"/>
      <c r="AA8" s="58">
        <v>0</v>
      </c>
      <c r="AB8" s="58">
        <v>0</v>
      </c>
      <c r="AC8" s="58">
        <v>0</v>
      </c>
      <c r="AD8" s="58">
        <v>76674</v>
      </c>
      <c r="AE8" s="58">
        <v>0</v>
      </c>
      <c r="AF8" s="58">
        <v>0</v>
      </c>
      <c r="AG8" s="58"/>
      <c r="AH8" s="127"/>
      <c r="AI8" s="126"/>
      <c r="AJ8" s="99"/>
      <c r="AK8" s="91"/>
      <c r="AL8" s="239"/>
      <c r="AM8" s="21"/>
    </row>
    <row r="9" spans="1:40" ht="13.2" customHeight="1" thickBot="1" x14ac:dyDescent="0.35">
      <c r="A9" s="3">
        <v>44962</v>
      </c>
      <c r="B9" s="28"/>
      <c r="C9" s="30"/>
      <c r="D9" s="186"/>
      <c r="E9" s="43">
        <f t="shared" si="2"/>
        <v>482.90900000000005</v>
      </c>
      <c r="F9" s="51">
        <f t="shared" si="3"/>
        <v>0</v>
      </c>
      <c r="G9" s="9"/>
      <c r="H9" s="10"/>
      <c r="I9" s="161">
        <f t="shared" si="4"/>
        <v>8.9899999999999949</v>
      </c>
      <c r="J9" s="8"/>
      <c r="K9" s="11"/>
      <c r="L9" s="12"/>
      <c r="M9" s="51">
        <f t="shared" si="0"/>
        <v>0</v>
      </c>
      <c r="N9" s="24"/>
      <c r="O9" s="47">
        <f t="shared" si="5"/>
        <v>1.9219999999999993</v>
      </c>
      <c r="P9" s="48"/>
      <c r="Q9" s="47">
        <f t="shared" si="1"/>
        <v>493.82100000000008</v>
      </c>
      <c r="R9" s="165">
        <f t="shared" si="6"/>
        <v>0</v>
      </c>
      <c r="S9" s="160">
        <v>104.21200000000002</v>
      </c>
      <c r="T9" s="86"/>
      <c r="U9" s="82">
        <v>1174161.4479999999</v>
      </c>
      <c r="V9" s="212"/>
      <c r="W9" s="80">
        <v>0</v>
      </c>
      <c r="X9" s="79">
        <v>0</v>
      </c>
      <c r="Y9" s="58"/>
      <c r="Z9" s="86"/>
      <c r="AA9" s="87">
        <v>0</v>
      </c>
      <c r="AB9" s="80">
        <v>0</v>
      </c>
      <c r="AC9" s="230">
        <v>0</v>
      </c>
      <c r="AD9" s="87">
        <v>76674</v>
      </c>
      <c r="AE9" s="55">
        <v>0</v>
      </c>
      <c r="AF9" s="14">
        <v>0</v>
      </c>
      <c r="AG9" s="58"/>
      <c r="AH9" s="123"/>
      <c r="AI9" s="122"/>
      <c r="AJ9" s="99"/>
      <c r="AK9" s="91"/>
      <c r="AL9" s="99"/>
      <c r="AM9" s="21"/>
      <c r="AN9" s="21"/>
    </row>
    <row r="10" spans="1:40" s="1" customFormat="1" ht="13.2" customHeight="1" thickBot="1" x14ac:dyDescent="0.35">
      <c r="A10" s="7">
        <v>44963</v>
      </c>
      <c r="B10" s="28">
        <v>37.064999999999998</v>
      </c>
      <c r="C10" s="30">
        <v>2.2999999999999998</v>
      </c>
      <c r="D10" s="186">
        <f>AI5+20.73</f>
        <v>54.379999999999995</v>
      </c>
      <c r="E10" s="43">
        <f t="shared" si="2"/>
        <v>497.92399999999998</v>
      </c>
      <c r="F10" s="51">
        <f t="shared" si="3"/>
        <v>2.2999999999999998</v>
      </c>
      <c r="G10" s="30">
        <f>1.69-H10</f>
        <v>1.69</v>
      </c>
      <c r="H10" s="10"/>
      <c r="I10" s="161">
        <f t="shared" si="4"/>
        <v>9.5999999999999961</v>
      </c>
      <c r="J10" s="8"/>
      <c r="K10" s="11"/>
      <c r="L10" s="12"/>
      <c r="M10" s="51">
        <f t="shared" si="0"/>
        <v>0</v>
      </c>
      <c r="N10" s="24">
        <v>0.27800000000000002</v>
      </c>
      <c r="O10" s="47">
        <f t="shared" si="5"/>
        <v>1.6439999999999992</v>
      </c>
      <c r="P10" s="48"/>
      <c r="Q10" s="47">
        <f t="shared" si="1"/>
        <v>509.16800000000001</v>
      </c>
      <c r="R10" s="165">
        <f t="shared" si="6"/>
        <v>38.754999999999995</v>
      </c>
      <c r="S10" s="160">
        <f>AI6+AI7</f>
        <v>70.562000000000012</v>
      </c>
      <c r="T10" s="86"/>
      <c r="U10" s="82">
        <v>1174161.4479999999</v>
      </c>
      <c r="V10" s="212"/>
      <c r="W10" s="80">
        <v>0</v>
      </c>
      <c r="X10" s="79">
        <v>0</v>
      </c>
      <c r="Y10" s="58"/>
      <c r="Z10" s="86"/>
      <c r="AA10" s="87"/>
      <c r="AB10" s="80"/>
      <c r="AC10" s="187"/>
      <c r="AD10" s="87">
        <v>0</v>
      </c>
      <c r="AE10" s="55"/>
      <c r="AF10" s="136"/>
      <c r="AG10" s="58">
        <v>0</v>
      </c>
      <c r="AH10" s="128"/>
      <c r="AI10" s="120"/>
      <c r="AJ10" s="99"/>
      <c r="AK10" s="91"/>
      <c r="AL10" s="239"/>
      <c r="AM10" s="27"/>
      <c r="AN10" s="27"/>
    </row>
    <row r="11" spans="1:40" ht="13.2" customHeight="1" thickBot="1" x14ac:dyDescent="0.35">
      <c r="A11" s="7">
        <v>44964</v>
      </c>
      <c r="B11" s="28">
        <v>5.77</v>
      </c>
      <c r="C11" s="30">
        <v>0.83699999999999997</v>
      </c>
      <c r="D11" s="186"/>
      <c r="E11" s="43">
        <f>E10+D11-B11-C11</f>
        <v>491.31700000000001</v>
      </c>
      <c r="F11" s="51">
        <f t="shared" si="3"/>
        <v>0.83699999999999997</v>
      </c>
      <c r="G11" s="9">
        <f>1.637-H11</f>
        <v>1.0049999999999999</v>
      </c>
      <c r="H11" s="10">
        <v>0.63200000000000001</v>
      </c>
      <c r="I11" s="161">
        <f t="shared" si="4"/>
        <v>8.7999999999999954</v>
      </c>
      <c r="J11" s="8"/>
      <c r="K11" s="11"/>
      <c r="L11" s="12"/>
      <c r="M11" s="51">
        <f t="shared" si="0"/>
        <v>0.63200000000000001</v>
      </c>
      <c r="N11" s="24">
        <v>0.3</v>
      </c>
      <c r="O11" s="47">
        <f t="shared" si="5"/>
        <v>1.9759999999999993</v>
      </c>
      <c r="P11" s="48"/>
      <c r="Q11" s="47">
        <f t="shared" si="1"/>
        <v>502.09300000000002</v>
      </c>
      <c r="R11" s="165">
        <f>B11+G11+H11+J11</f>
        <v>7.4069999999999991</v>
      </c>
      <c r="S11" s="160">
        <v>70.562000000000012</v>
      </c>
      <c r="T11" s="86"/>
      <c r="U11" s="82">
        <v>1174161.4479999999</v>
      </c>
      <c r="V11" s="212"/>
      <c r="W11" s="80">
        <v>0</v>
      </c>
      <c r="X11" s="79">
        <f>20.73*12000</f>
        <v>248760</v>
      </c>
      <c r="Y11" s="58"/>
      <c r="Z11" s="86"/>
      <c r="AA11" s="87"/>
      <c r="AB11" s="80"/>
      <c r="AC11" s="230"/>
      <c r="AD11" s="87">
        <v>0</v>
      </c>
      <c r="AE11" s="55"/>
      <c r="AF11" s="14"/>
      <c r="AG11" s="86">
        <v>0</v>
      </c>
      <c r="AH11" s="123"/>
      <c r="AI11" s="122"/>
      <c r="AJ11" s="103"/>
      <c r="AK11" s="91"/>
      <c r="AL11" s="21"/>
      <c r="AM11" s="21"/>
      <c r="AN11" s="21"/>
    </row>
    <row r="12" spans="1:40" ht="13.2" customHeight="1" thickBot="1" x14ac:dyDescent="0.35">
      <c r="A12" s="7">
        <v>44965</v>
      </c>
      <c r="B12" s="28">
        <v>16.489999999999998</v>
      </c>
      <c r="C12" s="30">
        <v>1.2</v>
      </c>
      <c r="D12" s="186">
        <f>AI7</f>
        <v>34.734000000000002</v>
      </c>
      <c r="E12" s="43">
        <f>E11+D12-B12-C12</f>
        <v>508.36100000000005</v>
      </c>
      <c r="F12" s="51">
        <f t="shared" si="3"/>
        <v>1.2</v>
      </c>
      <c r="G12" s="30">
        <f>1.7</f>
        <v>1.7</v>
      </c>
      <c r="H12" s="24"/>
      <c r="I12" s="161">
        <f t="shared" si="4"/>
        <v>8.2999999999999954</v>
      </c>
      <c r="J12" s="8"/>
      <c r="K12" s="11"/>
      <c r="L12" s="12"/>
      <c r="M12" s="51">
        <f t="shared" si="0"/>
        <v>0</v>
      </c>
      <c r="N12" s="24">
        <v>0.38900000000000001</v>
      </c>
      <c r="O12" s="47">
        <f t="shared" si="5"/>
        <v>1.5869999999999993</v>
      </c>
      <c r="P12" s="48"/>
      <c r="Q12" s="47">
        <f t="shared" si="1"/>
        <v>518.24800000000005</v>
      </c>
      <c r="R12" s="165">
        <f>B12+G12+H12+J12</f>
        <v>18.189999999999998</v>
      </c>
      <c r="S12" s="160">
        <f>AI6+AI12</f>
        <v>74.628</v>
      </c>
      <c r="T12" s="59">
        <f>T6-AI12*M43</f>
        <v>140611.80000000016</v>
      </c>
      <c r="U12" s="82">
        <v>1174161.4479999999</v>
      </c>
      <c r="V12" s="212"/>
      <c r="W12" s="80"/>
      <c r="X12" s="85">
        <v>0</v>
      </c>
      <c r="Y12" s="58"/>
      <c r="Z12" s="86"/>
      <c r="AA12" s="86"/>
      <c r="AB12" s="80"/>
      <c r="AC12" s="187"/>
      <c r="AD12" s="87">
        <v>0</v>
      </c>
      <c r="AE12" s="55"/>
      <c r="AF12" s="14"/>
      <c r="AG12" s="86">
        <v>0</v>
      </c>
      <c r="AH12" s="127" t="s">
        <v>43</v>
      </c>
      <c r="AI12" s="126">
        <v>38.799999999999997</v>
      </c>
      <c r="AJ12" s="103" t="s">
        <v>142</v>
      </c>
      <c r="AK12" s="91">
        <v>76673524</v>
      </c>
      <c r="AL12" s="21"/>
      <c r="AM12" s="21"/>
      <c r="AN12" s="21"/>
    </row>
    <row r="13" spans="1:40" ht="13.2" customHeight="1" thickBot="1" x14ac:dyDescent="0.35">
      <c r="A13" s="7">
        <v>44966</v>
      </c>
      <c r="B13" s="28">
        <v>8.86</v>
      </c>
      <c r="C13" s="30">
        <v>1.496</v>
      </c>
      <c r="D13" s="186">
        <f>AI6</f>
        <v>35.828000000000003</v>
      </c>
      <c r="E13" s="43">
        <f t="shared" si="2"/>
        <v>533.83300000000008</v>
      </c>
      <c r="F13" s="51">
        <f t="shared" si="3"/>
        <v>1.496</v>
      </c>
      <c r="G13" s="9">
        <f>1.396-H13</f>
        <v>0.8819999999999999</v>
      </c>
      <c r="H13" s="10">
        <v>0.51400000000000001</v>
      </c>
      <c r="I13" s="161">
        <f t="shared" si="4"/>
        <v>8.3999999999999968</v>
      </c>
      <c r="J13" s="8"/>
      <c r="K13" s="26"/>
      <c r="L13" s="12"/>
      <c r="M13" s="51">
        <f t="shared" si="0"/>
        <v>0.51400000000000001</v>
      </c>
      <c r="N13" s="24">
        <v>0.23400000000000001</v>
      </c>
      <c r="O13" s="47">
        <f t="shared" si="5"/>
        <v>1.8669999999999991</v>
      </c>
      <c r="P13" s="48"/>
      <c r="Q13" s="47">
        <f t="shared" si="1"/>
        <v>544.1</v>
      </c>
      <c r="R13" s="165">
        <f t="shared" si="6"/>
        <v>10.255999999999998</v>
      </c>
      <c r="S13" s="160">
        <f>AI12</f>
        <v>38.799999999999997</v>
      </c>
      <c r="T13" s="86"/>
      <c r="U13" s="82">
        <v>1174161.4479999999</v>
      </c>
      <c r="V13" s="212"/>
      <c r="W13" s="80"/>
      <c r="X13" s="85">
        <v>0</v>
      </c>
      <c r="Y13" s="58"/>
      <c r="Z13" s="86"/>
      <c r="AA13" s="86"/>
      <c r="AB13" s="80"/>
      <c r="AC13" s="187"/>
      <c r="AD13" s="87">
        <v>0</v>
      </c>
      <c r="AE13" s="55"/>
      <c r="AF13" s="14"/>
      <c r="AG13" s="86">
        <v>0</v>
      </c>
      <c r="AH13" s="127"/>
      <c r="AI13" s="126"/>
      <c r="AJ13" s="99"/>
      <c r="AK13" s="91"/>
      <c r="AL13" s="135"/>
      <c r="AM13" s="21"/>
      <c r="AN13" s="21"/>
    </row>
    <row r="14" spans="1:40" ht="13.2" customHeight="1" thickBot="1" x14ac:dyDescent="0.35">
      <c r="A14" s="7">
        <v>44967</v>
      </c>
      <c r="B14" s="28">
        <v>31.67</v>
      </c>
      <c r="C14" s="30">
        <v>1.226</v>
      </c>
      <c r="D14" s="186"/>
      <c r="E14" s="43">
        <f t="shared" si="2"/>
        <v>500.93700000000007</v>
      </c>
      <c r="F14" s="51">
        <f t="shared" si="3"/>
        <v>1.226</v>
      </c>
      <c r="G14" s="30">
        <f>1.986-H14</f>
        <v>1.37</v>
      </c>
      <c r="H14" s="24">
        <v>0.61599999999999999</v>
      </c>
      <c r="I14" s="161">
        <f t="shared" si="4"/>
        <v>7.639999999999997</v>
      </c>
      <c r="J14" s="8"/>
      <c r="K14" s="11"/>
      <c r="L14" s="12"/>
      <c r="M14" s="51">
        <f t="shared" si="0"/>
        <v>0.61599999999999999</v>
      </c>
      <c r="N14" s="24">
        <v>0.45300000000000001</v>
      </c>
      <c r="O14" s="47">
        <f t="shared" si="5"/>
        <v>2.0299999999999994</v>
      </c>
      <c r="P14" s="48"/>
      <c r="Q14" s="47">
        <f t="shared" si="1"/>
        <v>510.60700000000003</v>
      </c>
      <c r="R14" s="165">
        <f t="shared" si="6"/>
        <v>33.655999999999999</v>
      </c>
      <c r="S14" s="160">
        <v>38.799999999999997</v>
      </c>
      <c r="T14" s="86">
        <f>T12+310000+45000</f>
        <v>495611.80000000016</v>
      </c>
      <c r="U14" s="86">
        <f>U6+429000</f>
        <v>1603161.4479999999</v>
      </c>
      <c r="V14" s="86"/>
      <c r="W14" s="80"/>
      <c r="X14" s="85">
        <v>0</v>
      </c>
      <c r="Y14" s="58"/>
      <c r="Z14" s="58">
        <f>Z6+242000</f>
        <v>882312.76399999997</v>
      </c>
      <c r="AA14" s="86"/>
      <c r="AB14" s="80"/>
      <c r="AC14" s="190"/>
      <c r="AD14" s="87">
        <v>0</v>
      </c>
      <c r="AE14" s="55"/>
      <c r="AF14" s="14"/>
      <c r="AG14" s="86">
        <v>0</v>
      </c>
      <c r="AH14" s="128"/>
      <c r="AI14" s="120"/>
      <c r="AJ14" s="208"/>
      <c r="AK14" s="91"/>
      <c r="AL14" s="239"/>
      <c r="AM14" s="21"/>
      <c r="AN14" s="21"/>
    </row>
    <row r="15" spans="1:40" ht="13.2" customHeight="1" thickBot="1" x14ac:dyDescent="0.35">
      <c r="A15" s="3">
        <v>44968</v>
      </c>
      <c r="B15" s="28"/>
      <c r="C15" s="30"/>
      <c r="D15" s="186"/>
      <c r="E15" s="43">
        <f t="shared" si="2"/>
        <v>500.93700000000007</v>
      </c>
      <c r="F15" s="51">
        <f t="shared" si="3"/>
        <v>0</v>
      </c>
      <c r="G15" s="9"/>
      <c r="H15" s="10"/>
      <c r="I15" s="161">
        <f t="shared" si="4"/>
        <v>7.639999999999997</v>
      </c>
      <c r="J15" s="8"/>
      <c r="K15" s="11"/>
      <c r="L15" s="12"/>
      <c r="M15" s="51">
        <f>H15</f>
        <v>0</v>
      </c>
      <c r="N15" s="24"/>
      <c r="O15" s="47">
        <f t="shared" si="5"/>
        <v>2.0299999999999994</v>
      </c>
      <c r="P15" s="48"/>
      <c r="Q15" s="47">
        <f t="shared" si="1"/>
        <v>510.60700000000003</v>
      </c>
      <c r="R15" s="165">
        <f t="shared" si="6"/>
        <v>0</v>
      </c>
      <c r="S15" s="160">
        <v>38.799999999999997</v>
      </c>
      <c r="T15" s="86"/>
      <c r="U15" s="86">
        <f>1603161.45+570142.93</f>
        <v>2173304.38</v>
      </c>
      <c r="V15" s="86"/>
      <c r="W15" s="80"/>
      <c r="X15" s="85">
        <v>0</v>
      </c>
      <c r="Y15" s="58"/>
      <c r="Z15" s="86"/>
      <c r="AA15" s="86"/>
      <c r="AB15" s="80"/>
      <c r="AC15" s="79"/>
      <c r="AD15" s="87">
        <v>0</v>
      </c>
      <c r="AE15" s="55"/>
      <c r="AF15" s="14"/>
      <c r="AG15" s="86">
        <v>0</v>
      </c>
      <c r="AH15" s="128"/>
      <c r="AI15" s="120"/>
      <c r="AJ15" s="208"/>
      <c r="AK15" s="91"/>
      <c r="AL15" s="239"/>
      <c r="AM15" s="21"/>
      <c r="AN15" s="21"/>
    </row>
    <row r="16" spans="1:40" ht="13.2" customHeight="1" thickBot="1" x14ac:dyDescent="0.35">
      <c r="A16" s="3">
        <v>44969</v>
      </c>
      <c r="B16" s="28"/>
      <c r="C16" s="30"/>
      <c r="D16" s="186"/>
      <c r="E16" s="43">
        <f t="shared" si="2"/>
        <v>500.93700000000007</v>
      </c>
      <c r="F16" s="51">
        <f t="shared" si="3"/>
        <v>0</v>
      </c>
      <c r="G16" s="9"/>
      <c r="H16" s="10"/>
      <c r="I16" s="161">
        <f t="shared" si="4"/>
        <v>7.639999999999997</v>
      </c>
      <c r="J16" s="8"/>
      <c r="K16" s="11"/>
      <c r="L16" s="12"/>
      <c r="M16" s="51">
        <f t="shared" si="0"/>
        <v>0</v>
      </c>
      <c r="N16" s="24"/>
      <c r="O16" s="47">
        <f t="shared" si="5"/>
        <v>2.0299999999999994</v>
      </c>
      <c r="P16" s="48"/>
      <c r="Q16" s="47">
        <f t="shared" si="1"/>
        <v>510.60700000000003</v>
      </c>
      <c r="R16" s="165">
        <f t="shared" si="6"/>
        <v>0</v>
      </c>
      <c r="S16" s="160">
        <v>38.799999999999997</v>
      </c>
      <c r="T16" s="86"/>
      <c r="U16" s="86">
        <v>2173304.38</v>
      </c>
      <c r="V16" s="86"/>
      <c r="W16" s="80"/>
      <c r="X16" s="85">
        <v>0</v>
      </c>
      <c r="Y16" s="58"/>
      <c r="Z16" s="86"/>
      <c r="AA16" s="86"/>
      <c r="AB16" s="80"/>
      <c r="AC16" s="230"/>
      <c r="AD16" s="87">
        <v>0</v>
      </c>
      <c r="AE16" s="55"/>
      <c r="AF16" s="14"/>
      <c r="AG16" s="86">
        <v>0</v>
      </c>
      <c r="AH16" s="123" t="s">
        <v>49</v>
      </c>
      <c r="AI16" s="122">
        <v>35.246000000000002</v>
      </c>
      <c r="AJ16" s="103" t="s">
        <v>143</v>
      </c>
      <c r="AK16" s="91">
        <v>50844430</v>
      </c>
      <c r="AL16" s="239"/>
      <c r="AM16" s="21"/>
      <c r="AN16" s="21"/>
    </row>
    <row r="17" spans="1:40" s="1" customFormat="1" ht="13.2" customHeight="1" thickBot="1" x14ac:dyDescent="0.35">
      <c r="A17" s="7">
        <v>44970</v>
      </c>
      <c r="B17" s="28">
        <v>31.82</v>
      </c>
      <c r="C17" s="30">
        <v>4.1980000000000004</v>
      </c>
      <c r="D17" s="186">
        <f>AI12</f>
        <v>38.799999999999997</v>
      </c>
      <c r="E17" s="43">
        <f t="shared" si="2"/>
        <v>503.71900000000011</v>
      </c>
      <c r="F17" s="51">
        <f t="shared" si="3"/>
        <v>4.1980000000000004</v>
      </c>
      <c r="G17" s="9">
        <v>3.988</v>
      </c>
      <c r="H17" s="10"/>
      <c r="I17" s="161">
        <f t="shared" si="4"/>
        <v>7.8499999999999979</v>
      </c>
      <c r="J17" s="4"/>
      <c r="K17" s="5"/>
      <c r="L17" s="6"/>
      <c r="M17" s="51">
        <f t="shared" si="0"/>
        <v>0</v>
      </c>
      <c r="N17" s="24">
        <v>0.40899999999999997</v>
      </c>
      <c r="O17" s="47">
        <f t="shared" si="5"/>
        <v>1.6209999999999993</v>
      </c>
      <c r="P17" s="49"/>
      <c r="Q17" s="47">
        <f t="shared" si="1"/>
        <v>513.19000000000017</v>
      </c>
      <c r="R17" s="165">
        <f t="shared" si="6"/>
        <v>35.808</v>
      </c>
      <c r="S17" s="160">
        <f>AI16</f>
        <v>35.246000000000002</v>
      </c>
      <c r="T17" s="86"/>
      <c r="U17" s="86">
        <v>2173304.38</v>
      </c>
      <c r="V17" s="86"/>
      <c r="W17" s="80"/>
      <c r="X17" s="85">
        <v>0</v>
      </c>
      <c r="Y17" s="107"/>
      <c r="Z17" s="107">
        <f>Z14-AI16*M47+0.29</f>
        <v>481425.04999999993</v>
      </c>
      <c r="AA17" s="86"/>
      <c r="AB17" s="80"/>
      <c r="AC17" s="187"/>
      <c r="AD17" s="87">
        <v>0</v>
      </c>
      <c r="AE17" s="55"/>
      <c r="AF17" s="14"/>
      <c r="AG17" s="86">
        <v>0</v>
      </c>
      <c r="AH17" s="123"/>
      <c r="AI17" s="122"/>
      <c r="AJ17" s="21"/>
      <c r="AK17" s="91"/>
      <c r="AL17" s="130"/>
      <c r="AM17" s="99"/>
      <c r="AN17" s="27"/>
    </row>
    <row r="18" spans="1:40" ht="13.2" customHeight="1" thickBot="1" x14ac:dyDescent="0.35">
      <c r="A18" s="7">
        <v>44971</v>
      </c>
      <c r="B18" s="28">
        <v>0.79</v>
      </c>
      <c r="C18" s="30">
        <v>2.8519999999999999</v>
      </c>
      <c r="D18" s="186"/>
      <c r="E18" s="43">
        <f t="shared" si="2"/>
        <v>500.07700000000011</v>
      </c>
      <c r="F18" s="51">
        <f t="shared" si="3"/>
        <v>2.8519999999999999</v>
      </c>
      <c r="G18" s="9">
        <f>2.852-H18</f>
        <v>2.2599999999999998</v>
      </c>
      <c r="H18" s="10">
        <v>0.59199999999999997</v>
      </c>
      <c r="I18" s="161">
        <f t="shared" si="4"/>
        <v>7.8499999999999988</v>
      </c>
      <c r="J18" s="8"/>
      <c r="K18" s="11"/>
      <c r="L18" s="12"/>
      <c r="M18" s="51">
        <f t="shared" si="0"/>
        <v>0.59199999999999997</v>
      </c>
      <c r="N18" s="24">
        <v>8.7999999999999995E-2</v>
      </c>
      <c r="O18" s="47">
        <f t="shared" si="5"/>
        <v>2.1249999999999991</v>
      </c>
      <c r="P18" s="48"/>
      <c r="Q18" s="47">
        <f t="shared" si="1"/>
        <v>510.05200000000013</v>
      </c>
      <c r="R18" s="165">
        <f t="shared" si="6"/>
        <v>3.6419999999999999</v>
      </c>
      <c r="S18" s="160">
        <v>35.246000000000002</v>
      </c>
      <c r="T18" s="86">
        <f>T14+1173000</f>
        <v>1668611.8000000003</v>
      </c>
      <c r="U18" s="86">
        <f>U15+751000</f>
        <v>2924304.38</v>
      </c>
      <c r="V18" s="86"/>
      <c r="W18" s="271"/>
      <c r="X18" s="272">
        <v>0</v>
      </c>
      <c r="Y18" s="58"/>
      <c r="Z18" s="58">
        <f>Z17+424000</f>
        <v>905425.04999999993</v>
      </c>
      <c r="AA18" s="86"/>
      <c r="AB18" s="80"/>
      <c r="AC18" s="187"/>
      <c r="AD18" s="87">
        <v>0</v>
      </c>
      <c r="AE18" s="55"/>
      <c r="AF18" s="14"/>
      <c r="AG18" s="86">
        <v>0</v>
      </c>
      <c r="AH18" s="123" t="s">
        <v>49</v>
      </c>
      <c r="AI18" s="122">
        <v>33.901000000000003</v>
      </c>
      <c r="AJ18" s="208" t="s">
        <v>144</v>
      </c>
      <c r="AK18" s="91">
        <v>58243346</v>
      </c>
      <c r="AL18" s="239"/>
      <c r="AM18" s="21"/>
      <c r="AN18" s="21"/>
    </row>
    <row r="19" spans="1:40" ht="13.2" customHeight="1" thickBot="1" x14ac:dyDescent="0.35">
      <c r="A19" s="7">
        <v>44972</v>
      </c>
      <c r="B19" s="28">
        <v>22.5</v>
      </c>
      <c r="C19" s="30">
        <v>5.8040000000000003</v>
      </c>
      <c r="D19" s="186"/>
      <c r="E19" s="43">
        <f t="shared" si="2"/>
        <v>471.77300000000014</v>
      </c>
      <c r="F19" s="51">
        <f t="shared" si="3"/>
        <v>5.8040000000000003</v>
      </c>
      <c r="G19" s="9">
        <f>6.474</f>
        <v>6.4740000000000002</v>
      </c>
      <c r="H19" s="10"/>
      <c r="I19" s="161">
        <f t="shared" si="4"/>
        <v>7.18</v>
      </c>
      <c r="J19" s="8"/>
      <c r="K19" s="11"/>
      <c r="L19" s="12"/>
      <c r="M19" s="51">
        <f t="shared" si="0"/>
        <v>0</v>
      </c>
      <c r="N19" s="24">
        <v>0.40600000000000003</v>
      </c>
      <c r="O19" s="47">
        <f t="shared" si="5"/>
        <v>1.718999999999999</v>
      </c>
      <c r="P19" s="48"/>
      <c r="Q19" s="47">
        <f t="shared" si="1"/>
        <v>480.67200000000014</v>
      </c>
      <c r="R19" s="165">
        <f t="shared" si="6"/>
        <v>28.974</v>
      </c>
      <c r="S19" s="160">
        <f>AI16+AI19+AI20+AI21+AI18</f>
        <v>172.44100000000003</v>
      </c>
      <c r="T19" s="88">
        <f>T18-AI21*M43</f>
        <v>1230669.4000000004</v>
      </c>
      <c r="U19" s="157">
        <f>U18-(AI19+AI20)*M47+0.4</f>
        <v>2195299.6239999998</v>
      </c>
      <c r="V19" s="86"/>
      <c r="W19" s="80"/>
      <c r="X19" s="94">
        <v>0</v>
      </c>
      <c r="Y19" s="107"/>
      <c r="Z19" s="107">
        <f>Z18-AI18*M45</f>
        <v>519835.07599999988</v>
      </c>
      <c r="AA19" s="86"/>
      <c r="AB19" s="80"/>
      <c r="AC19" s="79"/>
      <c r="AD19" s="87">
        <v>0</v>
      </c>
      <c r="AE19" s="55"/>
      <c r="AF19" s="14"/>
      <c r="AG19" s="86">
        <v>0</v>
      </c>
      <c r="AH19" s="128" t="s">
        <v>48</v>
      </c>
      <c r="AI19" s="120">
        <v>32.046999999999997</v>
      </c>
      <c r="AJ19" s="103" t="s">
        <v>146</v>
      </c>
      <c r="AK19" s="91">
        <v>50819267</v>
      </c>
      <c r="AL19" s="239"/>
      <c r="AM19" s="21"/>
      <c r="AN19" s="21"/>
    </row>
    <row r="20" spans="1:40" ht="13.2" customHeight="1" thickBot="1" x14ac:dyDescent="0.35">
      <c r="A20" s="7">
        <v>44973</v>
      </c>
      <c r="B20" s="28">
        <v>20.48</v>
      </c>
      <c r="C20" s="30">
        <v>2.0230000000000001</v>
      </c>
      <c r="D20" s="196"/>
      <c r="E20" s="43">
        <f t="shared" si="2"/>
        <v>449.2700000000001</v>
      </c>
      <c r="F20" s="51">
        <f t="shared" si="3"/>
        <v>2.0230000000000001</v>
      </c>
      <c r="G20" s="9">
        <f>2.003-H20</f>
        <v>1.6220000000000001</v>
      </c>
      <c r="H20" s="10">
        <v>0.38100000000000001</v>
      </c>
      <c r="I20" s="161">
        <f t="shared" si="4"/>
        <v>7.1999999999999993</v>
      </c>
      <c r="J20" s="8"/>
      <c r="K20" s="11"/>
      <c r="L20" s="12"/>
      <c r="M20" s="51">
        <f t="shared" si="0"/>
        <v>0.38100000000000001</v>
      </c>
      <c r="N20" s="24">
        <v>0.36399999999999999</v>
      </c>
      <c r="O20" s="47">
        <f t="shared" si="5"/>
        <v>1.7359999999999989</v>
      </c>
      <c r="P20" s="48"/>
      <c r="Q20" s="47">
        <f t="shared" si="1"/>
        <v>458.20600000000007</v>
      </c>
      <c r="R20" s="165">
        <f t="shared" si="6"/>
        <v>22.483000000000001</v>
      </c>
      <c r="S20" s="160">
        <v>172.441</v>
      </c>
      <c r="T20" s="86"/>
      <c r="U20" s="86"/>
      <c r="V20" s="86"/>
      <c r="W20" s="80"/>
      <c r="X20" s="94">
        <v>0</v>
      </c>
      <c r="Y20" s="58"/>
      <c r="Z20" s="86"/>
      <c r="AA20" s="86"/>
      <c r="AB20" s="80"/>
      <c r="AC20" s="79"/>
      <c r="AD20" s="87">
        <v>0</v>
      </c>
      <c r="AE20" s="55"/>
      <c r="AF20" s="14"/>
      <c r="AG20" s="86">
        <v>0</v>
      </c>
      <c r="AH20" s="128" t="s">
        <v>48</v>
      </c>
      <c r="AI20" s="120">
        <v>32.046999999999997</v>
      </c>
      <c r="AJ20" s="103" t="s">
        <v>145</v>
      </c>
      <c r="AK20" s="91">
        <v>50842855</v>
      </c>
      <c r="AL20" s="21"/>
      <c r="AM20" s="21"/>
      <c r="AN20" s="21"/>
    </row>
    <row r="21" spans="1:40" ht="13.2" customHeight="1" thickBot="1" x14ac:dyDescent="0.35">
      <c r="A21" s="7">
        <v>44974</v>
      </c>
      <c r="B21" s="28">
        <v>32.93</v>
      </c>
      <c r="C21" s="28">
        <v>1.4</v>
      </c>
      <c r="D21" s="186"/>
      <c r="E21" s="43">
        <f t="shared" si="2"/>
        <v>414.94000000000011</v>
      </c>
      <c r="F21" s="51">
        <f t="shared" si="3"/>
        <v>1.4</v>
      </c>
      <c r="G21" s="9">
        <f>2.4-H21</f>
        <v>2.4</v>
      </c>
      <c r="H21" s="10"/>
      <c r="I21" s="161">
        <f t="shared" si="4"/>
        <v>6.1999999999999993</v>
      </c>
      <c r="J21" s="8"/>
      <c r="K21" s="11"/>
      <c r="L21" s="12"/>
      <c r="M21" s="51">
        <f t="shared" si="0"/>
        <v>0</v>
      </c>
      <c r="N21" s="24">
        <v>0.35599999999999998</v>
      </c>
      <c r="O21" s="47">
        <f t="shared" si="5"/>
        <v>1.379999999999999</v>
      </c>
      <c r="P21" s="48"/>
      <c r="Q21" s="47">
        <f t="shared" si="1"/>
        <v>422.5200000000001</v>
      </c>
      <c r="R21" s="165">
        <f t="shared" si="6"/>
        <v>35.33</v>
      </c>
      <c r="S21" s="160">
        <v>172.441</v>
      </c>
      <c r="T21" s="86"/>
      <c r="U21" s="86"/>
      <c r="V21" s="86"/>
      <c r="W21" s="80"/>
      <c r="X21" s="94">
        <v>0</v>
      </c>
      <c r="Y21" s="58"/>
      <c r="Z21" s="86"/>
      <c r="AA21" s="86"/>
      <c r="AB21" s="80"/>
      <c r="AC21" s="79"/>
      <c r="AD21" s="87">
        <v>0</v>
      </c>
      <c r="AE21" s="55"/>
      <c r="AF21" s="14"/>
      <c r="AG21" s="86">
        <v>0</v>
      </c>
      <c r="AH21" s="127" t="s">
        <v>43</v>
      </c>
      <c r="AI21" s="126">
        <v>39.200000000000003</v>
      </c>
      <c r="AJ21" s="208" t="s">
        <v>147</v>
      </c>
      <c r="AK21" s="91">
        <v>58185687</v>
      </c>
      <c r="AL21" s="21"/>
      <c r="AM21" s="21"/>
      <c r="AN21" s="21"/>
    </row>
    <row r="22" spans="1:40" ht="13.2" customHeight="1" thickBot="1" x14ac:dyDescent="0.35">
      <c r="A22" s="3">
        <v>44975</v>
      </c>
      <c r="B22" s="156"/>
      <c r="C22" s="146"/>
      <c r="D22" s="186"/>
      <c r="E22" s="43">
        <f t="shared" si="2"/>
        <v>414.94000000000011</v>
      </c>
      <c r="F22" s="51">
        <f t="shared" si="3"/>
        <v>0</v>
      </c>
      <c r="G22" s="9"/>
      <c r="H22" s="10"/>
      <c r="I22" s="161">
        <f t="shared" si="4"/>
        <v>6.1999999999999993</v>
      </c>
      <c r="J22" s="8"/>
      <c r="K22" s="11"/>
      <c r="L22" s="12"/>
      <c r="M22" s="51">
        <f t="shared" si="0"/>
        <v>0</v>
      </c>
      <c r="N22" s="24"/>
      <c r="O22" s="47">
        <f t="shared" si="5"/>
        <v>1.379999999999999</v>
      </c>
      <c r="P22" s="48"/>
      <c r="Q22" s="47">
        <f t="shared" si="1"/>
        <v>422.5200000000001</v>
      </c>
      <c r="R22" s="165">
        <f t="shared" si="6"/>
        <v>0</v>
      </c>
      <c r="S22" s="160">
        <v>172.441</v>
      </c>
      <c r="T22" s="86"/>
      <c r="U22" s="86"/>
      <c r="V22" s="86"/>
      <c r="W22" s="80"/>
      <c r="X22" s="94">
        <v>0</v>
      </c>
      <c r="Y22" s="58"/>
      <c r="Z22" s="86"/>
      <c r="AA22" s="86"/>
      <c r="AB22" s="80"/>
      <c r="AC22" s="79"/>
      <c r="AD22" s="87">
        <v>0</v>
      </c>
      <c r="AE22" s="55"/>
      <c r="AF22" s="14"/>
      <c r="AG22" s="86">
        <v>0</v>
      </c>
      <c r="AH22" s="127"/>
      <c r="AI22" s="126"/>
      <c r="AJ22" s="103"/>
      <c r="AK22" s="91"/>
      <c r="AL22" s="21"/>
      <c r="AM22" s="21"/>
      <c r="AN22" s="21"/>
    </row>
    <row r="23" spans="1:40" ht="13.2" customHeight="1" thickBot="1" x14ac:dyDescent="0.35">
      <c r="A23" s="3">
        <v>44976</v>
      </c>
      <c r="B23" s="28"/>
      <c r="C23" s="30"/>
      <c r="D23" s="186"/>
      <c r="E23" s="43">
        <f t="shared" si="2"/>
        <v>414.94000000000011</v>
      </c>
      <c r="F23" s="51">
        <f t="shared" si="3"/>
        <v>0</v>
      </c>
      <c r="G23" s="9"/>
      <c r="H23" s="10"/>
      <c r="I23" s="161">
        <f t="shared" si="4"/>
        <v>6.1999999999999993</v>
      </c>
      <c r="J23" s="8"/>
      <c r="K23" s="11"/>
      <c r="L23" s="12"/>
      <c r="M23" s="51">
        <f t="shared" si="0"/>
        <v>0</v>
      </c>
      <c r="N23" s="24"/>
      <c r="O23" s="47">
        <f t="shared" si="5"/>
        <v>1.379999999999999</v>
      </c>
      <c r="P23" s="48"/>
      <c r="Q23" s="47">
        <f t="shared" si="1"/>
        <v>422.5200000000001</v>
      </c>
      <c r="R23" s="165">
        <f t="shared" si="6"/>
        <v>0</v>
      </c>
      <c r="S23" s="160">
        <f>172.441+AI23</f>
        <v>235.749</v>
      </c>
      <c r="T23" s="86"/>
      <c r="U23" s="157">
        <f>U19-AI23*M47</f>
        <v>1475234.4319999998</v>
      </c>
      <c r="V23" s="86"/>
      <c r="W23" s="80"/>
      <c r="X23" s="94">
        <v>0</v>
      </c>
      <c r="Y23" s="58"/>
      <c r="Z23" s="86"/>
      <c r="AA23" s="86"/>
      <c r="AB23" s="80"/>
      <c r="AC23" s="79"/>
      <c r="AD23" s="87">
        <v>0</v>
      </c>
      <c r="AE23" s="55"/>
      <c r="AF23" s="14"/>
      <c r="AG23" s="86">
        <v>0</v>
      </c>
      <c r="AH23" s="128" t="s">
        <v>48</v>
      </c>
      <c r="AI23" s="120">
        <f>31.794+31.514</f>
        <v>63.308</v>
      </c>
      <c r="AJ23" s="208" t="s">
        <v>152</v>
      </c>
      <c r="AK23" s="21" t="s">
        <v>153</v>
      </c>
      <c r="AL23" s="91"/>
      <c r="AM23" s="21"/>
      <c r="AN23" s="21"/>
    </row>
    <row r="24" spans="1:40" ht="13.2" customHeight="1" thickBot="1" x14ac:dyDescent="0.35">
      <c r="A24" s="7">
        <v>44977</v>
      </c>
      <c r="B24" s="28">
        <v>21.2</v>
      </c>
      <c r="C24" s="30">
        <v>4.41</v>
      </c>
      <c r="D24" s="186">
        <f>AI16</f>
        <v>35.246000000000002</v>
      </c>
      <c r="E24" s="43">
        <f t="shared" si="2"/>
        <v>424.57600000000008</v>
      </c>
      <c r="F24" s="51">
        <f t="shared" si="3"/>
        <v>4.41</v>
      </c>
      <c r="G24" s="9">
        <f>2.71-H24</f>
        <v>2.1</v>
      </c>
      <c r="H24" s="10">
        <v>0.61</v>
      </c>
      <c r="I24" s="161">
        <f t="shared" si="4"/>
        <v>7.8999999999999995</v>
      </c>
      <c r="J24" s="8"/>
      <c r="K24" s="11"/>
      <c r="L24" s="12"/>
      <c r="M24" s="51">
        <f t="shared" si="0"/>
        <v>0.61</v>
      </c>
      <c r="N24" s="24">
        <v>0.20399999999999999</v>
      </c>
      <c r="O24" s="47">
        <f t="shared" si="5"/>
        <v>1.7859999999999989</v>
      </c>
      <c r="P24" s="48"/>
      <c r="Q24" s="47">
        <f t="shared" si="1"/>
        <v>434.26200000000006</v>
      </c>
      <c r="R24" s="165">
        <f t="shared" si="6"/>
        <v>23.91</v>
      </c>
      <c r="S24" s="160">
        <f>AI18+AI19+AI20+AI21+AI23</f>
        <v>200.50299999999999</v>
      </c>
      <c r="T24" s="86"/>
      <c r="U24" s="86"/>
      <c r="V24" s="86"/>
      <c r="W24" s="66"/>
      <c r="X24" s="94">
        <v>0</v>
      </c>
      <c r="Y24" s="58"/>
      <c r="Z24" s="86"/>
      <c r="AA24" s="86"/>
      <c r="AB24" s="80"/>
      <c r="AC24" s="79"/>
      <c r="AD24" s="87">
        <v>0</v>
      </c>
      <c r="AE24" s="55"/>
      <c r="AF24" s="14"/>
      <c r="AG24" s="86">
        <v>0</v>
      </c>
      <c r="AH24" s="218"/>
      <c r="AI24" s="155"/>
      <c r="AJ24" s="103"/>
      <c r="AK24" s="91"/>
      <c r="AL24" s="21"/>
      <c r="AM24" s="21"/>
      <c r="AN24" s="21"/>
    </row>
    <row r="25" spans="1:40" ht="13.2" customHeight="1" thickBot="1" x14ac:dyDescent="0.35">
      <c r="A25" s="7">
        <v>44978</v>
      </c>
      <c r="B25" s="28">
        <v>38.840000000000003</v>
      </c>
      <c r="C25" s="30">
        <v>1</v>
      </c>
      <c r="D25" s="186">
        <f>AI19+AI20+AI18+AI21</f>
        <v>137.19499999999999</v>
      </c>
      <c r="E25" s="43">
        <f t="shared" si="2"/>
        <v>521.93100000000004</v>
      </c>
      <c r="F25" s="51">
        <f t="shared" si="3"/>
        <v>1</v>
      </c>
      <c r="G25" s="219">
        <f>0.41</f>
        <v>0.41</v>
      </c>
      <c r="H25" s="10"/>
      <c r="I25" s="161">
        <f t="shared" si="4"/>
        <v>8.4899999999999984</v>
      </c>
      <c r="J25" s="8"/>
      <c r="K25" s="11"/>
      <c r="L25" s="12"/>
      <c r="M25" s="51">
        <f t="shared" si="0"/>
        <v>0</v>
      </c>
      <c r="N25" s="24">
        <v>0.23300000000000001</v>
      </c>
      <c r="O25" s="47">
        <f t="shared" si="5"/>
        <v>1.5529999999999988</v>
      </c>
      <c r="P25" s="48"/>
      <c r="Q25" s="47">
        <f t="shared" si="1"/>
        <v>531.97400000000005</v>
      </c>
      <c r="R25" s="165">
        <f t="shared" si="6"/>
        <v>39.25</v>
      </c>
      <c r="S25" s="160">
        <f>AI23</f>
        <v>63.308</v>
      </c>
      <c r="T25" s="86"/>
      <c r="U25" s="86"/>
      <c r="V25" s="86"/>
      <c r="W25" s="66"/>
      <c r="X25" s="94">
        <v>0</v>
      </c>
      <c r="Y25" s="58"/>
      <c r="Z25" s="86"/>
      <c r="AA25" s="86"/>
      <c r="AB25" s="80"/>
      <c r="AC25" s="79"/>
      <c r="AD25" s="87">
        <v>0</v>
      </c>
      <c r="AE25" s="55"/>
      <c r="AF25" s="14"/>
      <c r="AG25" s="86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7">
        <v>44979</v>
      </c>
      <c r="B26" s="28">
        <v>34.229999999999997</v>
      </c>
      <c r="C26" s="30">
        <v>7.0000000000000001E-3</v>
      </c>
      <c r="D26" s="186"/>
      <c r="E26" s="43">
        <f>E25+D26-B26-C26</f>
        <v>487.69400000000002</v>
      </c>
      <c r="F26" s="51">
        <f t="shared" si="3"/>
        <v>7.0000000000000001E-3</v>
      </c>
      <c r="G26" s="9">
        <f>3.357-H26</f>
        <v>2.9820000000000002</v>
      </c>
      <c r="H26" s="10">
        <v>0.375</v>
      </c>
      <c r="I26" s="161">
        <f t="shared" si="4"/>
        <v>5.1399999999999979</v>
      </c>
      <c r="J26" s="8"/>
      <c r="K26" s="11"/>
      <c r="L26" s="12"/>
      <c r="M26" s="51">
        <f t="shared" si="0"/>
        <v>0.375</v>
      </c>
      <c r="N26" s="275">
        <v>0.45700000000000002</v>
      </c>
      <c r="O26" s="47">
        <f t="shared" si="5"/>
        <v>1.4709999999999988</v>
      </c>
      <c r="P26" s="48"/>
      <c r="Q26" s="47">
        <f t="shared" si="1"/>
        <v>494.30500000000001</v>
      </c>
      <c r="R26" s="165">
        <f t="shared" si="6"/>
        <v>37.586999999999996</v>
      </c>
      <c r="S26" s="160">
        <f>AI23+AI26</f>
        <v>139.05799999999999</v>
      </c>
      <c r="T26" s="86">
        <f>T19-AI26*M43+123000</f>
        <v>507390.40000000037</v>
      </c>
      <c r="U26" s="86"/>
      <c r="V26" s="87"/>
      <c r="W26" s="66"/>
      <c r="X26" s="94">
        <v>0</v>
      </c>
      <c r="Y26" s="58"/>
      <c r="Z26" s="86"/>
      <c r="AA26" s="86"/>
      <c r="AB26" s="80"/>
      <c r="AC26" s="79"/>
      <c r="AD26" s="87">
        <v>0</v>
      </c>
      <c r="AE26" s="55"/>
      <c r="AF26" s="14"/>
      <c r="AG26" s="86">
        <v>0</v>
      </c>
      <c r="AH26" s="127" t="s">
        <v>43</v>
      </c>
      <c r="AI26" s="126">
        <v>75.75</v>
      </c>
      <c r="AJ26" s="208" t="s">
        <v>158</v>
      </c>
      <c r="AK26" s="91" t="s">
        <v>159</v>
      </c>
      <c r="AL26" s="21"/>
      <c r="AM26" s="21"/>
      <c r="AN26" s="21"/>
    </row>
    <row r="27" spans="1:40" ht="13.2" customHeight="1" thickBot="1" x14ac:dyDescent="0.35">
      <c r="A27" s="3">
        <v>44980</v>
      </c>
      <c r="B27" s="28"/>
      <c r="C27" s="28"/>
      <c r="D27" s="186"/>
      <c r="E27" s="43">
        <f>E26+D27-B27-C27</f>
        <v>487.69400000000002</v>
      </c>
      <c r="F27" s="51">
        <f t="shared" si="3"/>
        <v>0</v>
      </c>
      <c r="G27" s="9"/>
      <c r="H27" s="10"/>
      <c r="I27" s="161">
        <f t="shared" si="4"/>
        <v>5.1399999999999979</v>
      </c>
      <c r="J27" s="8"/>
      <c r="K27" s="11"/>
      <c r="L27" s="12"/>
      <c r="M27" s="51">
        <f t="shared" si="0"/>
        <v>0</v>
      </c>
      <c r="N27" s="24"/>
      <c r="O27" s="47">
        <f t="shared" si="5"/>
        <v>1.4709999999999988</v>
      </c>
      <c r="P27" s="48"/>
      <c r="Q27" s="47">
        <f t="shared" si="1"/>
        <v>494.30500000000001</v>
      </c>
      <c r="R27" s="165">
        <f t="shared" si="6"/>
        <v>0</v>
      </c>
      <c r="S27" s="160">
        <v>139.05799999999999</v>
      </c>
      <c r="T27" s="86"/>
      <c r="U27" s="86"/>
      <c r="V27" s="87"/>
      <c r="W27" s="153"/>
      <c r="X27" s="94">
        <v>0</v>
      </c>
      <c r="Y27" s="58"/>
      <c r="Z27" s="86"/>
      <c r="AA27" s="86"/>
      <c r="AB27" s="129"/>
      <c r="AC27" s="79"/>
      <c r="AD27" s="87">
        <v>0</v>
      </c>
      <c r="AE27" s="55"/>
      <c r="AF27" s="14"/>
      <c r="AG27" s="86">
        <v>0</v>
      </c>
      <c r="AH27" s="127"/>
      <c r="AI27" s="126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3">
        <v>44981</v>
      </c>
      <c r="B28" s="28"/>
      <c r="C28" s="30"/>
      <c r="D28" s="186"/>
      <c r="E28" s="43">
        <f t="shared" si="2"/>
        <v>487.69400000000002</v>
      </c>
      <c r="F28" s="51">
        <f t="shared" si="3"/>
        <v>0</v>
      </c>
      <c r="G28" s="9"/>
      <c r="H28" s="10"/>
      <c r="I28" s="44">
        <f t="shared" si="4"/>
        <v>5.1399999999999979</v>
      </c>
      <c r="J28" s="8"/>
      <c r="K28" s="11"/>
      <c r="L28" s="12"/>
      <c r="M28" s="51">
        <f t="shared" si="0"/>
        <v>0</v>
      </c>
      <c r="N28" s="24"/>
      <c r="O28" s="47">
        <f t="shared" si="5"/>
        <v>1.4709999999999988</v>
      </c>
      <c r="P28" s="48"/>
      <c r="Q28" s="47">
        <f t="shared" si="1"/>
        <v>494.30500000000001</v>
      </c>
      <c r="R28" s="165">
        <f t="shared" si="6"/>
        <v>0</v>
      </c>
      <c r="S28" s="160">
        <v>139.05799999999999</v>
      </c>
      <c r="T28" s="86"/>
      <c r="U28" s="86"/>
      <c r="V28" s="87"/>
      <c r="W28" s="153"/>
      <c r="X28" s="94">
        <v>0</v>
      </c>
      <c r="Y28" s="58"/>
      <c r="Z28" s="86"/>
      <c r="AA28" s="93"/>
      <c r="AB28" s="93"/>
      <c r="AC28" s="93"/>
      <c r="AD28" s="87">
        <v>0</v>
      </c>
      <c r="AE28" s="55"/>
      <c r="AF28" s="93"/>
      <c r="AG28" s="86">
        <v>0</v>
      </c>
      <c r="AH28" s="123"/>
      <c r="AI28" s="122"/>
      <c r="AJ28" s="269"/>
      <c r="AK28" s="269"/>
      <c r="AL28" s="21"/>
      <c r="AM28" s="21"/>
      <c r="AN28" s="21"/>
    </row>
    <row r="29" spans="1:40" ht="13.2" customHeight="1" outlineLevel="1" thickBot="1" x14ac:dyDescent="0.35">
      <c r="A29" s="3">
        <v>44982</v>
      </c>
      <c r="B29" s="28"/>
      <c r="C29" s="30"/>
      <c r="D29" s="186"/>
      <c r="E29" s="43">
        <f t="shared" si="2"/>
        <v>487.69400000000002</v>
      </c>
      <c r="F29" s="51">
        <f t="shared" si="3"/>
        <v>0</v>
      </c>
      <c r="G29" s="9"/>
      <c r="H29" s="10"/>
      <c r="I29" s="44">
        <f t="shared" si="4"/>
        <v>5.1399999999999979</v>
      </c>
      <c r="J29" s="8"/>
      <c r="K29" s="11"/>
      <c r="L29" s="12"/>
      <c r="M29" s="51">
        <f t="shared" si="0"/>
        <v>0</v>
      </c>
      <c r="N29" s="24"/>
      <c r="O29" s="47">
        <f t="shared" si="5"/>
        <v>1.4709999999999988</v>
      </c>
      <c r="P29" s="48"/>
      <c r="Q29" s="47">
        <f t="shared" si="1"/>
        <v>494.30500000000001</v>
      </c>
      <c r="R29" s="165">
        <f t="shared" si="6"/>
        <v>0</v>
      </c>
      <c r="S29" s="160">
        <v>139.05799999999999</v>
      </c>
      <c r="T29" s="86"/>
      <c r="U29" s="86"/>
      <c r="V29" s="87"/>
      <c r="W29" s="153"/>
      <c r="X29" s="94">
        <v>0</v>
      </c>
      <c r="Y29" s="58"/>
      <c r="Z29" s="86"/>
      <c r="AA29" s="86"/>
      <c r="AB29" s="129"/>
      <c r="AC29" s="79"/>
      <c r="AD29" s="87">
        <v>0</v>
      </c>
      <c r="AE29" s="56"/>
      <c r="AF29" s="14"/>
      <c r="AG29" s="86">
        <v>0</v>
      </c>
      <c r="AH29" s="123"/>
      <c r="AI29" s="126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3">
        <v>44983</v>
      </c>
      <c r="B30" s="28"/>
      <c r="C30" s="146"/>
      <c r="D30" s="186"/>
      <c r="E30" s="43">
        <f t="shared" si="2"/>
        <v>487.69400000000002</v>
      </c>
      <c r="F30" s="51">
        <f t="shared" si="3"/>
        <v>0</v>
      </c>
      <c r="G30" s="30"/>
      <c r="H30" s="24"/>
      <c r="I30" s="44">
        <f t="shared" si="4"/>
        <v>5.1399999999999979</v>
      </c>
      <c r="J30" s="28"/>
      <c r="K30" s="26"/>
      <c r="L30" s="53"/>
      <c r="M30" s="51">
        <f t="shared" si="0"/>
        <v>0</v>
      </c>
      <c r="N30" s="24"/>
      <c r="O30" s="47">
        <f t="shared" si="5"/>
        <v>1.4709999999999988</v>
      </c>
      <c r="P30" s="54"/>
      <c r="Q30" s="47">
        <f t="shared" si="1"/>
        <v>494.30500000000001</v>
      </c>
      <c r="R30" s="165">
        <f t="shared" si="6"/>
        <v>0</v>
      </c>
      <c r="S30" s="160">
        <v>139.05799999999999</v>
      </c>
      <c r="T30" s="86"/>
      <c r="U30" s="86"/>
      <c r="V30" s="87"/>
      <c r="W30" s="153"/>
      <c r="X30" s="94">
        <v>0</v>
      </c>
      <c r="Y30" s="58"/>
      <c r="Z30" s="86"/>
      <c r="AA30" s="86"/>
      <c r="AB30" s="129"/>
      <c r="AC30" s="79"/>
      <c r="AD30" s="87">
        <v>0</v>
      </c>
      <c r="AE30" s="191"/>
      <c r="AF30" s="14"/>
      <c r="AG30" s="86">
        <v>0</v>
      </c>
      <c r="AH30" s="123"/>
      <c r="AI30" s="122"/>
      <c r="AJ30" s="103"/>
      <c r="AK30" s="91"/>
    </row>
    <row r="31" spans="1:40" s="21" customFormat="1" ht="13.2" customHeight="1" outlineLevel="1" thickBot="1" x14ac:dyDescent="0.35">
      <c r="A31" s="7">
        <v>44984</v>
      </c>
      <c r="B31" s="28">
        <v>28.64</v>
      </c>
      <c r="C31" s="30">
        <v>3.2269999999999999</v>
      </c>
      <c r="D31" s="186">
        <f>AI23</f>
        <v>63.308</v>
      </c>
      <c r="E31" s="43">
        <f t="shared" si="2"/>
        <v>519.1350000000001</v>
      </c>
      <c r="F31" s="51">
        <f t="shared" si="3"/>
        <v>3.2269999999999999</v>
      </c>
      <c r="G31" s="68">
        <f>2.807-H31</f>
        <v>2.5419999999999998</v>
      </c>
      <c r="H31" s="69">
        <v>0.26500000000000001</v>
      </c>
      <c r="I31" s="44">
        <f t="shared" si="4"/>
        <v>5.5599999999999978</v>
      </c>
      <c r="J31" s="67"/>
      <c r="K31" s="70"/>
      <c r="L31" s="71"/>
      <c r="M31" s="51">
        <f t="shared" si="0"/>
        <v>0.26500000000000001</v>
      </c>
      <c r="N31" s="24">
        <v>0.21</v>
      </c>
      <c r="O31" s="47">
        <f t="shared" si="5"/>
        <v>1.5259999999999989</v>
      </c>
      <c r="P31" s="72"/>
      <c r="Q31" s="47">
        <f t="shared" si="1"/>
        <v>526.221</v>
      </c>
      <c r="R31" s="165">
        <f t="shared" si="6"/>
        <v>31.447000000000003</v>
      </c>
      <c r="S31" s="160">
        <f>AI26</f>
        <v>75.75</v>
      </c>
      <c r="T31" s="86"/>
      <c r="U31" s="86"/>
      <c r="V31" s="87"/>
      <c r="W31" s="153"/>
      <c r="X31" s="94">
        <v>0</v>
      </c>
      <c r="Y31" s="58"/>
      <c r="Z31" s="86"/>
      <c r="AA31" s="86"/>
      <c r="AB31" s="129"/>
      <c r="AC31" s="79"/>
      <c r="AD31" s="87"/>
      <c r="AE31" s="57"/>
      <c r="AF31" s="131"/>
      <c r="AG31" s="133"/>
      <c r="AH31" s="127"/>
      <c r="AI31" s="126"/>
      <c r="AJ31" s="90"/>
      <c r="AK31" s="102"/>
    </row>
    <row r="32" spans="1:40" ht="13.2" customHeight="1" outlineLevel="1" thickBot="1" x14ac:dyDescent="0.35">
      <c r="A32" s="7">
        <v>44985</v>
      </c>
      <c r="B32" s="28">
        <v>8.65</v>
      </c>
      <c r="C32" s="30">
        <v>2.0979999999999999</v>
      </c>
      <c r="D32" s="186">
        <v>75.75</v>
      </c>
      <c r="E32" s="43">
        <f t="shared" si="2"/>
        <v>584.13700000000017</v>
      </c>
      <c r="F32" s="51">
        <f t="shared" si="3"/>
        <v>2.0979999999999999</v>
      </c>
      <c r="G32" s="62">
        <v>0.35799999999999998</v>
      </c>
      <c r="H32" s="62"/>
      <c r="I32" s="44">
        <f t="shared" si="4"/>
        <v>7.299999999999998</v>
      </c>
      <c r="J32" s="62"/>
      <c r="K32" s="64"/>
      <c r="L32" s="13"/>
      <c r="M32" s="51">
        <f t="shared" si="0"/>
        <v>0</v>
      </c>
      <c r="N32" s="24">
        <v>0.44700000000000001</v>
      </c>
      <c r="O32" s="47">
        <f t="shared" si="5"/>
        <v>1.0789999999999988</v>
      </c>
      <c r="P32" s="65"/>
      <c r="Q32" s="47">
        <f t="shared" si="1"/>
        <v>592.51600000000008</v>
      </c>
      <c r="R32" s="165">
        <f t="shared" si="6"/>
        <v>9.0080000000000009</v>
      </c>
      <c r="S32" s="160">
        <v>0</v>
      </c>
      <c r="T32" s="86">
        <f>T26-3000</f>
        <v>504390.40000000037</v>
      </c>
      <c r="U32" s="86">
        <v>1475234.68</v>
      </c>
      <c r="V32" s="87"/>
      <c r="W32" s="153"/>
      <c r="X32" s="94"/>
      <c r="Y32" s="58"/>
      <c r="Z32" s="86">
        <v>519835.21</v>
      </c>
      <c r="AA32" s="86"/>
      <c r="AB32" s="129"/>
      <c r="AC32" s="79"/>
      <c r="AD32" s="87"/>
      <c r="AE32" s="57"/>
      <c r="AF32" s="131"/>
      <c r="AG32" s="133"/>
      <c r="AH32" s="192"/>
      <c r="AI32" s="155"/>
      <c r="AJ32" s="99"/>
      <c r="AK32" s="99"/>
      <c r="AL32" s="21"/>
    </row>
    <row r="33" spans="1:38" ht="13.2" customHeight="1" outlineLevel="1" thickBot="1" x14ac:dyDescent="0.35">
      <c r="A33" s="7"/>
      <c r="B33" s="8"/>
      <c r="C33" s="9"/>
      <c r="D33" s="186"/>
      <c r="E33" s="43">
        <f t="shared" si="2"/>
        <v>584.13700000000017</v>
      </c>
      <c r="F33" s="51">
        <f t="shared" si="3"/>
        <v>0</v>
      </c>
      <c r="G33" s="62"/>
      <c r="H33" s="62"/>
      <c r="I33" s="44">
        <f t="shared" si="4"/>
        <v>7.299999999999998</v>
      </c>
      <c r="J33" s="62"/>
      <c r="K33" s="64"/>
      <c r="L33" s="13"/>
      <c r="M33" s="51">
        <f t="shared" si="0"/>
        <v>0</v>
      </c>
      <c r="N33" s="24"/>
      <c r="O33" s="47">
        <f t="shared" si="5"/>
        <v>1.0789999999999988</v>
      </c>
      <c r="P33" s="65"/>
      <c r="Q33" s="47">
        <f t="shared" si="1"/>
        <v>592.51600000000008</v>
      </c>
      <c r="R33" s="165">
        <f>B33+G33+H33+J33</f>
        <v>0</v>
      </c>
      <c r="S33" s="160"/>
      <c r="T33" s="86"/>
      <c r="U33" s="86"/>
      <c r="V33" s="87"/>
      <c r="W33" s="153"/>
      <c r="X33" s="94"/>
      <c r="Y33" s="58"/>
      <c r="Z33" s="86"/>
      <c r="AA33" s="86"/>
      <c r="AB33" s="80"/>
      <c r="AC33" s="79"/>
      <c r="AD33" s="87"/>
      <c r="AE33" s="57"/>
      <c r="AF33" s="131"/>
      <c r="AG33" s="133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7"/>
      <c r="B34" s="62"/>
      <c r="C34" s="30"/>
      <c r="D34" s="92"/>
      <c r="E34" s="43">
        <f t="shared" si="2"/>
        <v>584.13700000000017</v>
      </c>
      <c r="F34" s="51">
        <f t="shared" si="3"/>
        <v>0</v>
      </c>
      <c r="G34" s="62"/>
      <c r="H34" s="62"/>
      <c r="I34" s="44">
        <f t="shared" si="4"/>
        <v>7.299999999999998</v>
      </c>
      <c r="J34" s="44"/>
      <c r="K34" s="44"/>
      <c r="L34" s="44"/>
      <c r="M34" s="63">
        <f t="shared" si="0"/>
        <v>0</v>
      </c>
      <c r="N34" s="24"/>
      <c r="O34" s="47">
        <f t="shared" si="5"/>
        <v>1.0789999999999988</v>
      </c>
      <c r="P34" s="65">
        <v>0</v>
      </c>
      <c r="Q34" s="47">
        <f t="shared" si="1"/>
        <v>592.51600000000008</v>
      </c>
      <c r="R34" s="165">
        <f t="shared" si="6"/>
        <v>0</v>
      </c>
      <c r="S34" s="160"/>
      <c r="T34" s="86"/>
      <c r="U34" s="86"/>
      <c r="V34" s="87"/>
      <c r="W34" s="153"/>
      <c r="X34" s="94"/>
      <c r="Y34" s="58"/>
      <c r="Z34" s="86"/>
      <c r="AA34" s="86"/>
      <c r="AB34" s="80"/>
      <c r="AC34" s="79"/>
      <c r="AD34" s="87"/>
      <c r="AE34" s="57"/>
      <c r="AF34" s="131"/>
      <c r="AG34" s="133"/>
      <c r="AH34" s="127"/>
      <c r="AI34" s="21"/>
      <c r="AJ34" s="103"/>
      <c r="AL34" s="21"/>
    </row>
    <row r="35" spans="1:38" ht="12" customHeight="1" outlineLevel="1" thickBot="1" x14ac:dyDescent="0.35">
      <c r="A35" s="7"/>
      <c r="B35" s="108"/>
      <c r="C35" s="19"/>
      <c r="D35" s="92"/>
      <c r="E35" s="73">
        <f t="shared" si="2"/>
        <v>584.13700000000017</v>
      </c>
      <c r="F35" s="100">
        <f t="shared" si="3"/>
        <v>0</v>
      </c>
      <c r="G35" s="108"/>
      <c r="H35" s="108"/>
      <c r="I35" s="101">
        <f t="shared" si="4"/>
        <v>7.299999999999998</v>
      </c>
      <c r="J35" s="18"/>
      <c r="K35" s="74"/>
      <c r="L35" s="75"/>
      <c r="M35" s="109">
        <f t="shared" si="0"/>
        <v>0</v>
      </c>
      <c r="N35" s="24"/>
      <c r="O35" s="50">
        <f>O34+M35-N35</f>
        <v>1.0789999999999988</v>
      </c>
      <c r="P35" s="76"/>
      <c r="Q35" s="50">
        <f t="shared" si="1"/>
        <v>592.51600000000008</v>
      </c>
      <c r="R35" s="166">
        <f t="shared" si="6"/>
        <v>0</v>
      </c>
      <c r="S35" s="160"/>
      <c r="T35" s="86"/>
      <c r="U35" s="86"/>
      <c r="V35" s="87"/>
      <c r="W35" s="153"/>
      <c r="X35" s="94"/>
      <c r="Y35" s="58"/>
      <c r="Z35" s="86"/>
      <c r="AA35" s="86"/>
      <c r="AB35" s="80"/>
      <c r="AC35" s="79"/>
      <c r="AD35" s="87"/>
      <c r="AE35" s="57"/>
      <c r="AF35" s="131"/>
      <c r="AG35" s="133"/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394.89499999999998</v>
      </c>
      <c r="C36" s="37">
        <f>SUM(C5:C35)</f>
        <v>41.769999999999989</v>
      </c>
      <c r="D36" s="37">
        <f>SUM(D5:D35)</f>
        <v>475.24099999999999</v>
      </c>
      <c r="E36" s="115">
        <f>INDEX(E5:E35,COUNTA(E5:E35))-15</f>
        <v>569.13700000000017</v>
      </c>
      <c r="F36" s="37">
        <f>SUM(F5:F35)</f>
        <v>41.769999999999989</v>
      </c>
      <c r="G36" s="37">
        <f>SUM(G5:G35)</f>
        <v>36.964999999999996</v>
      </c>
      <c r="H36" s="37">
        <f>SUM(H5:H35)</f>
        <v>4.8950000000000005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4.8950000000000005</v>
      </c>
      <c r="N36" s="37">
        <f>SUM(N5:N35)</f>
        <v>5.5239999999999991</v>
      </c>
      <c r="O36" s="41"/>
      <c r="P36" s="40">
        <f>B36+G36+H36+J36</f>
        <v>436.75499999999994</v>
      </c>
      <c r="Q36" s="41"/>
      <c r="R36" s="167">
        <f>SUM(R5:R35)</f>
        <v>436.75499999999994</v>
      </c>
      <c r="S36" s="114">
        <f>INDEX(S5:S35,COUNTA(S5:S35))</f>
        <v>0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569.13700000000017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0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N49</f>
        <v>45.416254923021874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52" t="s">
        <v>35</v>
      </c>
      <c r="V41" s="652"/>
      <c r="W41" s="653"/>
      <c r="X41" s="654"/>
      <c r="Y41" s="173"/>
      <c r="Z41" s="144">
        <f>Z38+Z39+Z40</f>
        <v>614.553254923022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s="1" customFormat="1" ht="16.2" customHeight="1" x14ac:dyDescent="0.3">
      <c r="C43" s="2"/>
      <c r="D43" s="98"/>
      <c r="E43" s="564" t="s">
        <v>18</v>
      </c>
      <c r="F43" s="564"/>
      <c r="G43" s="564"/>
      <c r="H43" s="650" t="s">
        <v>124</v>
      </c>
      <c r="I43" s="651"/>
      <c r="J43" s="124"/>
      <c r="K43" s="268"/>
      <c r="L43" s="145"/>
      <c r="M43" s="240">
        <v>11172</v>
      </c>
      <c r="N43" s="147">
        <f>T26/M43</f>
        <v>45.416254923021874</v>
      </c>
      <c r="O43" s="238" t="s">
        <v>56</v>
      </c>
      <c r="P43" s="249"/>
      <c r="Q43" s="164" t="s">
        <v>120</v>
      </c>
      <c r="R43" s="164" t="s">
        <v>121</v>
      </c>
      <c r="S43" s="164" t="s">
        <v>122</v>
      </c>
      <c r="T43" s="164" t="s">
        <v>123</v>
      </c>
      <c r="U43" s="250"/>
      <c r="V43" s="251"/>
      <c r="W43" s="252"/>
      <c r="X43" s="253"/>
      <c r="Y43" s="253"/>
      <c r="Z43" s="254"/>
      <c r="AA43" s="255"/>
      <c r="AB43" s="255"/>
      <c r="AC43" s="255"/>
      <c r="AD43" s="255"/>
      <c r="AG43" s="256"/>
      <c r="AH43" s="257"/>
      <c r="AI43" s="256"/>
      <c r="AJ43" s="256"/>
      <c r="AK43" s="256"/>
      <c r="AL43" s="255"/>
    </row>
    <row r="44" spans="1:38" s="1" customFormat="1" ht="16.2" customHeight="1" x14ac:dyDescent="0.3">
      <c r="C44" s="2"/>
      <c r="D44" s="98"/>
      <c r="E44" s="642" t="s">
        <v>18</v>
      </c>
      <c r="F44" s="642"/>
      <c r="G44" s="642"/>
      <c r="H44" s="643" t="s">
        <v>148</v>
      </c>
      <c r="I44" s="644"/>
      <c r="J44" s="124"/>
      <c r="K44" s="273"/>
      <c r="L44" s="145"/>
      <c r="M44" s="240">
        <v>11874</v>
      </c>
      <c r="N44" s="147"/>
      <c r="O44" s="248" t="s">
        <v>56</v>
      </c>
      <c r="P44" s="249"/>
      <c r="Q44" s="250" t="s">
        <v>149</v>
      </c>
      <c r="R44" s="250" t="s">
        <v>150</v>
      </c>
      <c r="S44" s="250" t="s">
        <v>151</v>
      </c>
      <c r="T44" s="250"/>
      <c r="U44" s="250"/>
      <c r="V44" s="251"/>
      <c r="W44" s="252"/>
      <c r="X44" s="253"/>
      <c r="Y44" s="253"/>
      <c r="Z44" s="254"/>
      <c r="AA44" s="255"/>
      <c r="AB44" s="255"/>
      <c r="AC44" s="255"/>
      <c r="AD44" s="255"/>
      <c r="AG44" s="256"/>
      <c r="AH44" s="257"/>
      <c r="AI44" s="256"/>
      <c r="AJ44" s="256"/>
      <c r="AK44" s="256"/>
      <c r="AL44" s="255"/>
    </row>
    <row r="45" spans="1:38" ht="16.2" customHeight="1" x14ac:dyDescent="0.3">
      <c r="D45" s="211" t="s">
        <v>28</v>
      </c>
      <c r="E45" s="611" t="s">
        <v>60</v>
      </c>
      <c r="F45" s="611"/>
      <c r="G45" s="611"/>
      <c r="H45" s="650" t="s">
        <v>124</v>
      </c>
      <c r="I45" s="651"/>
      <c r="J45" s="124"/>
      <c r="K45" s="268"/>
      <c r="L45" s="145"/>
      <c r="M45" s="240">
        <f>2385+8989</f>
        <v>11374</v>
      </c>
      <c r="N45" s="241"/>
      <c r="O45" s="238" t="s">
        <v>29</v>
      </c>
      <c r="P45" s="89"/>
      <c r="Q45" s="164" t="s">
        <v>131</v>
      </c>
      <c r="R45" s="164" t="s">
        <v>132</v>
      </c>
      <c r="S45" s="164" t="s">
        <v>122</v>
      </c>
      <c r="T45" s="34"/>
      <c r="U45" s="34"/>
      <c r="V45" s="177"/>
      <c r="W45" s="178"/>
      <c r="X45" s="179"/>
      <c r="Y45" s="179"/>
      <c r="Z45" s="180"/>
      <c r="AA45" s="91"/>
      <c r="AB45" s="91"/>
      <c r="AC45" s="91"/>
      <c r="AD45" s="91"/>
      <c r="AI45" s="123"/>
      <c r="AJ45" s="123"/>
      <c r="AK45" s="123"/>
      <c r="AL45" s="91"/>
    </row>
    <row r="46" spans="1:38" ht="16.2" customHeight="1" x14ac:dyDescent="0.3">
      <c r="D46" s="259" t="s">
        <v>28</v>
      </c>
      <c r="E46" s="646" t="s">
        <v>60</v>
      </c>
      <c r="F46" s="646"/>
      <c r="G46" s="646"/>
      <c r="H46" s="643" t="s">
        <v>148</v>
      </c>
      <c r="I46" s="644"/>
      <c r="J46" s="124"/>
      <c r="K46" s="274"/>
      <c r="L46" s="145"/>
      <c r="M46" s="240">
        <f>1714+8989</f>
        <v>10703</v>
      </c>
      <c r="N46" s="241">
        <f>Z26/M46</f>
        <v>0</v>
      </c>
      <c r="O46" s="238" t="s">
        <v>29</v>
      </c>
      <c r="P46" s="89"/>
      <c r="Q46" s="250" t="s">
        <v>149</v>
      </c>
      <c r="R46" s="250" t="s">
        <v>156</v>
      </c>
      <c r="S46" s="250" t="s">
        <v>157</v>
      </c>
      <c r="T46" s="34"/>
      <c r="U46" s="34"/>
      <c r="V46" s="177"/>
      <c r="W46" s="178"/>
      <c r="X46" s="179"/>
      <c r="Y46" s="179"/>
      <c r="Z46" s="180"/>
      <c r="AA46" s="91"/>
      <c r="AB46" s="91"/>
      <c r="AC46" s="91"/>
      <c r="AD46" s="91"/>
      <c r="AI46" s="123"/>
      <c r="AJ46" s="123"/>
      <c r="AK46" s="123"/>
      <c r="AL46" s="91"/>
    </row>
    <row r="47" spans="1:38" ht="16.2" customHeight="1" x14ac:dyDescent="0.3">
      <c r="D47" s="211" t="s">
        <v>21</v>
      </c>
      <c r="E47" s="549" t="s">
        <v>60</v>
      </c>
      <c r="F47" s="550"/>
      <c r="G47" s="551"/>
      <c r="H47" s="650" t="s">
        <v>124</v>
      </c>
      <c r="I47" s="651"/>
      <c r="J47" s="125"/>
      <c r="K47" s="268"/>
      <c r="L47" s="145"/>
      <c r="M47" s="240">
        <f>2385+8989</f>
        <v>11374</v>
      </c>
      <c r="N47" s="241"/>
      <c r="O47" s="238" t="s">
        <v>40</v>
      </c>
      <c r="P47" s="89"/>
      <c r="Q47" s="164" t="s">
        <v>120</v>
      </c>
      <c r="R47" s="164" t="s">
        <v>129</v>
      </c>
      <c r="S47" s="164" t="s">
        <v>130</v>
      </c>
      <c r="T47" s="163"/>
      <c r="U47" s="163"/>
      <c r="V47" s="177"/>
      <c r="W47" s="178"/>
      <c r="X47" s="179"/>
      <c r="Y47" s="179"/>
      <c r="Z47" s="180"/>
      <c r="AA47" s="91"/>
      <c r="AB47" s="91"/>
      <c r="AC47" s="91"/>
      <c r="AD47" s="91"/>
      <c r="AI47" s="127"/>
      <c r="AJ47" s="103"/>
      <c r="AK47" s="103"/>
      <c r="AL47" s="91"/>
    </row>
    <row r="48" spans="1:38" ht="16.2" customHeight="1" thickBot="1" x14ac:dyDescent="0.35">
      <c r="D48" s="259" t="s">
        <v>21</v>
      </c>
      <c r="E48" s="646" t="s">
        <v>60</v>
      </c>
      <c r="F48" s="646"/>
      <c r="G48" s="646"/>
      <c r="H48" s="643" t="s">
        <v>148</v>
      </c>
      <c r="I48" s="644"/>
      <c r="J48" s="125"/>
      <c r="K48" s="274"/>
      <c r="L48" s="145"/>
      <c r="M48" s="240">
        <f>1714+8989</f>
        <v>10703</v>
      </c>
      <c r="N48" s="223">
        <f>U26/M48</f>
        <v>0</v>
      </c>
      <c r="O48" s="238" t="s">
        <v>40</v>
      </c>
      <c r="P48" s="89"/>
      <c r="Q48" s="250" t="s">
        <v>154</v>
      </c>
      <c r="R48" s="250" t="s">
        <v>155</v>
      </c>
      <c r="S48" s="250" t="s">
        <v>151</v>
      </c>
      <c r="T48" s="163"/>
      <c r="U48" s="163"/>
      <c r="V48" s="177"/>
      <c r="W48" s="178"/>
      <c r="X48" s="179"/>
      <c r="Y48" s="179"/>
      <c r="Z48" s="180"/>
      <c r="AA48" s="91"/>
      <c r="AB48" s="91"/>
      <c r="AC48" s="91"/>
      <c r="AD48" s="91"/>
      <c r="AI48" s="127"/>
      <c r="AJ48" s="103"/>
      <c r="AK48" s="103"/>
      <c r="AL48" s="91"/>
    </row>
    <row r="49" spans="5:30" ht="13.95" customHeight="1" thickBot="1" x14ac:dyDescent="0.35">
      <c r="E49" s="634"/>
      <c r="F49" s="635"/>
      <c r="G49" s="636"/>
      <c r="H49" s="637"/>
      <c r="I49" s="638"/>
      <c r="J49" s="141"/>
      <c r="K49" s="141"/>
      <c r="L49" s="142"/>
      <c r="M49" s="270" t="s">
        <v>33</v>
      </c>
      <c r="N49" s="149">
        <f>SUBTOTAL(109,N43:N48)</f>
        <v>45.416254923021874</v>
      </c>
      <c r="O49" s="150"/>
      <c r="T49" s="181"/>
      <c r="U49" s="181"/>
      <c r="V49" s="177"/>
      <c r="W49" s="178"/>
      <c r="X49" s="178"/>
      <c r="Y49" s="178"/>
      <c r="Z49" s="180"/>
      <c r="AA49" s="90"/>
      <c r="AB49" s="90"/>
      <c r="AC49" s="21"/>
      <c r="AD49" s="21"/>
    </row>
    <row r="50" spans="5:30" x14ac:dyDescent="0.3">
      <c r="E50" s="1" t="s">
        <v>116</v>
      </c>
      <c r="O50" s="139"/>
      <c r="V50" s="178"/>
      <c r="W50" s="178"/>
      <c r="X50" s="178"/>
      <c r="Y50" s="178"/>
      <c r="Z50" s="180"/>
      <c r="AA50" s="21"/>
      <c r="AB50" s="21"/>
      <c r="AC50" s="21"/>
      <c r="AD50" s="21"/>
    </row>
    <row r="51" spans="5:30" x14ac:dyDescent="0.3">
      <c r="E51" s="1" t="s">
        <v>57</v>
      </c>
      <c r="O51" s="1"/>
      <c r="P51" s="1"/>
      <c r="Q51" s="1"/>
      <c r="R51" s="224"/>
      <c r="V51" s="178"/>
      <c r="W51" s="178"/>
      <c r="X51" s="178"/>
      <c r="Y51" s="178"/>
      <c r="Z51" s="178"/>
      <c r="AA51" s="21"/>
      <c r="AB51" s="21"/>
      <c r="AC51" s="21"/>
      <c r="AD51" s="21"/>
    </row>
    <row r="52" spans="5:30" x14ac:dyDescent="0.3">
      <c r="E52" s="1" t="s">
        <v>64</v>
      </c>
    </row>
    <row r="53" spans="5:30" x14ac:dyDescent="0.3">
      <c r="E53" s="1" t="s">
        <v>58</v>
      </c>
      <c r="V53" s="175"/>
      <c r="W53" s="175"/>
      <c r="X53" s="175"/>
      <c r="Y53" s="175"/>
      <c r="Z53" s="175"/>
      <c r="AA53" s="21"/>
      <c r="AB53" s="21"/>
      <c r="AC53" s="21"/>
      <c r="AD53" s="21"/>
    </row>
    <row r="54" spans="5:30" x14ac:dyDescent="0.3">
      <c r="E54" s="1" t="s">
        <v>59</v>
      </c>
    </row>
    <row r="55" spans="5:30" x14ac:dyDescent="0.3">
      <c r="E55" s="1" t="s">
        <v>61</v>
      </c>
    </row>
  </sheetData>
  <mergeCells count="49"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U41:X41"/>
    <mergeCell ref="T38:V38"/>
    <mergeCell ref="T39:V39"/>
    <mergeCell ref="T40:V40"/>
    <mergeCell ref="V3:V4"/>
    <mergeCell ref="W3:W4"/>
    <mergeCell ref="X3:X4"/>
    <mergeCell ref="Q1:Q4"/>
    <mergeCell ref="R1:R4"/>
    <mergeCell ref="S1:S3"/>
    <mergeCell ref="T1:V2"/>
    <mergeCell ref="W1:AG2"/>
    <mergeCell ref="T3:T4"/>
    <mergeCell ref="U3:U4"/>
    <mergeCell ref="AF3:AF4"/>
    <mergeCell ref="AG3:AG4"/>
    <mergeCell ref="AD3:AD4"/>
    <mergeCell ref="AE3:AE4"/>
    <mergeCell ref="Z3:Z4"/>
    <mergeCell ref="AA3:AA4"/>
    <mergeCell ref="AB3:AB4"/>
    <mergeCell ref="AC3:AC4"/>
    <mergeCell ref="Y3:Y4"/>
    <mergeCell ref="E49:G49"/>
    <mergeCell ref="H49:I49"/>
    <mergeCell ref="E43:G43"/>
    <mergeCell ref="H43:I43"/>
    <mergeCell ref="E45:G45"/>
    <mergeCell ref="H45:I45"/>
    <mergeCell ref="E44:G44"/>
    <mergeCell ref="H44:I44"/>
    <mergeCell ref="E46:G46"/>
    <mergeCell ref="E48:G48"/>
    <mergeCell ref="H46:I46"/>
    <mergeCell ref="H48:I48"/>
    <mergeCell ref="E47:G47"/>
    <mergeCell ref="H47:I47"/>
  </mergeCells>
  <pageMargins left="0.31496062992125984" right="0.17" top="0.19" bottom="0.19" header="0.19" footer="0.18"/>
  <pageSetup paperSize="9" scale="7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5"/>
  <sheetViews>
    <sheetView workbookViewId="0">
      <pane ySplit="4" topLeftCell="A29" activePane="bottomLeft" state="frozen"/>
      <selection pane="bottomLeft" activeCell="AI20" sqref="AI20"/>
    </sheetView>
  </sheetViews>
  <sheetFormatPr defaultColWidth="9.109375" defaultRowHeight="14.4" outlineLevelRow="1" outlineLevelCol="1" x14ac:dyDescent="0.3"/>
  <cols>
    <col min="1" max="1" width="8.44140625" style="2" customWidth="1"/>
    <col min="2" max="2" width="6.33203125" style="2" customWidth="1"/>
    <col min="3" max="3" width="5.6640625" style="2" customWidth="1"/>
    <col min="4" max="4" width="9" style="2" customWidth="1"/>
    <col min="5" max="5" width="6.6640625" style="35" customWidth="1"/>
    <col min="6" max="6" width="6.6640625" style="2" customWidth="1"/>
    <col min="7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8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1.109375" style="20" customWidth="1"/>
    <col min="22" max="22" width="13.6640625" style="20" customWidth="1"/>
    <col min="23" max="23" width="12.6640625" style="20" hidden="1" customWidth="1"/>
    <col min="24" max="24" width="11.6640625" style="20" hidden="1" customWidth="1"/>
    <col min="25" max="25" width="10.6640625" style="20" hidden="1" customWidth="1"/>
    <col min="26" max="26" width="12.6640625" style="20" hidden="1" customWidth="1"/>
    <col min="27" max="27" width="15.6640625" style="20" customWidth="1"/>
    <col min="28" max="30" width="9.6640625" style="2" hidden="1" customWidth="1"/>
    <col min="31" max="32" width="10.6640625" style="2" hidden="1" customWidth="1"/>
    <col min="33" max="33" width="0.109375" style="2" hidden="1" customWidth="1"/>
    <col min="34" max="34" width="11.33203125" style="2" hidden="1" customWidth="1"/>
    <col min="35" max="35" width="6" style="77" customWidth="1" outlineLevel="1"/>
    <col min="36" max="36" width="8.33203125" style="2" customWidth="1" outlineLevel="1"/>
    <col min="37" max="37" width="10.33203125" style="2" customWidth="1" outlineLevel="1"/>
    <col min="38" max="38" width="13.5546875" style="2" customWidth="1" outlineLevel="1"/>
    <col min="39" max="39" width="12.6640625" style="2" bestFit="1" customWidth="1"/>
    <col min="40" max="16384" width="9.109375" style="2"/>
  </cols>
  <sheetData>
    <row r="1" spans="1:41" ht="13.2" customHeight="1" thickBot="1" x14ac:dyDescent="0.35">
      <c r="A1" s="556" t="s">
        <v>163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4"/>
      <c r="W1" s="585"/>
      <c r="X1" s="589" t="s">
        <v>41</v>
      </c>
      <c r="Y1" s="590"/>
      <c r="Z1" s="590"/>
      <c r="AA1" s="590"/>
      <c r="AB1" s="591"/>
      <c r="AC1" s="591"/>
      <c r="AD1" s="591"/>
      <c r="AE1" s="591"/>
      <c r="AF1" s="591"/>
      <c r="AG1" s="591"/>
      <c r="AH1" s="592"/>
    </row>
    <row r="2" spans="1:41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7"/>
      <c r="W2" s="588"/>
      <c r="X2" s="593"/>
      <c r="Y2" s="594"/>
      <c r="Z2" s="594"/>
      <c r="AA2" s="594"/>
      <c r="AB2" s="595"/>
      <c r="AC2" s="595"/>
      <c r="AD2" s="595"/>
      <c r="AE2" s="595"/>
      <c r="AF2" s="595"/>
      <c r="AG2" s="595"/>
      <c r="AH2" s="596"/>
    </row>
    <row r="3" spans="1:41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191</v>
      </c>
      <c r="U3" s="567" t="s">
        <v>190</v>
      </c>
      <c r="V3" s="567" t="s">
        <v>160</v>
      </c>
      <c r="W3" s="608" t="s">
        <v>107</v>
      </c>
      <c r="X3" s="606" t="s">
        <v>62</v>
      </c>
      <c r="Y3" s="599" t="s">
        <v>45</v>
      </c>
      <c r="Z3" s="567"/>
      <c r="AA3" s="567" t="s">
        <v>160</v>
      </c>
      <c r="AB3" s="599" t="s">
        <v>30</v>
      </c>
      <c r="AC3" s="599" t="s">
        <v>37</v>
      </c>
      <c r="AD3" s="567"/>
      <c r="AE3" s="601" t="s">
        <v>14</v>
      </c>
      <c r="AF3" s="597" t="s">
        <v>63</v>
      </c>
      <c r="AG3" s="604" t="s">
        <v>16</v>
      </c>
      <c r="AH3" s="597" t="s">
        <v>19</v>
      </c>
    </row>
    <row r="4" spans="1:41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276" t="s">
        <v>10</v>
      </c>
      <c r="K4" s="277" t="s">
        <v>2</v>
      </c>
      <c r="L4" s="278" t="s">
        <v>9</v>
      </c>
      <c r="M4" s="276" t="s">
        <v>10</v>
      </c>
      <c r="N4" s="277" t="s">
        <v>2</v>
      </c>
      <c r="O4" s="278" t="s">
        <v>9</v>
      </c>
      <c r="P4" s="607"/>
      <c r="Q4" s="579"/>
      <c r="R4" s="576"/>
      <c r="S4" s="231" t="s">
        <v>4</v>
      </c>
      <c r="T4" s="607"/>
      <c r="U4" s="576"/>
      <c r="V4" s="576"/>
      <c r="W4" s="609"/>
      <c r="X4" s="610"/>
      <c r="Y4" s="600"/>
      <c r="Z4" s="576"/>
      <c r="AA4" s="576"/>
      <c r="AB4" s="600"/>
      <c r="AC4" s="600"/>
      <c r="AD4" s="568"/>
      <c r="AE4" s="602"/>
      <c r="AF4" s="603"/>
      <c r="AG4" s="605"/>
      <c r="AH4" s="598"/>
      <c r="AI4" s="2"/>
      <c r="AJ4" s="84" t="s">
        <v>46</v>
      </c>
      <c r="AK4" s="2" t="s">
        <v>47</v>
      </c>
      <c r="AL4" s="83" t="s">
        <v>42</v>
      </c>
    </row>
    <row r="5" spans="1:41" ht="13.2" customHeight="1" thickBot="1" x14ac:dyDescent="0.35">
      <c r="A5" s="7">
        <v>44986</v>
      </c>
      <c r="B5" s="28">
        <v>16.23</v>
      </c>
      <c r="C5" s="30">
        <v>2.2799999999999998</v>
      </c>
      <c r="D5" s="22"/>
      <c r="E5" s="42">
        <f>'02.2023'!E35-B5-C5+D5</f>
        <v>565.62700000000018</v>
      </c>
      <c r="F5" s="51">
        <f>C5</f>
        <v>2.2799999999999998</v>
      </c>
      <c r="G5" s="9">
        <v>1.68</v>
      </c>
      <c r="H5" s="10">
        <v>0</v>
      </c>
      <c r="I5" s="161">
        <f>'02.2023'!I35+F5-G5-H5</f>
        <v>7.8999999999999986</v>
      </c>
      <c r="J5" s="8"/>
      <c r="K5" s="11"/>
      <c r="L5" s="25"/>
      <c r="M5" s="51">
        <f t="shared" ref="M5:M35" si="0">H5</f>
        <v>0</v>
      </c>
      <c r="N5" s="24">
        <v>0.16200000000000001</v>
      </c>
      <c r="O5" s="47">
        <f>'02.2023'!O35+M5-N5</f>
        <v>0.91699999999999882</v>
      </c>
      <c r="P5" s="46">
        <v>0</v>
      </c>
      <c r="Q5" s="45">
        <f t="shared" ref="Q5:Q35" si="1">E5+I5+L5+O5</f>
        <v>574.44400000000019</v>
      </c>
      <c r="R5" s="165">
        <f>B5+G5+H5+J5</f>
        <v>17.91</v>
      </c>
      <c r="S5" s="159">
        <v>0</v>
      </c>
      <c r="T5" s="58">
        <f>'02.2023'!T32</f>
        <v>504390.40000000037</v>
      </c>
      <c r="U5" s="58"/>
      <c r="V5" s="58">
        <f>'02.2023'!U32</f>
        <v>1475234.68</v>
      </c>
      <c r="W5" s="58"/>
      <c r="X5" s="58"/>
      <c r="Y5" s="58"/>
      <c r="Z5" s="58"/>
      <c r="AA5" s="58">
        <f>'02.2023'!Z32</f>
        <v>519835.21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 t="e">
        <f>#REF!</f>
        <v>#REF!</v>
      </c>
      <c r="AH5" s="58"/>
      <c r="AI5" s="127"/>
      <c r="AJ5" s="126"/>
      <c r="AK5" s="21"/>
      <c r="AL5" s="91"/>
      <c r="AM5" s="21"/>
      <c r="AN5" s="21"/>
    </row>
    <row r="6" spans="1:41" ht="13.2" customHeight="1" thickBot="1" x14ac:dyDescent="0.35">
      <c r="A6" s="7">
        <v>44987</v>
      </c>
      <c r="B6" s="28">
        <v>10.47</v>
      </c>
      <c r="C6" s="30">
        <v>1.9159999999999999</v>
      </c>
      <c r="D6" s="22"/>
      <c r="E6" s="43">
        <f t="shared" ref="E6:E35" si="2">E5+D6-B6-C6</f>
        <v>553.2410000000001</v>
      </c>
      <c r="F6" s="51">
        <f t="shared" ref="F6:F35" si="3">C6</f>
        <v>1.9159999999999999</v>
      </c>
      <c r="G6" s="9">
        <f>1.916-H6</f>
        <v>0.98999999999999988</v>
      </c>
      <c r="H6" s="10">
        <v>0.92600000000000005</v>
      </c>
      <c r="I6" s="161">
        <f t="shared" ref="I6:I35" si="4">I5+F6-G6-H6</f>
        <v>7.8999999999999986</v>
      </c>
      <c r="J6" s="8"/>
      <c r="K6" s="11"/>
      <c r="L6" s="12"/>
      <c r="M6" s="51">
        <f t="shared" si="0"/>
        <v>0.92600000000000005</v>
      </c>
      <c r="N6" s="24">
        <v>0.6</v>
      </c>
      <c r="O6" s="47">
        <f t="shared" ref="O6:O34" si="5">O5+M6-N6</f>
        <v>1.242999999999999</v>
      </c>
      <c r="P6" s="48"/>
      <c r="Q6" s="47">
        <f t="shared" si="1"/>
        <v>562.38400000000013</v>
      </c>
      <c r="R6" s="165">
        <f t="shared" ref="R6:R35" si="6">B6+G6+H6+J6</f>
        <v>12.386000000000001</v>
      </c>
      <c r="S6" s="159">
        <v>32.247999999999998</v>
      </c>
      <c r="T6" s="58">
        <f>T5</f>
        <v>504390.40000000037</v>
      </c>
      <c r="U6" s="82"/>
      <c r="V6" s="157">
        <f>V5-AJ6*M47</f>
        <v>1105640.352</v>
      </c>
      <c r="W6" s="58"/>
      <c r="X6" s="58"/>
      <c r="Y6" s="58"/>
      <c r="Z6" s="107"/>
      <c r="AA6" s="87">
        <f>AA5</f>
        <v>519835.21</v>
      </c>
      <c r="AB6" s="58">
        <v>0</v>
      </c>
      <c r="AC6" s="58">
        <v>0</v>
      </c>
      <c r="AD6" s="58">
        <v>0</v>
      </c>
      <c r="AE6" s="58">
        <v>76674</v>
      </c>
      <c r="AF6" s="58">
        <v>0</v>
      </c>
      <c r="AG6" s="58">
        <v>0</v>
      </c>
      <c r="AH6" s="58"/>
      <c r="AI6" s="128" t="s">
        <v>48</v>
      </c>
      <c r="AJ6" s="120">
        <v>32.247999999999998</v>
      </c>
      <c r="AK6" s="99" t="s">
        <v>161</v>
      </c>
      <c r="AL6">
        <v>58233347</v>
      </c>
      <c r="AM6" s="21"/>
      <c r="AN6" s="21"/>
    </row>
    <row r="7" spans="1:41" ht="13.2" customHeight="1" thickBot="1" x14ac:dyDescent="0.35">
      <c r="A7" s="7">
        <v>44988</v>
      </c>
      <c r="B7" s="28">
        <v>24.968</v>
      </c>
      <c r="C7" s="30">
        <v>1.216</v>
      </c>
      <c r="D7" s="186"/>
      <c r="E7" s="43">
        <f t="shared" si="2"/>
        <v>527.05700000000013</v>
      </c>
      <c r="F7" s="51">
        <f t="shared" si="3"/>
        <v>1.216</v>
      </c>
      <c r="G7" s="9">
        <f>1.116-H7</f>
        <v>0.60000000000000009</v>
      </c>
      <c r="H7" s="10">
        <v>0.51600000000000001</v>
      </c>
      <c r="I7" s="161">
        <f t="shared" si="4"/>
        <v>7.9999999999999982</v>
      </c>
      <c r="J7" s="8"/>
      <c r="K7" s="11"/>
      <c r="L7" s="12"/>
      <c r="M7" s="51">
        <f t="shared" si="0"/>
        <v>0.51600000000000001</v>
      </c>
      <c r="N7" s="24">
        <v>0.39700000000000002</v>
      </c>
      <c r="O7" s="47">
        <f t="shared" si="5"/>
        <v>1.361999999999999</v>
      </c>
      <c r="P7" s="48"/>
      <c r="Q7" s="47">
        <f t="shared" si="1"/>
        <v>536.4190000000001</v>
      </c>
      <c r="R7" s="165">
        <f t="shared" si="6"/>
        <v>26.084000000000003</v>
      </c>
      <c r="S7" s="159">
        <v>32.247999999999998</v>
      </c>
      <c r="T7" s="58">
        <f>T5+20000</f>
        <v>524390.40000000037</v>
      </c>
      <c r="U7" s="82"/>
      <c r="V7" s="86">
        <v>1105640.352</v>
      </c>
      <c r="W7" s="58"/>
      <c r="X7" s="58"/>
      <c r="Y7" s="58"/>
      <c r="Z7" s="58"/>
      <c r="AA7" s="87">
        <f>AA5+290000</f>
        <v>809835.21</v>
      </c>
      <c r="AB7" s="58">
        <v>0</v>
      </c>
      <c r="AC7" s="58">
        <v>0</v>
      </c>
      <c r="AD7" s="58">
        <v>0</v>
      </c>
      <c r="AE7" s="58">
        <v>76674</v>
      </c>
      <c r="AF7" s="58">
        <v>0</v>
      </c>
      <c r="AG7" s="58">
        <v>0</v>
      </c>
      <c r="AH7" s="58"/>
      <c r="AM7" s="21"/>
      <c r="AN7" s="21"/>
    </row>
    <row r="8" spans="1:41" ht="12.75" customHeight="1" thickBot="1" x14ac:dyDescent="0.35">
      <c r="A8" s="52">
        <v>44989</v>
      </c>
      <c r="B8" s="28"/>
      <c r="C8" s="30"/>
      <c r="D8" s="186"/>
      <c r="E8" s="43">
        <f t="shared" si="2"/>
        <v>527.05700000000013</v>
      </c>
      <c r="F8" s="51">
        <f t="shared" si="3"/>
        <v>0</v>
      </c>
      <c r="G8" s="9"/>
      <c r="H8" s="10"/>
      <c r="I8" s="161">
        <f t="shared" si="4"/>
        <v>7.9999999999999982</v>
      </c>
      <c r="J8" s="8"/>
      <c r="K8" s="11"/>
      <c r="L8" s="12"/>
      <c r="M8" s="51">
        <f t="shared" si="0"/>
        <v>0</v>
      </c>
      <c r="N8" s="24"/>
      <c r="O8" s="47">
        <f t="shared" si="5"/>
        <v>1.361999999999999</v>
      </c>
      <c r="P8" s="48"/>
      <c r="Q8" s="47">
        <f t="shared" si="1"/>
        <v>536.4190000000001</v>
      </c>
      <c r="R8" s="165">
        <f t="shared" si="6"/>
        <v>0</v>
      </c>
      <c r="S8" s="159">
        <f>32.248+AJ8</f>
        <v>66.847999999999999</v>
      </c>
      <c r="T8" s="88">
        <f>T7-AJ8*M43</f>
        <v>113550.00000000035</v>
      </c>
      <c r="U8" s="88"/>
      <c r="V8" s="86">
        <v>1105640.352</v>
      </c>
      <c r="W8" s="212"/>
      <c r="X8" s="58"/>
      <c r="Y8" s="58"/>
      <c r="Z8" s="58"/>
      <c r="AA8" s="87">
        <f>AA7</f>
        <v>809835.21</v>
      </c>
      <c r="AB8" s="58">
        <v>0</v>
      </c>
      <c r="AC8" s="58">
        <v>0</v>
      </c>
      <c r="AD8" s="58">
        <v>0</v>
      </c>
      <c r="AE8" s="58">
        <v>76674</v>
      </c>
      <c r="AF8" s="58">
        <v>0</v>
      </c>
      <c r="AG8" s="58">
        <v>0</v>
      </c>
      <c r="AH8" s="58"/>
      <c r="AI8" s="127" t="s">
        <v>43</v>
      </c>
      <c r="AJ8" s="126">
        <v>34.6</v>
      </c>
      <c r="AK8" s="21" t="s">
        <v>162</v>
      </c>
      <c r="AL8" s="91">
        <v>57800955</v>
      </c>
      <c r="AM8" s="239"/>
      <c r="AN8" s="21"/>
    </row>
    <row r="9" spans="1:41" ht="13.2" customHeight="1" thickBot="1" x14ac:dyDescent="0.35">
      <c r="A9" s="52">
        <v>44990</v>
      </c>
      <c r="B9" s="28"/>
      <c r="C9" s="30"/>
      <c r="D9" s="186"/>
      <c r="E9" s="43">
        <f t="shared" si="2"/>
        <v>527.05700000000013</v>
      </c>
      <c r="F9" s="51">
        <f t="shared" si="3"/>
        <v>0</v>
      </c>
      <c r="G9" s="9"/>
      <c r="H9" s="10"/>
      <c r="I9" s="161">
        <f t="shared" si="4"/>
        <v>7.9999999999999982</v>
      </c>
      <c r="J9" s="8"/>
      <c r="K9" s="11"/>
      <c r="L9" s="12"/>
      <c r="M9" s="51">
        <f t="shared" si="0"/>
        <v>0</v>
      </c>
      <c r="N9" s="24"/>
      <c r="O9" s="47">
        <f t="shared" si="5"/>
        <v>1.361999999999999</v>
      </c>
      <c r="P9" s="48"/>
      <c r="Q9" s="47">
        <f t="shared" si="1"/>
        <v>536.4190000000001</v>
      </c>
      <c r="R9" s="165">
        <f t="shared" si="6"/>
        <v>0</v>
      </c>
      <c r="S9" s="159">
        <v>66.847999999999999</v>
      </c>
      <c r="T9" s="58">
        <v>113550.00000000035</v>
      </c>
      <c r="U9" s="82"/>
      <c r="V9" s="86">
        <v>1105640.352</v>
      </c>
      <c r="W9" s="212"/>
      <c r="X9" s="80"/>
      <c r="Y9" s="79"/>
      <c r="Z9" s="58"/>
      <c r="AA9" s="87">
        <f>AA8</f>
        <v>809835.21</v>
      </c>
      <c r="AB9" s="87">
        <v>0</v>
      </c>
      <c r="AC9" s="80">
        <v>0</v>
      </c>
      <c r="AD9" s="230">
        <v>0</v>
      </c>
      <c r="AE9" s="87">
        <v>76674</v>
      </c>
      <c r="AF9" s="55">
        <v>0</v>
      </c>
      <c r="AG9" s="14">
        <v>0</v>
      </c>
      <c r="AH9" s="58"/>
      <c r="AI9" s="123"/>
      <c r="AJ9" s="122"/>
      <c r="AK9" s="99"/>
      <c r="AL9" s="91"/>
      <c r="AM9" s="99"/>
      <c r="AN9" s="21"/>
      <c r="AO9" s="21"/>
    </row>
    <row r="10" spans="1:41" s="1" customFormat="1" ht="13.2" customHeight="1" thickBot="1" x14ac:dyDescent="0.35">
      <c r="A10" s="7">
        <v>44991</v>
      </c>
      <c r="B10" s="28">
        <v>18.7</v>
      </c>
      <c r="C10" s="30">
        <v>2.089</v>
      </c>
      <c r="D10" s="186"/>
      <c r="E10" s="43">
        <f t="shared" si="2"/>
        <v>506.26800000000014</v>
      </c>
      <c r="F10" s="51">
        <f t="shared" si="3"/>
        <v>2.089</v>
      </c>
      <c r="G10" s="30">
        <f>2.579-H10</f>
        <v>2.0300000000000002</v>
      </c>
      <c r="H10" s="10">
        <v>0.54900000000000004</v>
      </c>
      <c r="I10" s="161">
        <f t="shared" si="4"/>
        <v>7.5099999999999971</v>
      </c>
      <c r="J10" s="8"/>
      <c r="K10" s="11"/>
      <c r="L10" s="12"/>
      <c r="M10" s="51">
        <f t="shared" si="0"/>
        <v>0.54900000000000004</v>
      </c>
      <c r="N10" s="24">
        <v>0.219</v>
      </c>
      <c r="O10" s="47">
        <f t="shared" si="5"/>
        <v>1.6919999999999991</v>
      </c>
      <c r="P10" s="48"/>
      <c r="Q10" s="47">
        <f t="shared" si="1"/>
        <v>515.47000000000014</v>
      </c>
      <c r="R10" s="165">
        <f t="shared" si="6"/>
        <v>21.279</v>
      </c>
      <c r="S10" s="160">
        <v>66.847999999999999</v>
      </c>
      <c r="T10" s="86">
        <v>113550.00000000035</v>
      </c>
      <c r="U10" s="82"/>
      <c r="V10" s="82">
        <v>1105640.352</v>
      </c>
      <c r="W10" s="212"/>
      <c r="X10" s="80"/>
      <c r="Y10" s="79"/>
      <c r="Z10" s="58"/>
      <c r="AA10" s="86">
        <f>AA9</f>
        <v>809835.21</v>
      </c>
      <c r="AB10" s="87"/>
      <c r="AC10" s="80"/>
      <c r="AD10" s="187"/>
      <c r="AE10" s="87">
        <v>0</v>
      </c>
      <c r="AF10" s="55"/>
      <c r="AG10" s="136"/>
      <c r="AH10" s="58">
        <v>0</v>
      </c>
      <c r="AI10" s="128"/>
      <c r="AJ10" s="120"/>
      <c r="AK10" s="99"/>
      <c r="AL10" s="91"/>
      <c r="AM10" s="239"/>
      <c r="AN10" s="27"/>
      <c r="AO10" s="27"/>
    </row>
    <row r="11" spans="1:41" ht="13.2" customHeight="1" thickBot="1" x14ac:dyDescent="0.35">
      <c r="A11" s="7">
        <v>44992</v>
      </c>
      <c r="B11" s="28">
        <v>5.69</v>
      </c>
      <c r="C11" s="30">
        <v>2.02</v>
      </c>
      <c r="D11" s="186"/>
      <c r="E11" s="43">
        <f>E10+D11-B11-C11</f>
        <v>498.55800000000016</v>
      </c>
      <c r="F11" s="51">
        <f t="shared" si="3"/>
        <v>2.02</v>
      </c>
      <c r="G11" s="9">
        <f>3.04</f>
        <v>3.04</v>
      </c>
      <c r="H11" s="10"/>
      <c r="I11" s="161">
        <f t="shared" si="4"/>
        <v>6.4899999999999975</v>
      </c>
      <c r="J11" s="8"/>
      <c r="K11" s="11"/>
      <c r="L11" s="12"/>
      <c r="M11" s="51">
        <f t="shared" si="0"/>
        <v>0</v>
      </c>
      <c r="N11" s="24">
        <v>0.31</v>
      </c>
      <c r="O11" s="47">
        <f t="shared" si="5"/>
        <v>1.381999999999999</v>
      </c>
      <c r="P11" s="48"/>
      <c r="Q11" s="47">
        <f t="shared" si="1"/>
        <v>506.43000000000018</v>
      </c>
      <c r="R11" s="165">
        <f>B11+G11+H11+J11</f>
        <v>8.73</v>
      </c>
      <c r="S11" s="160">
        <f>AJ6+AJ8+AJ11</f>
        <v>105.69200000000001</v>
      </c>
      <c r="T11" s="86">
        <v>113550.00000000035</v>
      </c>
      <c r="U11" s="82"/>
      <c r="V11" s="82">
        <v>1105640.352</v>
      </c>
      <c r="W11" s="212"/>
      <c r="X11" s="80"/>
      <c r="Y11" s="79"/>
      <c r="Z11" s="58"/>
      <c r="AA11" s="107">
        <f>AA7-M45*AJ11</f>
        <v>364644.12599999993</v>
      </c>
      <c r="AB11" s="87"/>
      <c r="AC11" s="80"/>
      <c r="AD11" s="230"/>
      <c r="AE11" s="87">
        <v>0</v>
      </c>
      <c r="AF11" s="55"/>
      <c r="AG11" s="14"/>
      <c r="AH11" s="86">
        <v>0</v>
      </c>
      <c r="AI11" s="123" t="s">
        <v>49</v>
      </c>
      <c r="AJ11" s="122">
        <v>38.844000000000001</v>
      </c>
      <c r="AK11" s="103" t="s">
        <v>164</v>
      </c>
      <c r="AL11" s="91">
        <v>58221169</v>
      </c>
      <c r="AM11" s="21"/>
      <c r="AN11" s="21"/>
      <c r="AO11" s="21"/>
    </row>
    <row r="12" spans="1:41" ht="13.2" customHeight="1" thickBot="1" x14ac:dyDescent="0.35">
      <c r="A12" s="52">
        <v>44993</v>
      </c>
      <c r="B12" s="28"/>
      <c r="C12" s="30"/>
      <c r="D12" s="186"/>
      <c r="E12" s="43">
        <f>E11+D12-B12-C12</f>
        <v>498.55800000000016</v>
      </c>
      <c r="F12" s="51">
        <f t="shared" si="3"/>
        <v>0</v>
      </c>
      <c r="G12" s="30"/>
      <c r="H12" s="24"/>
      <c r="I12" s="161">
        <f t="shared" si="4"/>
        <v>6.4899999999999975</v>
      </c>
      <c r="J12" s="8"/>
      <c r="K12" s="11"/>
      <c r="L12" s="12"/>
      <c r="M12" s="51">
        <f t="shared" si="0"/>
        <v>0</v>
      </c>
      <c r="N12" s="24"/>
      <c r="O12" s="47">
        <f t="shared" si="5"/>
        <v>1.381999999999999</v>
      </c>
      <c r="P12" s="48"/>
      <c r="Q12" s="47">
        <f t="shared" si="1"/>
        <v>506.43000000000018</v>
      </c>
      <c r="R12" s="165">
        <f>B12+G12+H12+J12</f>
        <v>0</v>
      </c>
      <c r="S12" s="160">
        <v>105.69200000000001</v>
      </c>
      <c r="T12" s="58">
        <v>113550.00000000035</v>
      </c>
      <c r="U12" s="82"/>
      <c r="V12" s="82">
        <v>1105640.352</v>
      </c>
      <c r="W12" s="212"/>
      <c r="X12" s="80"/>
      <c r="Y12" s="85"/>
      <c r="Z12" s="58"/>
      <c r="AA12" s="86">
        <f>AA11</f>
        <v>364644.12599999993</v>
      </c>
      <c r="AB12" s="86"/>
      <c r="AC12" s="80"/>
      <c r="AD12" s="187"/>
      <c r="AE12" s="87">
        <v>0</v>
      </c>
      <c r="AF12" s="55"/>
      <c r="AG12" s="14"/>
      <c r="AH12" s="86">
        <v>0</v>
      </c>
      <c r="AI12" s="127"/>
      <c r="AJ12" s="126"/>
      <c r="AK12" s="103"/>
      <c r="AL12" s="91"/>
      <c r="AM12" s="21"/>
      <c r="AN12" s="21"/>
      <c r="AO12" s="21"/>
    </row>
    <row r="13" spans="1:41" ht="13.2" customHeight="1" thickBot="1" x14ac:dyDescent="0.35">
      <c r="A13" s="7">
        <v>44994</v>
      </c>
      <c r="B13" s="28">
        <v>19.466999999999999</v>
      </c>
      <c r="C13" s="30">
        <v>3.4849999999999999</v>
      </c>
      <c r="D13" s="186">
        <f>AJ6</f>
        <v>32.247999999999998</v>
      </c>
      <c r="E13" s="43">
        <f t="shared" si="2"/>
        <v>507.85400000000016</v>
      </c>
      <c r="F13" s="51">
        <f t="shared" si="3"/>
        <v>3.4849999999999999</v>
      </c>
      <c r="G13" s="9">
        <f>1.725-H13</f>
        <v>1</v>
      </c>
      <c r="H13" s="10">
        <v>0.72499999999999998</v>
      </c>
      <c r="I13" s="161">
        <f t="shared" si="4"/>
        <v>8.2499999999999982</v>
      </c>
      <c r="J13" s="8"/>
      <c r="K13" s="26"/>
      <c r="L13" s="12"/>
      <c r="M13" s="51">
        <f t="shared" si="0"/>
        <v>0.72499999999999998</v>
      </c>
      <c r="N13" s="24">
        <v>0.21099999999999999</v>
      </c>
      <c r="O13" s="47">
        <f t="shared" si="5"/>
        <v>1.8959999999999988</v>
      </c>
      <c r="P13" s="48"/>
      <c r="Q13" s="47">
        <f t="shared" si="1"/>
        <v>518.00000000000011</v>
      </c>
      <c r="R13" s="165">
        <f t="shared" si="6"/>
        <v>21.192</v>
      </c>
      <c r="S13" s="160">
        <f>AJ8+AJ11</f>
        <v>73.444000000000003</v>
      </c>
      <c r="T13" s="86">
        <v>113550.00000000035</v>
      </c>
      <c r="U13" s="82"/>
      <c r="V13" s="82">
        <v>1105640.352</v>
      </c>
      <c r="W13" s="212"/>
      <c r="X13" s="80"/>
      <c r="Y13" s="85"/>
      <c r="Z13" s="58"/>
      <c r="AA13" s="86">
        <f>AA12</f>
        <v>364644.12599999993</v>
      </c>
      <c r="AB13" s="86"/>
      <c r="AC13" s="80"/>
      <c r="AD13" s="187"/>
      <c r="AE13" s="87">
        <v>0</v>
      </c>
      <c r="AF13" s="55"/>
      <c r="AG13" s="14"/>
      <c r="AH13" s="86">
        <v>0</v>
      </c>
      <c r="AI13" s="127"/>
      <c r="AJ13" s="126"/>
      <c r="AK13" s="99"/>
      <c r="AL13" s="91"/>
      <c r="AM13" s="135"/>
      <c r="AN13" s="21"/>
      <c r="AO13" s="21"/>
    </row>
    <row r="14" spans="1:41" ht="13.2" customHeight="1" thickBot="1" x14ac:dyDescent="0.35">
      <c r="A14" s="7">
        <v>44995</v>
      </c>
      <c r="B14" s="28">
        <v>30.07</v>
      </c>
      <c r="C14" s="30">
        <v>1.71</v>
      </c>
      <c r="D14" s="186">
        <f>AJ8</f>
        <v>34.6</v>
      </c>
      <c r="E14" s="43">
        <f t="shared" si="2"/>
        <v>510.67400000000015</v>
      </c>
      <c r="F14" s="51">
        <f t="shared" si="3"/>
        <v>1.71</v>
      </c>
      <c r="G14" s="30">
        <f>1.46-H14</f>
        <v>1.46</v>
      </c>
      <c r="H14" s="24"/>
      <c r="I14" s="161">
        <f t="shared" si="4"/>
        <v>8.4999999999999964</v>
      </c>
      <c r="J14" s="8"/>
      <c r="K14" s="11"/>
      <c r="L14" s="12"/>
      <c r="M14" s="51">
        <f t="shared" si="0"/>
        <v>0</v>
      </c>
      <c r="N14" s="24">
        <v>0.248</v>
      </c>
      <c r="O14" s="47">
        <f t="shared" si="5"/>
        <v>1.6479999999999988</v>
      </c>
      <c r="P14" s="48"/>
      <c r="Q14" s="47">
        <f t="shared" si="1"/>
        <v>520.82200000000012</v>
      </c>
      <c r="R14" s="165">
        <f t="shared" si="6"/>
        <v>31.53</v>
      </c>
      <c r="S14" s="160">
        <f>AJ11</f>
        <v>38.844000000000001</v>
      </c>
      <c r="T14" s="86">
        <v>113550.00000000035</v>
      </c>
      <c r="U14" s="82"/>
      <c r="V14" s="82">
        <v>1105640.352</v>
      </c>
      <c r="W14" s="212"/>
      <c r="X14" s="80"/>
      <c r="Y14" s="85"/>
      <c r="Z14" s="58"/>
      <c r="AA14" s="86">
        <f>AA13</f>
        <v>364644.12599999993</v>
      </c>
      <c r="AB14" s="86"/>
      <c r="AC14" s="80"/>
      <c r="AD14" s="190"/>
      <c r="AE14" s="87">
        <v>0</v>
      </c>
      <c r="AF14" s="55"/>
      <c r="AG14" s="14"/>
      <c r="AH14" s="86">
        <v>0</v>
      </c>
      <c r="AI14" s="128"/>
      <c r="AJ14" s="120"/>
      <c r="AK14" s="208"/>
      <c r="AL14" s="91"/>
      <c r="AM14" s="239"/>
      <c r="AN14" s="21"/>
      <c r="AO14" s="21"/>
    </row>
    <row r="15" spans="1:41" ht="13.2" customHeight="1" thickBot="1" x14ac:dyDescent="0.35">
      <c r="A15" s="52">
        <v>44996</v>
      </c>
      <c r="B15" s="28"/>
      <c r="C15" s="30"/>
      <c r="D15" s="186"/>
      <c r="E15" s="43">
        <f t="shared" si="2"/>
        <v>510.67400000000015</v>
      </c>
      <c r="F15" s="51">
        <f t="shared" si="3"/>
        <v>0</v>
      </c>
      <c r="G15" s="9"/>
      <c r="H15" s="10"/>
      <c r="I15" s="161">
        <f t="shared" si="4"/>
        <v>8.4999999999999964</v>
      </c>
      <c r="J15" s="8"/>
      <c r="K15" s="11"/>
      <c r="L15" s="12"/>
      <c r="M15" s="51">
        <f>H15</f>
        <v>0</v>
      </c>
      <c r="N15" s="24"/>
      <c r="O15" s="47">
        <f t="shared" si="5"/>
        <v>1.6479999999999988</v>
      </c>
      <c r="P15" s="48"/>
      <c r="Q15" s="47">
        <f t="shared" si="1"/>
        <v>520.82200000000012</v>
      </c>
      <c r="R15" s="165">
        <f t="shared" si="6"/>
        <v>0</v>
      </c>
      <c r="S15" s="160">
        <v>38.844000000000001</v>
      </c>
      <c r="T15" s="86">
        <v>113550.00000000035</v>
      </c>
      <c r="U15" s="82"/>
      <c r="V15" s="82">
        <v>1105640.352</v>
      </c>
      <c r="W15" s="212"/>
      <c r="X15" s="80"/>
      <c r="Y15" s="85"/>
      <c r="Z15" s="58"/>
      <c r="AA15" s="86">
        <f t="shared" ref="AA15:AA16" si="7">AA14</f>
        <v>364644.12599999993</v>
      </c>
      <c r="AB15" s="86"/>
      <c r="AC15" s="80"/>
      <c r="AD15" s="79"/>
      <c r="AE15" s="87">
        <v>0</v>
      </c>
      <c r="AF15" s="55"/>
      <c r="AG15" s="14"/>
      <c r="AH15" s="86">
        <v>0</v>
      </c>
      <c r="AI15" s="128"/>
      <c r="AJ15" s="120"/>
      <c r="AK15" s="208"/>
      <c r="AL15" s="91"/>
      <c r="AM15" s="239"/>
      <c r="AN15" s="21"/>
      <c r="AO15" s="21"/>
    </row>
    <row r="16" spans="1:41" ht="13.2" customHeight="1" thickBot="1" x14ac:dyDescent="0.35">
      <c r="A16" s="52">
        <v>44997</v>
      </c>
      <c r="B16" s="28"/>
      <c r="C16" s="30"/>
      <c r="D16" s="186"/>
      <c r="E16" s="43">
        <f t="shared" si="2"/>
        <v>510.67400000000015</v>
      </c>
      <c r="F16" s="51">
        <f t="shared" si="3"/>
        <v>0</v>
      </c>
      <c r="G16" s="9"/>
      <c r="H16" s="10"/>
      <c r="I16" s="161">
        <f t="shared" si="4"/>
        <v>8.4999999999999964</v>
      </c>
      <c r="J16" s="8"/>
      <c r="K16" s="11"/>
      <c r="L16" s="12"/>
      <c r="M16" s="51">
        <f t="shared" si="0"/>
        <v>0</v>
      </c>
      <c r="N16" s="24"/>
      <c r="O16" s="47">
        <f t="shared" si="5"/>
        <v>1.6479999999999988</v>
      </c>
      <c r="P16" s="48"/>
      <c r="Q16" s="47">
        <f t="shared" si="1"/>
        <v>520.82200000000012</v>
      </c>
      <c r="R16" s="165">
        <f t="shared" si="6"/>
        <v>0</v>
      </c>
      <c r="S16" s="160">
        <v>38.844000000000001</v>
      </c>
      <c r="T16" s="86">
        <v>113550.00000000035</v>
      </c>
      <c r="U16" s="82"/>
      <c r="V16" s="82">
        <v>1105640.352</v>
      </c>
      <c r="W16" s="212"/>
      <c r="X16" s="80"/>
      <c r="Y16" s="85"/>
      <c r="Z16" s="58"/>
      <c r="AA16" s="86">
        <f t="shared" si="7"/>
        <v>364644.12599999993</v>
      </c>
      <c r="AB16" s="86"/>
      <c r="AC16" s="80"/>
      <c r="AD16" s="230"/>
      <c r="AE16" s="87">
        <v>0</v>
      </c>
      <c r="AF16" s="55"/>
      <c r="AG16" s="14"/>
      <c r="AH16" s="86">
        <v>0</v>
      </c>
      <c r="AI16" s="123"/>
      <c r="AJ16" s="122"/>
      <c r="AK16" s="103"/>
      <c r="AL16" s="91"/>
      <c r="AM16" s="239"/>
      <c r="AN16" s="21"/>
      <c r="AO16" s="21"/>
    </row>
    <row r="17" spans="1:41" s="1" customFormat="1" ht="13.2" customHeight="1" thickBot="1" x14ac:dyDescent="0.35">
      <c r="A17" s="7">
        <v>44998</v>
      </c>
      <c r="B17" s="28">
        <v>31.82</v>
      </c>
      <c r="C17" s="30">
        <v>1.5189999999999999</v>
      </c>
      <c r="D17" s="186">
        <f>AJ11</f>
        <v>38.844000000000001</v>
      </c>
      <c r="E17" s="43">
        <f t="shared" si="2"/>
        <v>516.17900000000009</v>
      </c>
      <c r="F17" s="51">
        <f t="shared" si="3"/>
        <v>1.5189999999999999</v>
      </c>
      <c r="G17" s="9">
        <f>1.619-H17</f>
        <v>1.212</v>
      </c>
      <c r="H17" s="10">
        <v>0.40699999999999997</v>
      </c>
      <c r="I17" s="161">
        <f t="shared" si="4"/>
        <v>8.3999999999999968</v>
      </c>
      <c r="J17" s="4"/>
      <c r="K17" s="5"/>
      <c r="L17" s="6"/>
      <c r="M17" s="51">
        <f t="shared" si="0"/>
        <v>0.40699999999999997</v>
      </c>
      <c r="N17" s="24">
        <v>0.11600000000000001</v>
      </c>
      <c r="O17" s="47">
        <f t="shared" si="5"/>
        <v>1.9389999999999987</v>
      </c>
      <c r="P17" s="49"/>
      <c r="Q17" s="47">
        <f t="shared" si="1"/>
        <v>526.51800000000003</v>
      </c>
      <c r="R17" s="165">
        <f t="shared" si="6"/>
        <v>33.439</v>
      </c>
      <c r="S17" s="160">
        <v>0</v>
      </c>
      <c r="T17" s="86">
        <f>T8+855000</f>
        <v>968550.00000000035</v>
      </c>
      <c r="U17" s="86"/>
      <c r="V17" s="86">
        <f>V6+291000</f>
        <v>1396640.352</v>
      </c>
      <c r="W17" s="86"/>
      <c r="X17" s="80"/>
      <c r="Y17" s="85"/>
      <c r="Z17" s="107"/>
      <c r="AA17" s="86">
        <f>AA11+347000</f>
        <v>711644.12599999993</v>
      </c>
      <c r="AB17" s="86"/>
      <c r="AC17" s="80"/>
      <c r="AD17" s="187"/>
      <c r="AE17" s="87">
        <v>0</v>
      </c>
      <c r="AF17" s="55"/>
      <c r="AG17" s="14"/>
      <c r="AH17" s="86">
        <v>0</v>
      </c>
      <c r="AI17" s="123"/>
      <c r="AJ17" s="122"/>
      <c r="AK17" s="21"/>
      <c r="AL17" s="91"/>
      <c r="AM17" s="130"/>
      <c r="AN17" s="99"/>
      <c r="AO17" s="27"/>
    </row>
    <row r="18" spans="1:41" ht="13.2" customHeight="1" thickBot="1" x14ac:dyDescent="0.35">
      <c r="A18" s="7">
        <v>44999</v>
      </c>
      <c r="B18" s="28">
        <f>2.3+16.55</f>
        <v>18.850000000000001</v>
      </c>
      <c r="C18" s="30">
        <v>0</v>
      </c>
      <c r="D18" s="186"/>
      <c r="E18" s="43">
        <f t="shared" si="2"/>
        <v>497.32900000000006</v>
      </c>
      <c r="F18" s="51">
        <f t="shared" si="3"/>
        <v>0</v>
      </c>
      <c r="G18" s="9">
        <v>1.02</v>
      </c>
      <c r="H18" s="10"/>
      <c r="I18" s="161">
        <f t="shared" si="4"/>
        <v>7.3799999999999972</v>
      </c>
      <c r="J18" s="8"/>
      <c r="K18" s="11"/>
      <c r="L18" s="12"/>
      <c r="M18" s="51">
        <f t="shared" si="0"/>
        <v>0</v>
      </c>
      <c r="N18" s="24">
        <v>0.20499999999999999</v>
      </c>
      <c r="O18" s="47">
        <f t="shared" si="5"/>
        <v>1.7339999999999987</v>
      </c>
      <c r="P18" s="48"/>
      <c r="Q18" s="47">
        <f t="shared" si="1"/>
        <v>506.44300000000004</v>
      </c>
      <c r="R18" s="165">
        <f t="shared" si="6"/>
        <v>19.87</v>
      </c>
      <c r="S18" s="160">
        <f>AJ18</f>
        <v>67.581000000000003</v>
      </c>
      <c r="T18" s="86">
        <f>T17</f>
        <v>968550.00000000035</v>
      </c>
      <c r="U18" s="86"/>
      <c r="V18" s="157">
        <f>V17-AJ18*M47+115000</f>
        <v>737094.51099999994</v>
      </c>
      <c r="W18" s="86"/>
      <c r="X18" s="80"/>
      <c r="Y18" s="85"/>
      <c r="Z18" s="107"/>
      <c r="AA18" s="86">
        <f>AA17+115000</f>
        <v>826644.12599999993</v>
      </c>
      <c r="AB18" s="86"/>
      <c r="AC18" s="80"/>
      <c r="AD18" s="187"/>
      <c r="AE18" s="87">
        <v>0</v>
      </c>
      <c r="AF18" s="55"/>
      <c r="AG18" s="14"/>
      <c r="AH18" s="86">
        <v>0</v>
      </c>
      <c r="AI18" s="128" t="s">
        <v>48</v>
      </c>
      <c r="AJ18" s="120">
        <v>67.581000000000003</v>
      </c>
      <c r="AK18" s="208" t="s">
        <v>173</v>
      </c>
      <c r="AL18" s="91" t="s">
        <v>175</v>
      </c>
      <c r="AM18" s="239"/>
      <c r="AN18" s="21"/>
      <c r="AO18" s="21"/>
    </row>
    <row r="19" spans="1:41" ht="13.2" customHeight="1" thickBot="1" x14ac:dyDescent="0.35">
      <c r="A19" s="7">
        <v>45000</v>
      </c>
      <c r="B19" s="28">
        <v>16.239999999999998</v>
      </c>
      <c r="C19" s="30">
        <v>1.9650000000000001</v>
      </c>
      <c r="D19" s="186"/>
      <c r="E19" s="43">
        <f t="shared" si="2"/>
        <v>479.12400000000008</v>
      </c>
      <c r="F19" s="51">
        <f t="shared" si="3"/>
        <v>1.9650000000000001</v>
      </c>
      <c r="G19" s="9">
        <f>1.265-H19</f>
        <v>0.94</v>
      </c>
      <c r="H19" s="10">
        <v>0.32500000000000001</v>
      </c>
      <c r="I19" s="161">
        <f t="shared" si="4"/>
        <v>8.0799999999999983</v>
      </c>
      <c r="J19" s="8"/>
      <c r="K19" s="11"/>
      <c r="L19" s="12"/>
      <c r="M19" s="51">
        <f t="shared" si="0"/>
        <v>0.32500000000000001</v>
      </c>
      <c r="N19" s="24">
        <v>0.155</v>
      </c>
      <c r="O19" s="47">
        <f t="shared" si="5"/>
        <v>1.9039999999999988</v>
      </c>
      <c r="P19" s="48"/>
      <c r="Q19" s="47">
        <f t="shared" si="1"/>
        <v>489.10800000000006</v>
      </c>
      <c r="R19" s="165">
        <f t="shared" si="6"/>
        <v>17.504999999999999</v>
      </c>
      <c r="S19" s="160">
        <v>67.581000000000003</v>
      </c>
      <c r="T19" s="86">
        <f>T18</f>
        <v>968550.00000000035</v>
      </c>
      <c r="U19" s="86"/>
      <c r="V19" s="86">
        <f>V18</f>
        <v>737094.51099999994</v>
      </c>
      <c r="W19" s="86"/>
      <c r="X19" s="80"/>
      <c r="Y19" s="94"/>
      <c r="Z19" s="107"/>
      <c r="AA19" s="86">
        <f>AA18</f>
        <v>826644.12599999993</v>
      </c>
      <c r="AB19" s="86"/>
      <c r="AC19" s="80"/>
      <c r="AD19" s="79"/>
      <c r="AE19" s="87">
        <v>0</v>
      </c>
      <c r="AF19" s="55"/>
      <c r="AG19" s="14"/>
      <c r="AH19" s="86">
        <v>0</v>
      </c>
      <c r="AI19" s="123" t="s">
        <v>49</v>
      </c>
      <c r="AJ19" s="122">
        <v>34.316000000000003</v>
      </c>
      <c r="AK19" s="103" t="s">
        <v>177</v>
      </c>
      <c r="AL19" s="91">
        <v>58161845</v>
      </c>
      <c r="AM19" s="239"/>
      <c r="AN19" s="21"/>
      <c r="AO19" s="21"/>
    </row>
    <row r="20" spans="1:41" ht="13.2" customHeight="1" thickBot="1" x14ac:dyDescent="0.35">
      <c r="A20" s="7">
        <v>45001</v>
      </c>
      <c r="B20" s="28">
        <v>15.38</v>
      </c>
      <c r="C20" s="30">
        <v>2.25</v>
      </c>
      <c r="D20" s="196"/>
      <c r="E20" s="43">
        <f t="shared" si="2"/>
        <v>461.49400000000009</v>
      </c>
      <c r="F20" s="51">
        <f t="shared" si="3"/>
        <v>2.25</v>
      </c>
      <c r="G20" s="9">
        <f>1.58</f>
        <v>1.58</v>
      </c>
      <c r="H20" s="10"/>
      <c r="I20" s="161">
        <f t="shared" si="4"/>
        <v>8.7499999999999982</v>
      </c>
      <c r="J20" s="8"/>
      <c r="K20" s="11"/>
      <c r="L20" s="12"/>
      <c r="M20" s="51">
        <f t="shared" si="0"/>
        <v>0</v>
      </c>
      <c r="N20" s="24">
        <v>0.30199999999999999</v>
      </c>
      <c r="O20" s="47">
        <f t="shared" si="5"/>
        <v>1.6019999999999988</v>
      </c>
      <c r="P20" s="48"/>
      <c r="Q20" s="47">
        <f t="shared" si="1"/>
        <v>471.84600000000006</v>
      </c>
      <c r="R20" s="165">
        <f t="shared" si="6"/>
        <v>16.96</v>
      </c>
      <c r="S20" s="160">
        <f>AJ18+AJ19+AJ20</f>
        <v>172.89699999999999</v>
      </c>
      <c r="T20" s="88">
        <f>T17-AJ20*M43</f>
        <v>125496.00000000035</v>
      </c>
      <c r="U20" s="88"/>
      <c r="V20" s="86">
        <f t="shared" ref="V20:V24" si="8">V19</f>
        <v>737094.51099999994</v>
      </c>
      <c r="W20" s="86"/>
      <c r="X20" s="80"/>
      <c r="Y20" s="94"/>
      <c r="Z20" s="58"/>
      <c r="AA20" s="107">
        <f>AA18-AJ19*M45</f>
        <v>433348.4499999999</v>
      </c>
      <c r="AB20" s="86"/>
      <c r="AC20" s="80"/>
      <c r="AD20" s="79"/>
      <c r="AE20" s="87">
        <v>0</v>
      </c>
      <c r="AF20" s="55"/>
      <c r="AG20" s="14"/>
      <c r="AH20" s="86">
        <v>0</v>
      </c>
      <c r="AI20" s="127" t="s">
        <v>43</v>
      </c>
      <c r="AJ20" s="126">
        <v>71</v>
      </c>
      <c r="AK20" s="103" t="s">
        <v>176</v>
      </c>
      <c r="AL20" s="91" t="s">
        <v>179</v>
      </c>
      <c r="AM20" s="21"/>
      <c r="AN20" s="21"/>
      <c r="AO20" s="21"/>
    </row>
    <row r="21" spans="1:41" ht="13.2" customHeight="1" thickBot="1" x14ac:dyDescent="0.35">
      <c r="A21" s="7">
        <v>45002</v>
      </c>
      <c r="B21" s="28">
        <v>20.170000000000002</v>
      </c>
      <c r="C21" s="28">
        <v>1.7150000000000001</v>
      </c>
      <c r="D21" s="186"/>
      <c r="E21" s="43">
        <f t="shared" si="2"/>
        <v>439.60900000000009</v>
      </c>
      <c r="F21" s="51">
        <f t="shared" si="3"/>
        <v>1.7150000000000001</v>
      </c>
      <c r="G21" s="9">
        <f>3.155-H21</f>
        <v>2.9899999999999998</v>
      </c>
      <c r="H21" s="10">
        <v>0.16500000000000001</v>
      </c>
      <c r="I21" s="161">
        <f t="shared" si="4"/>
        <v>7.3099999999999978</v>
      </c>
      <c r="J21" s="8"/>
      <c r="K21" s="11"/>
      <c r="L21" s="12"/>
      <c r="M21" s="51">
        <f t="shared" si="0"/>
        <v>0.16500000000000001</v>
      </c>
      <c r="N21" s="24">
        <v>0.28100000000000003</v>
      </c>
      <c r="O21" s="47">
        <f t="shared" si="5"/>
        <v>1.4859999999999989</v>
      </c>
      <c r="P21" s="48"/>
      <c r="Q21" s="47">
        <f t="shared" si="1"/>
        <v>448.40500000000009</v>
      </c>
      <c r="R21" s="165">
        <f t="shared" si="6"/>
        <v>23.324999999999999</v>
      </c>
      <c r="S21" s="160">
        <v>172.89699999999999</v>
      </c>
      <c r="T21" s="86">
        <f>T20+808000</f>
        <v>933496.00000000035</v>
      </c>
      <c r="U21" s="86"/>
      <c r="V21" s="86">
        <f t="shared" si="8"/>
        <v>737094.51099999994</v>
      </c>
      <c r="W21" s="86"/>
      <c r="X21" s="80"/>
      <c r="Y21" s="94"/>
      <c r="Z21" s="58"/>
      <c r="AA21" s="86">
        <f>AA20</f>
        <v>433348.4499999999</v>
      </c>
      <c r="AB21" s="86"/>
      <c r="AC21" s="80"/>
      <c r="AD21" s="79"/>
      <c r="AE21" s="87">
        <v>0</v>
      </c>
      <c r="AF21" s="55"/>
      <c r="AG21" s="14"/>
      <c r="AH21" s="86">
        <v>0</v>
      </c>
      <c r="AI21" s="127"/>
      <c r="AJ21" s="126"/>
      <c r="AK21" s="208"/>
      <c r="AL21" s="91"/>
      <c r="AM21" s="21"/>
      <c r="AN21" s="21"/>
      <c r="AO21" s="21"/>
    </row>
    <row r="22" spans="1:41" ht="13.2" customHeight="1" thickBot="1" x14ac:dyDescent="0.35">
      <c r="A22" s="52">
        <v>45003</v>
      </c>
      <c r="B22" s="156"/>
      <c r="C22" s="146"/>
      <c r="D22" s="186"/>
      <c r="E22" s="43">
        <f t="shared" si="2"/>
        <v>439.60900000000009</v>
      </c>
      <c r="F22" s="51">
        <f t="shared" si="3"/>
        <v>0</v>
      </c>
      <c r="G22" s="9"/>
      <c r="H22" s="10"/>
      <c r="I22" s="161">
        <f t="shared" si="4"/>
        <v>7.3099999999999978</v>
      </c>
      <c r="J22" s="8"/>
      <c r="K22" s="11"/>
      <c r="L22" s="12"/>
      <c r="M22" s="51">
        <f t="shared" si="0"/>
        <v>0</v>
      </c>
      <c r="N22" s="24"/>
      <c r="O22" s="47">
        <f t="shared" si="5"/>
        <v>1.4859999999999989</v>
      </c>
      <c r="P22" s="48"/>
      <c r="Q22" s="47">
        <f t="shared" si="1"/>
        <v>448.40500000000009</v>
      </c>
      <c r="R22" s="165">
        <f t="shared" si="6"/>
        <v>0</v>
      </c>
      <c r="S22" s="160">
        <v>172.89699999999999</v>
      </c>
      <c r="T22" s="86">
        <v>936496.00000000035</v>
      </c>
      <c r="U22" s="86"/>
      <c r="V22" s="86">
        <f t="shared" si="8"/>
        <v>737094.51099999994</v>
      </c>
      <c r="W22" s="86"/>
      <c r="X22" s="80"/>
      <c r="Y22" s="94"/>
      <c r="Z22" s="58"/>
      <c r="AA22" s="86">
        <f t="shared" ref="AA22:AA23" si="9">AA21</f>
        <v>433348.4499999999</v>
      </c>
      <c r="AB22" s="86"/>
      <c r="AC22" s="80"/>
      <c r="AD22" s="79"/>
      <c r="AE22" s="87">
        <v>0</v>
      </c>
      <c r="AF22" s="55"/>
      <c r="AG22" s="14"/>
      <c r="AH22" s="86">
        <v>0</v>
      </c>
      <c r="AI22" s="127"/>
      <c r="AJ22" s="126"/>
      <c r="AK22" s="103"/>
      <c r="AL22" s="91"/>
      <c r="AM22" s="21"/>
      <c r="AN22" s="21"/>
      <c r="AO22" s="21"/>
    </row>
    <row r="23" spans="1:41" ht="13.2" customHeight="1" thickBot="1" x14ac:dyDescent="0.35">
      <c r="A23" s="52">
        <v>45004</v>
      </c>
      <c r="B23" s="28"/>
      <c r="C23" s="30"/>
      <c r="D23" s="186"/>
      <c r="E23" s="43">
        <f t="shared" si="2"/>
        <v>439.60900000000009</v>
      </c>
      <c r="F23" s="51">
        <f t="shared" si="3"/>
        <v>0</v>
      </c>
      <c r="G23" s="9"/>
      <c r="H23" s="10"/>
      <c r="I23" s="161">
        <f t="shared" si="4"/>
        <v>7.3099999999999978</v>
      </c>
      <c r="J23" s="8"/>
      <c r="K23" s="11"/>
      <c r="L23" s="12"/>
      <c r="M23" s="51">
        <f t="shared" si="0"/>
        <v>0</v>
      </c>
      <c r="N23" s="24"/>
      <c r="O23" s="47">
        <f t="shared" si="5"/>
        <v>1.4859999999999989</v>
      </c>
      <c r="P23" s="48"/>
      <c r="Q23" s="47">
        <f t="shared" si="1"/>
        <v>448.40500000000009</v>
      </c>
      <c r="R23" s="165">
        <f t="shared" si="6"/>
        <v>0</v>
      </c>
      <c r="S23" s="160">
        <v>172.89699999999999</v>
      </c>
      <c r="T23" s="86">
        <v>936496.00000000035</v>
      </c>
      <c r="U23" s="86"/>
      <c r="V23" s="86">
        <f t="shared" si="8"/>
        <v>737094.51099999994</v>
      </c>
      <c r="W23" s="86"/>
      <c r="X23" s="80"/>
      <c r="Y23" s="94"/>
      <c r="Z23" s="58"/>
      <c r="AA23" s="86">
        <f t="shared" si="9"/>
        <v>433348.4499999999</v>
      </c>
      <c r="AB23" s="86"/>
      <c r="AC23" s="80"/>
      <c r="AD23" s="79"/>
      <c r="AE23" s="87">
        <v>0</v>
      </c>
      <c r="AF23" s="55"/>
      <c r="AG23" s="14"/>
      <c r="AH23" s="86">
        <v>0</v>
      </c>
      <c r="AI23" s="128"/>
      <c r="AJ23" s="120"/>
      <c r="AK23" s="208"/>
      <c r="AL23" s="21"/>
      <c r="AM23" s="91"/>
      <c r="AN23" s="21"/>
      <c r="AO23" s="21"/>
    </row>
    <row r="24" spans="1:41" ht="13.2" customHeight="1" thickBot="1" x14ac:dyDescent="0.35">
      <c r="A24" s="7">
        <v>45005</v>
      </c>
      <c r="B24" s="28">
        <v>18.07</v>
      </c>
      <c r="C24" s="30">
        <v>2.6779999999999999</v>
      </c>
      <c r="D24" s="186"/>
      <c r="E24" s="43">
        <f t="shared" si="2"/>
        <v>418.8610000000001</v>
      </c>
      <c r="F24" s="51">
        <f t="shared" si="3"/>
        <v>2.6779999999999999</v>
      </c>
      <c r="G24" s="9">
        <f>2.988-H24</f>
        <v>2.3199999999999998</v>
      </c>
      <c r="H24" s="10">
        <v>0.66800000000000004</v>
      </c>
      <c r="I24" s="161">
        <f t="shared" si="4"/>
        <v>6.9999999999999973</v>
      </c>
      <c r="J24" s="8"/>
      <c r="K24" s="11"/>
      <c r="L24" s="12"/>
      <c r="M24" s="51">
        <f t="shared" si="0"/>
        <v>0.66800000000000004</v>
      </c>
      <c r="N24" s="24">
        <v>0.32</v>
      </c>
      <c r="O24" s="47">
        <f t="shared" si="5"/>
        <v>1.833999999999999</v>
      </c>
      <c r="P24" s="48"/>
      <c r="Q24" s="47">
        <f t="shared" si="1"/>
        <v>427.69500000000011</v>
      </c>
      <c r="R24" s="165">
        <f t="shared" si="6"/>
        <v>21.058</v>
      </c>
      <c r="S24" s="160">
        <v>172.89699999999999</v>
      </c>
      <c r="T24" s="86">
        <v>936496.00000000035</v>
      </c>
      <c r="U24" s="86"/>
      <c r="V24" s="86">
        <f t="shared" si="8"/>
        <v>737094.51099999994</v>
      </c>
      <c r="W24" s="86"/>
      <c r="X24" s="66"/>
      <c r="Y24" s="94"/>
      <c r="Z24" s="58"/>
      <c r="AA24" s="107">
        <f>AA20-AJ24*M45</f>
        <v>42218.902999999875</v>
      </c>
      <c r="AB24" s="86"/>
      <c r="AC24" s="80"/>
      <c r="AD24" s="79"/>
      <c r="AE24" s="87">
        <v>0</v>
      </c>
      <c r="AF24" s="55"/>
      <c r="AG24" s="14"/>
      <c r="AH24" s="86">
        <v>0</v>
      </c>
      <c r="AI24" s="123" t="s">
        <v>49</v>
      </c>
      <c r="AJ24" s="122">
        <v>34.127000000000002</v>
      </c>
      <c r="AK24" s="103" t="s">
        <v>180</v>
      </c>
      <c r="AL24" s="91">
        <v>58268798</v>
      </c>
      <c r="AM24" s="21"/>
      <c r="AN24" s="21"/>
      <c r="AO24" s="21"/>
    </row>
    <row r="25" spans="1:41" ht="13.2" customHeight="1" thickBot="1" x14ac:dyDescent="0.35">
      <c r="A25" s="7">
        <v>45006</v>
      </c>
      <c r="B25" s="28">
        <v>13.06</v>
      </c>
      <c r="C25" s="30">
        <v>2.4020000000000001</v>
      </c>
      <c r="D25" s="186"/>
      <c r="E25" s="43">
        <f t="shared" si="2"/>
        <v>403.39900000000011</v>
      </c>
      <c r="F25" s="51">
        <f t="shared" si="3"/>
        <v>2.4020000000000001</v>
      </c>
      <c r="G25" s="219">
        <f>2.752-H25</f>
        <v>2.7519999999999998</v>
      </c>
      <c r="H25" s="10"/>
      <c r="I25" s="161">
        <f t="shared" si="4"/>
        <v>6.6499999999999977</v>
      </c>
      <c r="J25" s="8"/>
      <c r="K25" s="11"/>
      <c r="L25" s="12"/>
      <c r="M25" s="51">
        <f t="shared" si="0"/>
        <v>0</v>
      </c>
      <c r="N25" s="24">
        <v>0.22900000000000001</v>
      </c>
      <c r="O25" s="47">
        <f t="shared" si="5"/>
        <v>1.6049999999999989</v>
      </c>
      <c r="P25" s="48"/>
      <c r="Q25" s="47">
        <f t="shared" si="1"/>
        <v>411.65400000000011</v>
      </c>
      <c r="R25" s="165">
        <f t="shared" si="6"/>
        <v>15.812000000000001</v>
      </c>
      <c r="S25" s="160">
        <f>AJ18+AJ19+AJ20+AJ24+AJ25+AJ26</f>
        <v>313.49300000000005</v>
      </c>
      <c r="T25" s="88">
        <f>T21-AJ25*M43</f>
        <v>41758.600000000442</v>
      </c>
      <c r="U25" s="88"/>
      <c r="V25" s="157">
        <f>V18-AJ26*M47</f>
        <v>377574.40199999994</v>
      </c>
      <c r="W25" s="86"/>
      <c r="X25" s="66"/>
      <c r="Y25" s="94"/>
      <c r="Z25" s="58"/>
      <c r="AA25" s="86">
        <f>AA24</f>
        <v>42218.902999999875</v>
      </c>
      <c r="AB25" s="86"/>
      <c r="AC25" s="80"/>
      <c r="AD25" s="79"/>
      <c r="AE25" s="87">
        <v>0</v>
      </c>
      <c r="AF25" s="55"/>
      <c r="AG25" s="14"/>
      <c r="AH25" s="86">
        <v>0</v>
      </c>
      <c r="AI25" s="127" t="s">
        <v>43</v>
      </c>
      <c r="AJ25" s="126">
        <v>75.099999999999994</v>
      </c>
      <c r="AK25" s="103" t="s">
        <v>185</v>
      </c>
      <c r="AL25" s="91" t="s">
        <v>183</v>
      </c>
      <c r="AM25" s="21"/>
      <c r="AN25" s="21"/>
      <c r="AO25" s="21"/>
    </row>
    <row r="26" spans="1:41" ht="12" customHeight="1" thickBot="1" x14ac:dyDescent="0.35">
      <c r="A26" s="7">
        <v>45007</v>
      </c>
      <c r="B26" s="28">
        <v>21.48</v>
      </c>
      <c r="C26" s="30">
        <v>1.74</v>
      </c>
      <c r="D26" s="186">
        <f>AJ20+AJ18+AJ19</f>
        <v>172.89700000000002</v>
      </c>
      <c r="E26" s="43">
        <f>E25+D26-B26-C26</f>
        <v>553.07600000000014</v>
      </c>
      <c r="F26" s="51">
        <f t="shared" si="3"/>
        <v>1.74</v>
      </c>
      <c r="G26" s="9">
        <f>0.99-H26</f>
        <v>0.6</v>
      </c>
      <c r="H26" s="10">
        <v>0.39</v>
      </c>
      <c r="I26" s="161">
        <f t="shared" si="4"/>
        <v>7.3999999999999977</v>
      </c>
      <c r="J26" s="8"/>
      <c r="K26" s="11"/>
      <c r="L26" s="12"/>
      <c r="M26" s="51">
        <f t="shared" si="0"/>
        <v>0.39</v>
      </c>
      <c r="N26" s="24">
        <v>0.22700000000000001</v>
      </c>
      <c r="O26" s="47">
        <f t="shared" si="5"/>
        <v>1.7679999999999987</v>
      </c>
      <c r="P26" s="48"/>
      <c r="Q26" s="47">
        <f t="shared" si="1"/>
        <v>562.24400000000014</v>
      </c>
      <c r="R26" s="165">
        <f t="shared" si="6"/>
        <v>22.470000000000002</v>
      </c>
      <c r="S26" s="160">
        <f>AJ24+AJ26+AJ25+AJ27</f>
        <v>172.16200000000001</v>
      </c>
      <c r="T26" s="86">
        <f>T25</f>
        <v>41758.600000000442</v>
      </c>
      <c r="U26" s="86">
        <v>145000</v>
      </c>
      <c r="V26" s="157">
        <f>V25-AJ27*M47</f>
        <v>15796.475999999966</v>
      </c>
      <c r="W26" s="87"/>
      <c r="X26" s="66"/>
      <c r="Y26" s="94"/>
      <c r="Z26" s="58"/>
      <c r="AA26" s="86">
        <f t="shared" ref="AA26:AA27" si="10">AA25</f>
        <v>42218.902999999875</v>
      </c>
      <c r="AB26" s="86"/>
      <c r="AC26" s="80"/>
      <c r="AD26" s="79"/>
      <c r="AE26" s="87">
        <v>0</v>
      </c>
      <c r="AF26" s="55"/>
      <c r="AG26" s="14"/>
      <c r="AH26" s="86">
        <v>0</v>
      </c>
      <c r="AI26" s="128" t="s">
        <v>48</v>
      </c>
      <c r="AJ26" s="120">
        <v>31.369</v>
      </c>
      <c r="AK26" s="103" t="s">
        <v>186</v>
      </c>
      <c r="AL26" s="91">
        <v>50820034</v>
      </c>
      <c r="AM26" s="21"/>
      <c r="AN26" s="21"/>
      <c r="AO26" s="21"/>
    </row>
    <row r="27" spans="1:41" ht="13.2" customHeight="1" thickBot="1" x14ac:dyDescent="0.35">
      <c r="A27" s="7">
        <v>45008</v>
      </c>
      <c r="B27" s="28">
        <v>14.37</v>
      </c>
      <c r="C27" s="28">
        <v>1.7</v>
      </c>
      <c r="D27" s="186"/>
      <c r="E27" s="43">
        <f>E26+D27-B27-C27</f>
        <v>537.00600000000009</v>
      </c>
      <c r="F27" s="51">
        <f t="shared" si="3"/>
        <v>1.7</v>
      </c>
      <c r="G27" s="9">
        <v>0.16</v>
      </c>
      <c r="H27" s="10"/>
      <c r="I27" s="161">
        <f t="shared" si="4"/>
        <v>8.9399999999999977</v>
      </c>
      <c r="J27" s="8"/>
      <c r="K27" s="11"/>
      <c r="L27" s="12"/>
      <c r="M27" s="51">
        <f t="shared" si="0"/>
        <v>0</v>
      </c>
      <c r="N27" s="24">
        <v>0.23</v>
      </c>
      <c r="O27" s="47">
        <f t="shared" si="5"/>
        <v>1.5379999999999987</v>
      </c>
      <c r="P27" s="48"/>
      <c r="Q27" s="47">
        <f t="shared" si="1"/>
        <v>547.48400000000015</v>
      </c>
      <c r="R27" s="165">
        <f t="shared" si="6"/>
        <v>14.53</v>
      </c>
      <c r="S27" s="160">
        <v>172.16200000000001</v>
      </c>
      <c r="T27" s="86">
        <v>41758.600000000442</v>
      </c>
      <c r="U27" s="86">
        <v>145000</v>
      </c>
      <c r="V27" s="86">
        <f>V26</f>
        <v>15796.475999999966</v>
      </c>
      <c r="W27" s="87"/>
      <c r="X27" s="153"/>
      <c r="Y27" s="94"/>
      <c r="Z27" s="58"/>
      <c r="AA27" s="86">
        <f t="shared" si="10"/>
        <v>42218.902999999875</v>
      </c>
      <c r="AB27" s="86"/>
      <c r="AC27" s="129"/>
      <c r="AD27" s="79"/>
      <c r="AE27" s="87">
        <v>0</v>
      </c>
      <c r="AF27" s="55"/>
      <c r="AG27" s="14"/>
      <c r="AH27" s="86">
        <v>0</v>
      </c>
      <c r="AI27" s="128" t="s">
        <v>48</v>
      </c>
      <c r="AJ27" s="120">
        <v>31.565999999999999</v>
      </c>
      <c r="AK27" s="21" t="s">
        <v>188</v>
      </c>
      <c r="AL27" s="91">
        <v>50826585</v>
      </c>
      <c r="AM27" s="21"/>
      <c r="AN27" s="21"/>
      <c r="AO27" s="21"/>
    </row>
    <row r="28" spans="1:41" ht="13.2" customHeight="1" outlineLevel="1" thickBot="1" x14ac:dyDescent="0.35">
      <c r="A28" s="7">
        <v>45009</v>
      </c>
      <c r="B28" s="28">
        <v>7.19</v>
      </c>
      <c r="C28" s="30">
        <v>1.4079999999999999</v>
      </c>
      <c r="D28" s="186"/>
      <c r="E28" s="43">
        <f t="shared" si="2"/>
        <v>528.40800000000002</v>
      </c>
      <c r="F28" s="51">
        <f t="shared" si="3"/>
        <v>1.4079999999999999</v>
      </c>
      <c r="G28" s="9">
        <f>2.198-H28</f>
        <v>1.7919999999999998</v>
      </c>
      <c r="H28" s="10">
        <v>0.40600000000000003</v>
      </c>
      <c r="I28" s="161">
        <f t="shared" si="4"/>
        <v>8.1499999999999968</v>
      </c>
      <c r="J28" s="8"/>
      <c r="K28" s="11"/>
      <c r="L28" s="12"/>
      <c r="M28" s="51">
        <f t="shared" si="0"/>
        <v>0.40600000000000003</v>
      </c>
      <c r="N28" s="24">
        <v>0.24</v>
      </c>
      <c r="O28" s="47">
        <f t="shared" si="5"/>
        <v>1.7039999999999986</v>
      </c>
      <c r="P28" s="48"/>
      <c r="Q28" s="47">
        <f t="shared" si="1"/>
        <v>538.26199999999994</v>
      </c>
      <c r="R28" s="165">
        <f t="shared" si="6"/>
        <v>9.3879999999999999</v>
      </c>
      <c r="S28" s="160">
        <v>172.16200000000001</v>
      </c>
      <c r="T28" s="86">
        <v>41758.600000000442</v>
      </c>
      <c r="U28" s="86">
        <v>145000</v>
      </c>
      <c r="V28" s="86">
        <f>V27+827000</f>
        <v>842796.47600000002</v>
      </c>
      <c r="W28" s="86"/>
      <c r="X28" s="86"/>
      <c r="Y28" s="86"/>
      <c r="Z28" s="86"/>
      <c r="AA28" s="86">
        <f>AA24+541000</f>
        <v>583218.90299999993</v>
      </c>
      <c r="AB28" s="93"/>
      <c r="AC28" s="93"/>
      <c r="AD28" s="93"/>
      <c r="AE28" s="87">
        <v>0</v>
      </c>
      <c r="AF28" s="55"/>
      <c r="AG28" s="93"/>
      <c r="AH28" s="86">
        <v>0</v>
      </c>
      <c r="AI28" s="123"/>
      <c r="AJ28" s="122"/>
      <c r="AK28" s="269"/>
      <c r="AL28" s="269"/>
      <c r="AM28" s="21"/>
      <c r="AN28" s="21"/>
      <c r="AO28" s="21"/>
    </row>
    <row r="29" spans="1:41" ht="13.2" customHeight="1" outlineLevel="1" thickBot="1" x14ac:dyDescent="0.35">
      <c r="A29" s="3">
        <v>45010</v>
      </c>
      <c r="B29" s="28"/>
      <c r="C29" s="30"/>
      <c r="D29" s="186"/>
      <c r="E29" s="43">
        <f t="shared" si="2"/>
        <v>528.40800000000002</v>
      </c>
      <c r="F29" s="51">
        <f t="shared" si="3"/>
        <v>0</v>
      </c>
      <c r="G29" s="9"/>
      <c r="H29" s="10"/>
      <c r="I29" s="161">
        <f t="shared" si="4"/>
        <v>8.1499999999999968</v>
      </c>
      <c r="J29" s="8"/>
      <c r="K29" s="11"/>
      <c r="L29" s="12"/>
      <c r="M29" s="51">
        <f t="shared" si="0"/>
        <v>0</v>
      </c>
      <c r="N29" s="24"/>
      <c r="O29" s="47">
        <f t="shared" si="5"/>
        <v>1.7039999999999986</v>
      </c>
      <c r="P29" s="48"/>
      <c r="Q29" s="47">
        <f t="shared" si="1"/>
        <v>538.26199999999994</v>
      </c>
      <c r="R29" s="165">
        <f t="shared" si="6"/>
        <v>0</v>
      </c>
      <c r="S29" s="160">
        <v>172.16200000000001</v>
      </c>
      <c r="T29" s="86">
        <v>41758.600000000442</v>
      </c>
      <c r="U29" s="86">
        <v>145000</v>
      </c>
      <c r="V29" s="86">
        <f>V28</f>
        <v>842796.47600000002</v>
      </c>
      <c r="W29" s="86"/>
      <c r="X29" s="86"/>
      <c r="Y29" s="86"/>
      <c r="Z29" s="86"/>
      <c r="AA29" s="86">
        <f>AA28</f>
        <v>583218.90299999993</v>
      </c>
      <c r="AB29" s="86"/>
      <c r="AC29" s="129"/>
      <c r="AD29" s="79"/>
      <c r="AE29" s="87">
        <v>0</v>
      </c>
      <c r="AF29" s="56"/>
      <c r="AG29" s="14"/>
      <c r="AH29" s="86">
        <v>0</v>
      </c>
      <c r="AI29" s="123"/>
      <c r="AJ29" s="126"/>
      <c r="AK29" s="103"/>
      <c r="AL29" s="118"/>
      <c r="AM29" s="21"/>
      <c r="AN29" s="21"/>
      <c r="AO29" s="21"/>
    </row>
    <row r="30" spans="1:41" s="21" customFormat="1" ht="13.2" customHeight="1" outlineLevel="1" thickBot="1" x14ac:dyDescent="0.35">
      <c r="A30" s="3">
        <v>45011</v>
      </c>
      <c r="B30" s="28"/>
      <c r="C30" s="146"/>
      <c r="D30" s="186"/>
      <c r="E30" s="43">
        <f t="shared" si="2"/>
        <v>528.40800000000002</v>
      </c>
      <c r="F30" s="51">
        <f t="shared" si="3"/>
        <v>0</v>
      </c>
      <c r="G30" s="30"/>
      <c r="H30" s="24"/>
      <c r="I30" s="161">
        <f t="shared" si="4"/>
        <v>8.1499999999999968</v>
      </c>
      <c r="J30" s="28"/>
      <c r="K30" s="26"/>
      <c r="L30" s="53"/>
      <c r="M30" s="51">
        <f t="shared" si="0"/>
        <v>0</v>
      </c>
      <c r="N30" s="24"/>
      <c r="O30" s="47">
        <f t="shared" si="5"/>
        <v>1.7039999999999986</v>
      </c>
      <c r="P30" s="54"/>
      <c r="Q30" s="47">
        <f t="shared" si="1"/>
        <v>538.26199999999994</v>
      </c>
      <c r="R30" s="165">
        <f t="shared" si="6"/>
        <v>0</v>
      </c>
      <c r="S30" s="160">
        <v>172.16200000000001</v>
      </c>
      <c r="T30" s="86">
        <v>41758.600000000442</v>
      </c>
      <c r="U30" s="86">
        <v>145000</v>
      </c>
      <c r="V30" s="86">
        <v>842796.47600000002</v>
      </c>
      <c r="W30" s="87"/>
      <c r="X30" s="153"/>
      <c r="Y30" s="94"/>
      <c r="Z30" s="58"/>
      <c r="AA30" s="86">
        <v>583218.90299999993</v>
      </c>
      <c r="AB30" s="86"/>
      <c r="AC30" s="129"/>
      <c r="AD30" s="79"/>
      <c r="AE30" s="87">
        <v>0</v>
      </c>
      <c r="AF30" s="191"/>
      <c r="AG30" s="14"/>
      <c r="AH30" s="86">
        <v>0</v>
      </c>
      <c r="AI30" s="123"/>
      <c r="AJ30" s="122"/>
      <c r="AK30" s="103"/>
      <c r="AL30" s="91"/>
    </row>
    <row r="31" spans="1:41" s="21" customFormat="1" ht="13.2" customHeight="1" outlineLevel="1" thickBot="1" x14ac:dyDescent="0.35">
      <c r="A31" s="7">
        <v>45012</v>
      </c>
      <c r="B31" s="28">
        <v>27.02</v>
      </c>
      <c r="C31" s="30">
        <v>2.2719999999999998</v>
      </c>
      <c r="D31" s="186">
        <f>AJ24+AJ25</f>
        <v>109.227</v>
      </c>
      <c r="E31" s="43">
        <f t="shared" si="2"/>
        <v>608.34299999999996</v>
      </c>
      <c r="F31" s="51">
        <f t="shared" si="3"/>
        <v>2.2719999999999998</v>
      </c>
      <c r="G31" s="68">
        <f>1.922-H31</f>
        <v>1.6819999999999999</v>
      </c>
      <c r="H31" s="69">
        <v>0.24</v>
      </c>
      <c r="I31" s="161">
        <f t="shared" si="4"/>
        <v>8.4999999999999964</v>
      </c>
      <c r="J31" s="67"/>
      <c r="K31" s="70"/>
      <c r="L31" s="71"/>
      <c r="M31" s="51">
        <f t="shared" si="0"/>
        <v>0.24</v>
      </c>
      <c r="N31" s="24">
        <v>0.16800000000000001</v>
      </c>
      <c r="O31" s="47">
        <f t="shared" si="5"/>
        <v>1.7759999999999987</v>
      </c>
      <c r="P31" s="72"/>
      <c r="Q31" s="47">
        <f t="shared" si="1"/>
        <v>618.61899999999991</v>
      </c>
      <c r="R31" s="165">
        <f t="shared" si="6"/>
        <v>28.941999999999997</v>
      </c>
      <c r="S31" s="160">
        <f>AJ26+AJ27</f>
        <v>62.935000000000002</v>
      </c>
      <c r="T31" s="86">
        <v>41758.600000000442</v>
      </c>
      <c r="U31" s="86">
        <v>145000</v>
      </c>
      <c r="V31" s="86">
        <v>842796.47600000002</v>
      </c>
      <c r="W31" s="87"/>
      <c r="X31" s="153"/>
      <c r="Y31" s="94"/>
      <c r="Z31" s="58"/>
      <c r="AA31" s="86">
        <v>583218.90299999993</v>
      </c>
      <c r="AB31" s="86"/>
      <c r="AC31" s="129"/>
      <c r="AD31" s="79"/>
      <c r="AE31" s="87"/>
      <c r="AF31" s="57"/>
      <c r="AG31" s="131"/>
      <c r="AH31" s="133"/>
      <c r="AI31" s="127"/>
      <c r="AJ31" s="126"/>
      <c r="AL31" s="102"/>
    </row>
    <row r="32" spans="1:41" ht="13.2" customHeight="1" outlineLevel="1" thickBot="1" x14ac:dyDescent="0.35">
      <c r="A32" s="7">
        <v>45013</v>
      </c>
      <c r="B32" s="28">
        <v>0.4</v>
      </c>
      <c r="C32" s="30">
        <v>6.2640000000000002</v>
      </c>
      <c r="D32" s="186"/>
      <c r="E32" s="43">
        <f t="shared" si="2"/>
        <v>601.67899999999997</v>
      </c>
      <c r="F32" s="51">
        <f t="shared" si="3"/>
        <v>6.2640000000000002</v>
      </c>
      <c r="G32" s="62">
        <f>8.344-H32</f>
        <v>8.3439999999999994</v>
      </c>
      <c r="H32" s="62"/>
      <c r="I32" s="161">
        <f t="shared" si="4"/>
        <v>6.4199999999999964</v>
      </c>
      <c r="J32" s="62"/>
      <c r="K32" s="64"/>
      <c r="L32" s="13"/>
      <c r="M32" s="51">
        <f t="shared" si="0"/>
        <v>0</v>
      </c>
      <c r="N32" s="24">
        <v>0.33</v>
      </c>
      <c r="O32" s="47">
        <f t="shared" si="5"/>
        <v>1.4459999999999986</v>
      </c>
      <c r="P32" s="65"/>
      <c r="Q32" s="47">
        <f t="shared" si="1"/>
        <v>609.54499999999996</v>
      </c>
      <c r="R32" s="165">
        <f t="shared" si="6"/>
        <v>8.7439999999999998</v>
      </c>
      <c r="S32" s="160">
        <f>AJ26+AJ27</f>
        <v>62.935000000000002</v>
      </c>
      <c r="T32" s="86">
        <v>41758.600000000442</v>
      </c>
      <c r="U32" s="86">
        <v>145000</v>
      </c>
      <c r="V32" s="86">
        <v>842796.47600000002</v>
      </c>
      <c r="W32" s="87"/>
      <c r="X32" s="153"/>
      <c r="Y32" s="94"/>
      <c r="Z32" s="58"/>
      <c r="AA32" s="86">
        <v>583218.90299999993</v>
      </c>
      <c r="AB32" s="86"/>
      <c r="AC32" s="129"/>
      <c r="AD32" s="79"/>
      <c r="AE32" s="87"/>
      <c r="AF32" s="57"/>
      <c r="AG32" s="131"/>
      <c r="AH32" s="133"/>
      <c r="AI32" s="192"/>
      <c r="AJ32" s="155"/>
      <c r="AK32" s="99"/>
      <c r="AL32" s="99"/>
      <c r="AM32" s="21"/>
    </row>
    <row r="33" spans="1:39" ht="13.2" customHeight="1" outlineLevel="1" thickBot="1" x14ac:dyDescent="0.35">
      <c r="A33" s="7">
        <v>45014</v>
      </c>
      <c r="B33" s="8">
        <v>18.18</v>
      </c>
      <c r="C33" s="9">
        <v>3.1869999999999998</v>
      </c>
      <c r="D33" s="186"/>
      <c r="E33" s="43">
        <f t="shared" si="2"/>
        <v>580.31200000000001</v>
      </c>
      <c r="F33" s="51">
        <f t="shared" si="3"/>
        <v>3.1869999999999998</v>
      </c>
      <c r="G33" s="62">
        <f>1.007-H33</f>
        <v>0.39599999999999991</v>
      </c>
      <c r="H33" s="62">
        <v>0.61099999999999999</v>
      </c>
      <c r="I33" s="161">
        <f t="shared" si="4"/>
        <v>8.5999999999999943</v>
      </c>
      <c r="J33" s="62"/>
      <c r="K33" s="64"/>
      <c r="L33" s="13"/>
      <c r="M33" s="51">
        <f t="shared" si="0"/>
        <v>0.61099999999999999</v>
      </c>
      <c r="N33" s="24">
        <v>0.23699999999999999</v>
      </c>
      <c r="O33" s="47">
        <f t="shared" si="5"/>
        <v>1.8199999999999985</v>
      </c>
      <c r="P33" s="65"/>
      <c r="Q33" s="47">
        <f t="shared" si="1"/>
        <v>590.73200000000008</v>
      </c>
      <c r="R33" s="165">
        <f>B33+G33+H33+J33</f>
        <v>19.187000000000001</v>
      </c>
      <c r="S33" s="160">
        <f>AJ27+AJ26</f>
        <v>62.935000000000002</v>
      </c>
      <c r="T33" s="86">
        <v>41758.600000000442</v>
      </c>
      <c r="U33" s="86">
        <f>U31+370000</f>
        <v>515000</v>
      </c>
      <c r="V33" s="86">
        <v>842796.47600000002</v>
      </c>
      <c r="W33" s="87"/>
      <c r="X33" s="153"/>
      <c r="Y33" s="94"/>
      <c r="Z33" s="58"/>
      <c r="AA33" s="86">
        <v>583218.90299999993</v>
      </c>
      <c r="AB33" s="86"/>
      <c r="AC33" s="80"/>
      <c r="AD33" s="79"/>
      <c r="AE33" s="87"/>
      <c r="AF33" s="57"/>
      <c r="AG33" s="131"/>
      <c r="AH33" s="133"/>
      <c r="AI33" s="127"/>
      <c r="AJ33" s="120"/>
      <c r="AK33" s="229"/>
      <c r="AL33" s="229"/>
      <c r="AM33" s="21"/>
    </row>
    <row r="34" spans="1:39" ht="13.2" customHeight="1" outlineLevel="1" thickBot="1" x14ac:dyDescent="0.35">
      <c r="A34" s="7">
        <v>45015</v>
      </c>
      <c r="B34" s="62">
        <v>17.21</v>
      </c>
      <c r="C34" s="30">
        <v>0</v>
      </c>
      <c r="D34" s="186"/>
      <c r="E34" s="43">
        <f t="shared" si="2"/>
        <v>563.10199999999998</v>
      </c>
      <c r="F34" s="51">
        <f t="shared" si="3"/>
        <v>0</v>
      </c>
      <c r="G34" s="62">
        <f>1.79-H34</f>
        <v>1.79</v>
      </c>
      <c r="H34" s="62"/>
      <c r="I34" s="161">
        <f t="shared" si="4"/>
        <v>6.8099999999999943</v>
      </c>
      <c r="J34" s="44"/>
      <c r="K34" s="44"/>
      <c r="L34" s="44"/>
      <c r="M34" s="63">
        <f t="shared" si="0"/>
        <v>0</v>
      </c>
      <c r="N34" s="24">
        <v>0.16900000000000001</v>
      </c>
      <c r="O34" s="47">
        <f t="shared" si="5"/>
        <v>1.6509999999999985</v>
      </c>
      <c r="P34" s="65">
        <v>0</v>
      </c>
      <c r="Q34" s="47">
        <f t="shared" si="1"/>
        <v>571.56299999999987</v>
      </c>
      <c r="R34" s="165">
        <f t="shared" si="6"/>
        <v>19</v>
      </c>
      <c r="S34" s="160">
        <v>62.935000000000002</v>
      </c>
      <c r="T34" s="86">
        <v>41758.600000000399</v>
      </c>
      <c r="U34" s="86">
        <f>U32+370000</f>
        <v>515000</v>
      </c>
      <c r="V34" s="86">
        <v>842796.47600000002</v>
      </c>
      <c r="W34" s="87"/>
      <c r="X34" s="153"/>
      <c r="Y34" s="94"/>
      <c r="Z34" s="58"/>
      <c r="AA34" s="86">
        <v>583218.90299999993</v>
      </c>
      <c r="AB34" s="86"/>
      <c r="AC34" s="80"/>
      <c r="AD34" s="79"/>
      <c r="AE34" s="87"/>
      <c r="AF34" s="57"/>
      <c r="AG34" s="131"/>
      <c r="AH34" s="133"/>
      <c r="AI34" s="127"/>
      <c r="AJ34" s="21"/>
      <c r="AK34" s="103"/>
      <c r="AM34" s="21"/>
    </row>
    <row r="35" spans="1:39" ht="12" customHeight="1" outlineLevel="1" thickBot="1" x14ac:dyDescent="0.35">
      <c r="A35" s="7">
        <v>45016</v>
      </c>
      <c r="B35" s="108">
        <v>26.76</v>
      </c>
      <c r="C35" s="19">
        <v>2.9980000000000002</v>
      </c>
      <c r="D35" s="92">
        <f>AJ26</f>
        <v>31.369</v>
      </c>
      <c r="E35" s="73">
        <f t="shared" si="2"/>
        <v>564.71299999999997</v>
      </c>
      <c r="F35" s="100">
        <f t="shared" si="3"/>
        <v>2.9980000000000002</v>
      </c>
      <c r="G35" s="108">
        <f>1.208-H35</f>
        <v>0.76200000000000001</v>
      </c>
      <c r="H35" s="108">
        <v>0.44600000000000001</v>
      </c>
      <c r="I35" s="161">
        <f t="shared" si="4"/>
        <v>8.5999999999999943</v>
      </c>
      <c r="J35" s="18"/>
      <c r="K35" s="74"/>
      <c r="L35" s="75"/>
      <c r="M35" s="109">
        <f t="shared" si="0"/>
        <v>0.44600000000000001</v>
      </c>
      <c r="N35" s="24">
        <v>0.30499999999999999</v>
      </c>
      <c r="O35" s="50">
        <f>O34+M35-N35</f>
        <v>1.7919999999999987</v>
      </c>
      <c r="P35" s="76"/>
      <c r="Q35" s="50">
        <f t="shared" si="1"/>
        <v>575.10500000000002</v>
      </c>
      <c r="R35" s="166">
        <f t="shared" si="6"/>
        <v>27.968000000000004</v>
      </c>
      <c r="S35" s="160">
        <f>AJ27</f>
        <v>31.565999999999999</v>
      </c>
      <c r="T35" s="287">
        <v>41758.600000000399</v>
      </c>
      <c r="U35" s="86">
        <v>515000</v>
      </c>
      <c r="V35" s="86">
        <v>842796.47600000002</v>
      </c>
      <c r="W35" s="87"/>
      <c r="X35" s="153"/>
      <c r="Y35" s="94"/>
      <c r="Z35" s="58"/>
      <c r="AA35" s="86">
        <v>583218.90299999993</v>
      </c>
      <c r="AB35" s="86"/>
      <c r="AC35" s="80"/>
      <c r="AD35" s="79"/>
      <c r="AE35" s="87"/>
      <c r="AF35" s="57"/>
      <c r="AG35" s="131"/>
      <c r="AH35" s="133"/>
      <c r="AI35" s="127"/>
      <c r="AJ35" s="21"/>
      <c r="AK35" s="103"/>
      <c r="AM35" s="21"/>
    </row>
    <row r="36" spans="1:39" ht="15" thickBot="1" x14ac:dyDescent="0.35">
      <c r="A36" s="36" t="s">
        <v>12</v>
      </c>
      <c r="B36" s="37">
        <f>SUM(B5:B35)</f>
        <v>391.79499999999996</v>
      </c>
      <c r="C36" s="37">
        <f>SUM(C5:C35)</f>
        <v>46.813999999999993</v>
      </c>
      <c r="D36" s="37">
        <f>SUM(D5:D35)</f>
        <v>419.18500000000006</v>
      </c>
      <c r="E36" s="115">
        <f>INDEX(E5:E35,COUNTA(E5:E35))-15</f>
        <v>549.71299999999997</v>
      </c>
      <c r="F36" s="37">
        <f>SUM(F5:F35)</f>
        <v>46.813999999999993</v>
      </c>
      <c r="G36" s="37">
        <f>SUM(G5:G35)</f>
        <v>39.139999999999993</v>
      </c>
      <c r="H36" s="37">
        <f>SUM(H5:H35)</f>
        <v>6.3739999999999997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6.3739999999999997</v>
      </c>
      <c r="N36" s="37">
        <f>SUM(N5:N35)</f>
        <v>5.6610000000000005</v>
      </c>
      <c r="O36" s="41"/>
      <c r="P36" s="40">
        <f>B36+G36+H36+J36</f>
        <v>437.30899999999997</v>
      </c>
      <c r="Q36" s="41"/>
      <c r="R36" s="167">
        <f>SUM(R5:R35)</f>
        <v>437.30900000000003</v>
      </c>
      <c r="S36" s="114">
        <f>INDEX(S5:S35,COUNTA(S5:S35))</f>
        <v>31.565999999999999</v>
      </c>
      <c r="T36" s="169"/>
      <c r="U36" s="169"/>
      <c r="V36" s="169"/>
      <c r="W36" s="158"/>
      <c r="X36" s="140"/>
      <c r="Y36" s="95"/>
      <c r="Z36" s="116"/>
      <c r="AA36" s="96"/>
      <c r="AB36" s="104"/>
      <c r="AC36" s="81"/>
      <c r="AD36" s="105"/>
      <c r="AE36" s="106"/>
      <c r="AF36" s="106"/>
      <c r="AG36" s="132"/>
      <c r="AH36" s="134"/>
      <c r="AI36" s="128"/>
      <c r="AL36" s="229"/>
    </row>
    <row r="37" spans="1:39" ht="15" thickBot="1" x14ac:dyDescent="0.35">
      <c r="A37" s="2" t="s">
        <v>39</v>
      </c>
      <c r="F37" s="60" t="s">
        <v>25</v>
      </c>
      <c r="O37" s="31"/>
      <c r="P37" s="31"/>
      <c r="Q37" s="32"/>
      <c r="AK37" s="77"/>
      <c r="AL37" s="229"/>
    </row>
    <row r="38" spans="1:39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64"/>
      <c r="V38" s="656"/>
      <c r="W38" s="657"/>
      <c r="X38" s="171"/>
      <c r="Y38" s="171"/>
      <c r="Z38" s="171"/>
      <c r="AA38" s="193">
        <f>E36</f>
        <v>549.71299999999997</v>
      </c>
      <c r="AB38" s="111"/>
      <c r="AC38" s="111"/>
      <c r="AD38" s="111"/>
      <c r="AE38" s="112"/>
      <c r="AI38" s="113"/>
    </row>
    <row r="39" spans="1:39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65"/>
      <c r="V39" s="659"/>
      <c r="W39" s="660"/>
      <c r="X39" s="172"/>
      <c r="Y39" s="172"/>
      <c r="Z39" s="172"/>
      <c r="AA39" s="194">
        <f>S36</f>
        <v>31.565999999999999</v>
      </c>
      <c r="AB39" s="111"/>
      <c r="AC39" s="111"/>
      <c r="AD39" s="111"/>
      <c r="AE39" s="112"/>
      <c r="AI39" s="113"/>
    </row>
    <row r="40" spans="1:39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6"/>
      <c r="V40" s="662"/>
      <c r="W40" s="663"/>
      <c r="X40" s="173"/>
      <c r="Y40" s="173"/>
      <c r="Z40" s="173"/>
      <c r="AA40" s="195">
        <f>N49</f>
        <v>157.28016346092795</v>
      </c>
      <c r="AB40" s="111"/>
      <c r="AC40" s="111"/>
      <c r="AD40" s="111"/>
      <c r="AE40" s="112"/>
      <c r="AI40" s="113"/>
    </row>
    <row r="41" spans="1:39" s="33" customFormat="1" ht="13.2" customHeight="1" thickBot="1" x14ac:dyDescent="0.35">
      <c r="B41" s="2"/>
      <c r="E41" s="110"/>
      <c r="F41" s="2"/>
      <c r="R41" s="162"/>
      <c r="S41" s="162"/>
      <c r="T41" s="170"/>
      <c r="U41" s="170"/>
      <c r="V41" s="652" t="s">
        <v>35</v>
      </c>
      <c r="W41" s="652"/>
      <c r="X41" s="653"/>
      <c r="Y41" s="654"/>
      <c r="Z41" s="173"/>
      <c r="AA41" s="144">
        <f>AA38+AA39+AA40</f>
        <v>738.55916346092795</v>
      </c>
      <c r="AB41" s="111"/>
      <c r="AC41" s="111"/>
      <c r="AD41" s="111"/>
      <c r="AE41" s="112"/>
      <c r="AI41" s="113"/>
    </row>
    <row r="42" spans="1:39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4"/>
      <c r="W42" s="175"/>
      <c r="X42" s="175"/>
      <c r="Y42" s="176"/>
      <c r="Z42" s="176"/>
      <c r="AA42" s="175"/>
      <c r="AB42" s="151"/>
      <c r="AC42" s="151"/>
      <c r="AD42" s="151"/>
      <c r="AE42" s="152"/>
      <c r="AJ42" s="123"/>
      <c r="AK42" s="103"/>
      <c r="AL42" s="103"/>
      <c r="AM42" s="91"/>
    </row>
    <row r="43" spans="1:39" s="1" customFormat="1" ht="16.2" customHeight="1" x14ac:dyDescent="0.3">
      <c r="C43" s="2"/>
      <c r="D43" s="98"/>
      <c r="E43" s="564" t="s">
        <v>18</v>
      </c>
      <c r="F43" s="564"/>
      <c r="G43" s="564"/>
      <c r="H43" s="552" t="s">
        <v>182</v>
      </c>
      <c r="I43" s="651"/>
      <c r="J43" s="124"/>
      <c r="K43" s="279"/>
      <c r="L43" s="145"/>
      <c r="M43" s="240">
        <v>11874</v>
      </c>
      <c r="N43" s="147"/>
      <c r="O43" s="238" t="s">
        <v>56</v>
      </c>
      <c r="P43" s="138"/>
      <c r="Q43" s="164" t="s">
        <v>149</v>
      </c>
      <c r="R43" s="164" t="s">
        <v>150</v>
      </c>
      <c r="S43" s="164" t="s">
        <v>187</v>
      </c>
      <c r="T43" s="250"/>
      <c r="U43" s="250"/>
      <c r="V43" s="250"/>
      <c r="W43" s="251"/>
      <c r="X43" s="252"/>
      <c r="Y43" s="253"/>
      <c r="Z43" s="253"/>
      <c r="AA43" s="254"/>
      <c r="AB43" s="255"/>
      <c r="AC43" s="255"/>
      <c r="AD43" s="255"/>
      <c r="AE43" s="255"/>
      <c r="AH43" s="256"/>
      <c r="AI43" s="257"/>
      <c r="AJ43" s="256"/>
      <c r="AK43" s="256"/>
      <c r="AL43" s="256"/>
      <c r="AM43" s="255"/>
    </row>
    <row r="44" spans="1:39" s="1" customFormat="1" ht="16.2" customHeight="1" x14ac:dyDescent="0.3">
      <c r="C44" s="2"/>
      <c r="D44" s="98"/>
      <c r="E44" s="642" t="s">
        <v>18</v>
      </c>
      <c r="F44" s="642"/>
      <c r="G44" s="642"/>
      <c r="H44" s="643" t="s">
        <v>165</v>
      </c>
      <c r="I44" s="644"/>
      <c r="J44" s="243"/>
      <c r="K44" s="244"/>
      <c r="L44" s="245"/>
      <c r="M44" s="286">
        <v>11874</v>
      </c>
      <c r="N44" s="247">
        <f>U34/M44</f>
        <v>43.372073437763177</v>
      </c>
      <c r="O44" s="248" t="s">
        <v>194</v>
      </c>
      <c r="P44" s="249"/>
      <c r="Q44" s="250" t="s">
        <v>192</v>
      </c>
      <c r="R44" s="250" t="s">
        <v>167</v>
      </c>
      <c r="S44" s="250" t="s">
        <v>193</v>
      </c>
      <c r="T44" s="250"/>
      <c r="U44" s="250"/>
      <c r="V44" s="250"/>
      <c r="W44" s="251"/>
      <c r="X44" s="252"/>
      <c r="Y44" s="253"/>
      <c r="Z44" s="253"/>
      <c r="AA44" s="254"/>
      <c r="AB44" s="255"/>
      <c r="AC44" s="255"/>
      <c r="AD44" s="255"/>
      <c r="AE44" s="255"/>
      <c r="AH44" s="256"/>
      <c r="AI44" s="257"/>
      <c r="AJ44" s="256"/>
      <c r="AK44" s="256"/>
      <c r="AL44" s="256"/>
      <c r="AM44" s="255"/>
    </row>
    <row r="45" spans="1:39" ht="16.2" customHeight="1" x14ac:dyDescent="0.3">
      <c r="D45" s="211" t="s">
        <v>28</v>
      </c>
      <c r="E45" s="611" t="s">
        <v>60</v>
      </c>
      <c r="F45" s="611"/>
      <c r="G45" s="611"/>
      <c r="H45" s="552" t="s">
        <v>148</v>
      </c>
      <c r="I45" s="651"/>
      <c r="J45" s="124"/>
      <c r="K45" s="279"/>
      <c r="L45" s="145"/>
      <c r="M45" s="240">
        <f>2472+8989</f>
        <v>11461</v>
      </c>
      <c r="N45" s="147"/>
      <c r="O45" s="238" t="s">
        <v>29</v>
      </c>
      <c r="P45" s="89"/>
      <c r="Q45" s="164" t="s">
        <v>149</v>
      </c>
      <c r="R45" s="164" t="s">
        <v>178</v>
      </c>
      <c r="S45" s="164" t="s">
        <v>181</v>
      </c>
      <c r="T45" s="34"/>
      <c r="U45" s="34"/>
      <c r="V45" s="34"/>
      <c r="W45" s="177"/>
      <c r="X45" s="178"/>
      <c r="Y45" s="179"/>
      <c r="Z45" s="179"/>
      <c r="AA45" s="180"/>
      <c r="AB45" s="91"/>
      <c r="AC45" s="91"/>
      <c r="AD45" s="91"/>
      <c r="AE45" s="91"/>
      <c r="AJ45" s="123"/>
      <c r="AK45" s="123"/>
      <c r="AL45" s="123"/>
      <c r="AM45" s="91"/>
    </row>
    <row r="46" spans="1:39" ht="16.2" customHeight="1" x14ac:dyDescent="0.3">
      <c r="D46" s="259" t="s">
        <v>28</v>
      </c>
      <c r="E46" s="646" t="s">
        <v>60</v>
      </c>
      <c r="F46" s="646"/>
      <c r="G46" s="646"/>
      <c r="H46" s="643" t="s">
        <v>165</v>
      </c>
      <c r="I46" s="644"/>
      <c r="J46" s="243"/>
      <c r="K46" s="244"/>
      <c r="L46" s="245"/>
      <c r="M46" s="284">
        <f>3530+8989</f>
        <v>12519</v>
      </c>
      <c r="N46" s="247">
        <f>AA28/M46</f>
        <v>46.586700455307927</v>
      </c>
      <c r="O46" s="248" t="s">
        <v>29</v>
      </c>
      <c r="P46" s="285"/>
      <c r="Q46" s="250" t="s">
        <v>170</v>
      </c>
      <c r="R46" s="250" t="s">
        <v>171</v>
      </c>
      <c r="S46" s="250" t="s">
        <v>172</v>
      </c>
      <c r="T46" s="34"/>
      <c r="U46" s="34"/>
      <c r="V46" s="34"/>
      <c r="W46" s="177"/>
      <c r="X46" s="178"/>
      <c r="Y46" s="179"/>
      <c r="Z46" s="179"/>
      <c r="AA46" s="180"/>
      <c r="AB46" s="91"/>
      <c r="AC46" s="91"/>
      <c r="AD46" s="91"/>
      <c r="AE46" s="91"/>
      <c r="AJ46" s="123"/>
      <c r="AK46" s="123"/>
      <c r="AL46" s="123"/>
      <c r="AM46" s="91"/>
    </row>
    <row r="47" spans="1:39" ht="16.2" customHeight="1" x14ac:dyDescent="0.3">
      <c r="D47" s="211" t="s">
        <v>21</v>
      </c>
      <c r="E47" s="611" t="s">
        <v>60</v>
      </c>
      <c r="F47" s="611"/>
      <c r="G47" s="611"/>
      <c r="H47" s="552" t="s">
        <v>148</v>
      </c>
      <c r="I47" s="651"/>
      <c r="J47" s="125"/>
      <c r="K47" s="279"/>
      <c r="L47" s="145"/>
      <c r="M47" s="240">
        <f>2472+8989</f>
        <v>11461</v>
      </c>
      <c r="N47" s="147"/>
      <c r="O47" s="238" t="s">
        <v>40</v>
      </c>
      <c r="P47" s="89"/>
      <c r="Q47" s="164" t="s">
        <v>154</v>
      </c>
      <c r="R47" s="164" t="s">
        <v>174</v>
      </c>
      <c r="S47" s="164" t="s">
        <v>157</v>
      </c>
      <c r="T47" s="164" t="s">
        <v>184</v>
      </c>
      <c r="U47" s="164"/>
      <c r="V47" s="163"/>
      <c r="W47" s="177"/>
      <c r="X47" s="178"/>
      <c r="Y47" s="179"/>
      <c r="Z47" s="179"/>
      <c r="AA47" s="180"/>
      <c r="AB47" s="91"/>
      <c r="AC47" s="91"/>
      <c r="AD47" s="91"/>
      <c r="AE47" s="91"/>
      <c r="AJ47" s="127"/>
      <c r="AK47" s="103"/>
      <c r="AL47" s="103"/>
      <c r="AM47" s="91"/>
    </row>
    <row r="48" spans="1:39" ht="16.2" customHeight="1" thickBot="1" x14ac:dyDescent="0.35">
      <c r="D48" s="259" t="s">
        <v>21</v>
      </c>
      <c r="E48" s="646" t="s">
        <v>60</v>
      </c>
      <c r="F48" s="646"/>
      <c r="G48" s="646"/>
      <c r="H48" s="643" t="s">
        <v>165</v>
      </c>
      <c r="I48" s="644"/>
      <c r="J48" s="261"/>
      <c r="K48" s="244"/>
      <c r="L48" s="245"/>
      <c r="M48" s="284">
        <f>3530+8989</f>
        <v>12519</v>
      </c>
      <c r="N48" s="247">
        <f>V28/M48</f>
        <v>67.321389567856855</v>
      </c>
      <c r="O48" s="248" t="s">
        <v>40</v>
      </c>
      <c r="P48" s="285"/>
      <c r="Q48" s="250" t="s">
        <v>166</v>
      </c>
      <c r="R48" s="250" t="s">
        <v>168</v>
      </c>
      <c r="S48" s="250" t="s">
        <v>169</v>
      </c>
      <c r="T48" s="163"/>
      <c r="U48" s="163"/>
      <c r="V48" s="163"/>
      <c r="W48" s="177"/>
      <c r="X48" s="178"/>
      <c r="Y48" s="179"/>
      <c r="Z48" s="179"/>
      <c r="AA48" s="180"/>
      <c r="AB48" s="91"/>
      <c r="AC48" s="91"/>
      <c r="AD48" s="91"/>
      <c r="AE48" s="91"/>
      <c r="AJ48" s="127"/>
      <c r="AK48" s="103"/>
      <c r="AL48" s="103"/>
      <c r="AM48" s="91"/>
    </row>
    <row r="49" spans="5:31" ht="13.95" customHeight="1" thickBot="1" x14ac:dyDescent="0.35">
      <c r="E49" s="634"/>
      <c r="F49" s="635"/>
      <c r="G49" s="636"/>
      <c r="H49" s="637"/>
      <c r="I49" s="638"/>
      <c r="J49" s="141"/>
      <c r="K49" s="141"/>
      <c r="L49" s="142"/>
      <c r="M49" s="270" t="s">
        <v>33</v>
      </c>
      <c r="N49" s="149">
        <f>SUBTOTAL(109,N43:N48)</f>
        <v>157.28016346092795</v>
      </c>
      <c r="O49" s="150"/>
      <c r="T49" s="181"/>
      <c r="U49" s="181"/>
      <c r="V49" s="181"/>
      <c r="W49" s="177"/>
      <c r="X49" s="178"/>
      <c r="Y49" s="178"/>
      <c r="Z49" s="178"/>
      <c r="AA49" s="180"/>
      <c r="AB49" s="90"/>
      <c r="AC49" s="90"/>
      <c r="AD49" s="21"/>
      <c r="AE49" s="21"/>
    </row>
    <row r="50" spans="5:31" x14ac:dyDescent="0.3">
      <c r="E50" s="1" t="s">
        <v>116</v>
      </c>
      <c r="O50" s="139"/>
      <c r="W50" s="178"/>
      <c r="X50" s="178"/>
      <c r="Y50" s="178"/>
      <c r="Z50" s="178"/>
      <c r="AA50" s="180"/>
      <c r="AB50" s="21"/>
      <c r="AC50" s="21"/>
      <c r="AD50" s="21"/>
      <c r="AE50" s="21"/>
    </row>
    <row r="51" spans="5:31" x14ac:dyDescent="0.3">
      <c r="E51" s="1" t="s">
        <v>57</v>
      </c>
      <c r="O51" s="1"/>
      <c r="P51" s="1"/>
      <c r="Q51" s="1"/>
      <c r="R51" s="224"/>
      <c r="W51" s="178"/>
      <c r="X51" s="178"/>
      <c r="Y51" s="178"/>
      <c r="Z51" s="178"/>
      <c r="AA51" s="178"/>
      <c r="AB51" s="21"/>
      <c r="AC51" s="21"/>
      <c r="AD51" s="21"/>
      <c r="AE51" s="21"/>
    </row>
    <row r="52" spans="5:31" x14ac:dyDescent="0.3">
      <c r="E52" s="1" t="s">
        <v>64</v>
      </c>
    </row>
    <row r="53" spans="5:31" x14ac:dyDescent="0.3">
      <c r="E53" s="1" t="s">
        <v>58</v>
      </c>
      <c r="W53" s="175"/>
      <c r="X53" s="175"/>
      <c r="Y53" s="175"/>
      <c r="Z53" s="175"/>
      <c r="AA53" s="175"/>
      <c r="AB53" s="21"/>
      <c r="AC53" s="21"/>
      <c r="AD53" s="21"/>
      <c r="AE53" s="21"/>
    </row>
    <row r="54" spans="5:31" x14ac:dyDescent="0.3">
      <c r="E54" s="1" t="s">
        <v>59</v>
      </c>
    </row>
    <row r="55" spans="5:31" x14ac:dyDescent="0.3">
      <c r="E55" s="1" t="s">
        <v>61</v>
      </c>
    </row>
  </sheetData>
  <mergeCells count="50">
    <mergeCell ref="E43:G43"/>
    <mergeCell ref="H43:I43"/>
    <mergeCell ref="E44:G44"/>
    <mergeCell ref="H44:I44"/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Q1:Q4"/>
    <mergeCell ref="R1:R4"/>
    <mergeCell ref="S1:S3"/>
    <mergeCell ref="T1:W2"/>
    <mergeCell ref="X1:AH2"/>
    <mergeCell ref="AG3:AG4"/>
    <mergeCell ref="AH3:AH4"/>
    <mergeCell ref="AB3:AB4"/>
    <mergeCell ref="AC3:AC4"/>
    <mergeCell ref="AD3:AD4"/>
    <mergeCell ref="AE3:AE4"/>
    <mergeCell ref="AF3:AF4"/>
    <mergeCell ref="T38:W38"/>
    <mergeCell ref="T39:W39"/>
    <mergeCell ref="T40:W40"/>
    <mergeCell ref="V41:Y41"/>
    <mergeCell ref="AA3:AA4"/>
    <mergeCell ref="T3:T4"/>
    <mergeCell ref="V3:V4"/>
    <mergeCell ref="W3:W4"/>
    <mergeCell ref="X3:X4"/>
    <mergeCell ref="Y3:Y4"/>
    <mergeCell ref="Z3:Z4"/>
    <mergeCell ref="U3:U4"/>
    <mergeCell ref="E49:G49"/>
    <mergeCell ref="H49:I49"/>
    <mergeCell ref="E45:G45"/>
    <mergeCell ref="H45:I45"/>
    <mergeCell ref="E47:G47"/>
    <mergeCell ref="H47:I47"/>
    <mergeCell ref="E48:G48"/>
    <mergeCell ref="H48:I48"/>
    <mergeCell ref="E46:G46"/>
    <mergeCell ref="H46:I46"/>
  </mergeCells>
  <pageMargins left="0.7" right="0.17" top="0.72" bottom="0.34" header="0.77" footer="0.3"/>
  <pageSetup paperSize="9" scale="66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6"/>
  <sheetViews>
    <sheetView workbookViewId="0">
      <pane ySplit="4" topLeftCell="A14" activePane="bottomLeft" state="frozen"/>
      <selection pane="bottomLeft" activeCell="Z35" sqref="Z35"/>
    </sheetView>
  </sheetViews>
  <sheetFormatPr defaultColWidth="9.109375" defaultRowHeight="14.4" outlineLevelRow="1" outlineLevelCol="1" x14ac:dyDescent="0.3"/>
  <cols>
    <col min="1" max="1" width="8.44140625" style="2" customWidth="1"/>
    <col min="2" max="2" width="6.33203125" style="2" customWidth="1"/>
    <col min="3" max="3" width="5.6640625" style="2" customWidth="1"/>
    <col min="4" max="4" width="9" style="2" customWidth="1"/>
    <col min="5" max="5" width="6.6640625" style="35" customWidth="1"/>
    <col min="6" max="6" width="6.6640625" style="2" customWidth="1"/>
    <col min="7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8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1" width="13.6640625" style="20" customWidth="1"/>
    <col min="22" max="22" width="12.6640625" style="20" hidden="1" customWidth="1"/>
    <col min="23" max="23" width="11.6640625" style="20" hidden="1" customWidth="1"/>
    <col min="24" max="24" width="10.6640625" style="20" hidden="1" customWidth="1"/>
    <col min="25" max="25" width="12.6640625" style="20" hidden="1" customWidth="1"/>
    <col min="26" max="26" width="15.6640625" style="20" customWidth="1"/>
    <col min="27" max="29" width="9.6640625" style="2" hidden="1" customWidth="1"/>
    <col min="30" max="31" width="10.6640625" style="2" hidden="1" customWidth="1"/>
    <col min="32" max="32" width="0.109375" style="2" hidden="1" customWidth="1"/>
    <col min="33" max="33" width="11.33203125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189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41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45</v>
      </c>
      <c r="Y3" s="567"/>
      <c r="Z3" s="567" t="s">
        <v>160</v>
      </c>
      <c r="AA3" s="599" t="s">
        <v>30</v>
      </c>
      <c r="AB3" s="599" t="s">
        <v>37</v>
      </c>
      <c r="AC3" s="567"/>
      <c r="AD3" s="601" t="s">
        <v>14</v>
      </c>
      <c r="AE3" s="597" t="s">
        <v>63</v>
      </c>
      <c r="AF3" s="604" t="s">
        <v>16</v>
      </c>
      <c r="AG3" s="597" t="s">
        <v>19</v>
      </c>
    </row>
    <row r="4" spans="1:40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281" t="s">
        <v>10</v>
      </c>
      <c r="K4" s="282" t="s">
        <v>2</v>
      </c>
      <c r="L4" s="283" t="s">
        <v>9</v>
      </c>
      <c r="M4" s="281" t="s">
        <v>10</v>
      </c>
      <c r="N4" s="282" t="s">
        <v>2</v>
      </c>
      <c r="O4" s="283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52">
        <v>45017</v>
      </c>
      <c r="B5" s="28"/>
      <c r="C5" s="30"/>
      <c r="D5" s="22"/>
      <c r="E5" s="42">
        <f>'03.2023'!E35-B5-C5+D5</f>
        <v>564.71299999999997</v>
      </c>
      <c r="F5" s="51">
        <f>C5</f>
        <v>0</v>
      </c>
      <c r="G5" s="9"/>
      <c r="H5" s="10"/>
      <c r="I5" s="161">
        <f>'03.2023'!I35+F5-G5-H5</f>
        <v>8.5999999999999943</v>
      </c>
      <c r="J5" s="8"/>
      <c r="K5" s="11"/>
      <c r="L5" s="25"/>
      <c r="M5" s="51">
        <f t="shared" ref="M5:M35" si="0">H5</f>
        <v>0</v>
      </c>
      <c r="N5" s="24"/>
      <c r="O5" s="47">
        <f>'03.2023'!O35+M5-N5</f>
        <v>1.7919999999999987</v>
      </c>
      <c r="P5" s="46">
        <v>0</v>
      </c>
      <c r="Q5" s="45">
        <f t="shared" ref="Q5:Q35" si="1">E5+I5+L5+O5</f>
        <v>575.10500000000002</v>
      </c>
      <c r="R5" s="165">
        <f>B5+G5+H5+J5</f>
        <v>0</v>
      </c>
      <c r="S5" s="159">
        <f>'03.2023'!AJ27</f>
        <v>31.565999999999999</v>
      </c>
      <c r="T5" s="58">
        <f>'03.2023'!U35</f>
        <v>515000</v>
      </c>
      <c r="U5" s="58">
        <f>'03.2023'!V35</f>
        <v>842796.47600000002</v>
      </c>
      <c r="V5" s="58"/>
      <c r="W5" s="58"/>
      <c r="X5" s="58"/>
      <c r="Y5" s="58"/>
      <c r="Z5" s="87">
        <f>'03.2023'!AA35</f>
        <v>583218.90299999993</v>
      </c>
      <c r="AA5" s="58" t="e">
        <f>#REF!</f>
        <v>#REF!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/>
      <c r="AH5" s="127"/>
      <c r="AI5" s="126"/>
      <c r="AJ5" s="21"/>
      <c r="AK5" s="91"/>
      <c r="AL5" s="21"/>
      <c r="AM5" s="21"/>
    </row>
    <row r="6" spans="1:40" ht="13.2" customHeight="1" thickBot="1" x14ac:dyDescent="0.35">
      <c r="A6" s="52">
        <v>45018</v>
      </c>
      <c r="B6" s="28"/>
      <c r="C6" s="30"/>
      <c r="D6" s="22"/>
      <c r="E6" s="43">
        <f t="shared" ref="E6:E35" si="2">E5+D6-B6-C6</f>
        <v>564.71299999999997</v>
      </c>
      <c r="F6" s="51">
        <f t="shared" ref="F6:F35" si="3">C6</f>
        <v>0</v>
      </c>
      <c r="G6" s="9"/>
      <c r="H6" s="10"/>
      <c r="I6" s="161">
        <f t="shared" ref="I6:I35" si="4">I5+F6-G6-H6</f>
        <v>8.5999999999999943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1.7919999999999987</v>
      </c>
      <c r="P6" s="48"/>
      <c r="Q6" s="47">
        <f t="shared" si="1"/>
        <v>575.10500000000002</v>
      </c>
      <c r="R6" s="165">
        <f t="shared" ref="R6:R35" si="6">B6+G6+H6+J6</f>
        <v>0</v>
      </c>
      <c r="S6" s="159">
        <f>S5+AI6</f>
        <v>68.816000000000003</v>
      </c>
      <c r="T6" s="59">
        <f>T5-AI6*M43</f>
        <v>-16706.5</v>
      </c>
      <c r="U6" s="58"/>
      <c r="V6" s="58"/>
      <c r="W6" s="58"/>
      <c r="X6" s="58"/>
      <c r="Y6" s="107"/>
      <c r="Z6" s="87">
        <v>583219.31999999995</v>
      </c>
      <c r="AA6" s="58">
        <v>0</v>
      </c>
      <c r="AB6" s="58">
        <v>0</v>
      </c>
      <c r="AC6" s="58">
        <v>0</v>
      </c>
      <c r="AD6" s="58">
        <v>76674</v>
      </c>
      <c r="AE6" s="58">
        <v>0</v>
      </c>
      <c r="AF6" s="58">
        <v>0</v>
      </c>
      <c r="AG6" s="58"/>
      <c r="AH6" s="127" t="s">
        <v>43</v>
      </c>
      <c r="AI6" s="126">
        <v>37.25</v>
      </c>
      <c r="AJ6" s="99" t="s">
        <v>204</v>
      </c>
      <c r="AK6" s="229">
        <v>54642632</v>
      </c>
      <c r="AL6" s="21"/>
      <c r="AM6" s="21"/>
    </row>
    <row r="7" spans="1:40" ht="13.2" customHeight="1" thickBot="1" x14ac:dyDescent="0.35">
      <c r="A7" s="7">
        <v>45019</v>
      </c>
      <c r="B7" s="28">
        <v>21.55</v>
      </c>
      <c r="C7" s="30">
        <v>1.534</v>
      </c>
      <c r="D7" s="186">
        <f>'03.2023'!AJ27</f>
        <v>31.565999999999999</v>
      </c>
      <c r="E7" s="43">
        <f t="shared" si="2"/>
        <v>573.19500000000005</v>
      </c>
      <c r="F7" s="51">
        <f t="shared" si="3"/>
        <v>1.534</v>
      </c>
      <c r="G7" s="9">
        <f>1.884-H7</f>
        <v>1.65</v>
      </c>
      <c r="H7" s="10">
        <v>0.23400000000000001</v>
      </c>
      <c r="I7" s="161">
        <f t="shared" si="4"/>
        <v>8.2499999999999947</v>
      </c>
      <c r="J7" s="8"/>
      <c r="K7" s="11"/>
      <c r="L7" s="12"/>
      <c r="M7" s="51">
        <f t="shared" si="0"/>
        <v>0.23400000000000001</v>
      </c>
      <c r="N7" s="24">
        <v>0.315</v>
      </c>
      <c r="O7" s="47">
        <f t="shared" si="5"/>
        <v>1.710999999999999</v>
      </c>
      <c r="P7" s="48"/>
      <c r="Q7" s="47">
        <f t="shared" si="1"/>
        <v>583.15600000000006</v>
      </c>
      <c r="R7" s="165">
        <f t="shared" si="6"/>
        <v>23.434000000000001</v>
      </c>
      <c r="S7" s="159">
        <f>AI6</f>
        <v>37.25</v>
      </c>
      <c r="T7" s="58">
        <v>-16706.5</v>
      </c>
      <c r="U7" s="58">
        <f>U5+622000</f>
        <v>1464796.476</v>
      </c>
      <c r="V7" s="58"/>
      <c r="W7" s="58"/>
      <c r="X7" s="58"/>
      <c r="Y7" s="58"/>
      <c r="Z7" s="87">
        <f>Z6+407000</f>
        <v>990219.32</v>
      </c>
      <c r="AA7" s="58">
        <v>0</v>
      </c>
      <c r="AB7" s="58">
        <v>0</v>
      </c>
      <c r="AC7" s="58">
        <v>0</v>
      </c>
      <c r="AD7" s="58">
        <v>76674</v>
      </c>
      <c r="AE7" s="58">
        <v>0</v>
      </c>
      <c r="AF7" s="58">
        <v>0</v>
      </c>
      <c r="AG7" s="58"/>
      <c r="AI7" s="21"/>
      <c r="AL7" s="21"/>
      <c r="AM7" s="21"/>
    </row>
    <row r="8" spans="1:40" ht="12.75" customHeight="1" thickBot="1" x14ac:dyDescent="0.35">
      <c r="A8" s="7">
        <v>45020</v>
      </c>
      <c r="B8" s="28">
        <v>19.22</v>
      </c>
      <c r="C8" s="30">
        <v>1.83</v>
      </c>
      <c r="D8" s="186"/>
      <c r="E8" s="43">
        <f t="shared" si="2"/>
        <v>552.14499999999998</v>
      </c>
      <c r="F8" s="51">
        <f t="shared" si="3"/>
        <v>1.83</v>
      </c>
      <c r="G8" s="9">
        <f>3.48</f>
        <v>3.48</v>
      </c>
      <c r="H8" s="10"/>
      <c r="I8" s="161">
        <f t="shared" si="4"/>
        <v>6.5999999999999943</v>
      </c>
      <c r="J8" s="8"/>
      <c r="K8" s="11"/>
      <c r="L8" s="12"/>
      <c r="M8" s="51">
        <f t="shared" si="0"/>
        <v>0</v>
      </c>
      <c r="N8" s="24">
        <v>0.39200000000000002</v>
      </c>
      <c r="O8" s="47">
        <f t="shared" si="5"/>
        <v>1.3189999999999991</v>
      </c>
      <c r="P8" s="48"/>
      <c r="Q8" s="47">
        <f t="shared" si="1"/>
        <v>560.06399999999996</v>
      </c>
      <c r="R8" s="165">
        <f t="shared" si="6"/>
        <v>22.7</v>
      </c>
      <c r="S8" s="159">
        <f>AI6</f>
        <v>37.25</v>
      </c>
      <c r="T8" s="86">
        <v>-16706.5</v>
      </c>
      <c r="U8" s="86"/>
      <c r="V8" s="212"/>
      <c r="W8" s="58"/>
      <c r="X8" s="58"/>
      <c r="Y8" s="58"/>
      <c r="Z8" s="87"/>
      <c r="AA8" s="58">
        <v>0</v>
      </c>
      <c r="AB8" s="58">
        <v>0</v>
      </c>
      <c r="AC8" s="58">
        <v>0</v>
      </c>
      <c r="AD8" s="58">
        <v>76674</v>
      </c>
      <c r="AE8" s="58">
        <v>0</v>
      </c>
      <c r="AF8" s="58">
        <v>0</v>
      </c>
      <c r="AG8" s="58"/>
      <c r="AH8" s="123" t="s">
        <v>49</v>
      </c>
      <c r="AI8" s="122">
        <v>34.082000000000001</v>
      </c>
      <c r="AJ8" s="99" t="s">
        <v>195</v>
      </c>
      <c r="AK8" s="91">
        <v>58267303</v>
      </c>
      <c r="AL8" s="239"/>
      <c r="AM8" s="21"/>
    </row>
    <row r="9" spans="1:40" ht="13.2" customHeight="1" thickBot="1" x14ac:dyDescent="0.35">
      <c r="A9" s="7">
        <v>45021</v>
      </c>
      <c r="B9" s="28">
        <v>9.44</v>
      </c>
      <c r="C9" s="30">
        <v>2.82</v>
      </c>
      <c r="D9" s="186"/>
      <c r="E9" s="43">
        <f t="shared" si="2"/>
        <v>539.88499999999988</v>
      </c>
      <c r="F9" s="51">
        <f t="shared" si="3"/>
        <v>2.82</v>
      </c>
      <c r="G9" s="9">
        <f>3.27-H9</f>
        <v>2.25</v>
      </c>
      <c r="H9" s="10">
        <v>1.02</v>
      </c>
      <c r="I9" s="161">
        <f t="shared" si="4"/>
        <v>6.149999999999995</v>
      </c>
      <c r="J9" s="8"/>
      <c r="K9" s="11"/>
      <c r="L9" s="12"/>
      <c r="M9" s="51">
        <f t="shared" si="0"/>
        <v>1.02</v>
      </c>
      <c r="N9" s="24">
        <v>0.37</v>
      </c>
      <c r="O9" s="47">
        <f t="shared" si="5"/>
        <v>1.968999999999999</v>
      </c>
      <c r="P9" s="48"/>
      <c r="Q9" s="47">
        <f t="shared" si="1"/>
        <v>548.00399999999991</v>
      </c>
      <c r="R9" s="165">
        <f t="shared" si="6"/>
        <v>12.709999999999999</v>
      </c>
      <c r="S9" s="159">
        <v>37.25</v>
      </c>
      <c r="T9" s="58">
        <v>-16706.5</v>
      </c>
      <c r="U9" s="86"/>
      <c r="V9" s="212"/>
      <c r="W9" s="80"/>
      <c r="X9" s="79"/>
      <c r="Y9" s="58"/>
      <c r="Z9" s="87"/>
      <c r="AA9" s="87">
        <v>0</v>
      </c>
      <c r="AB9" s="80">
        <v>0</v>
      </c>
      <c r="AC9" s="230">
        <v>0</v>
      </c>
      <c r="AD9" s="87">
        <v>76674</v>
      </c>
      <c r="AE9" s="55">
        <v>0</v>
      </c>
      <c r="AF9" s="14">
        <v>0</v>
      </c>
      <c r="AG9" s="58"/>
      <c r="AH9" s="128" t="s">
        <v>48</v>
      </c>
      <c r="AI9" s="120">
        <v>35.554000000000002</v>
      </c>
      <c r="AJ9" s="99" t="s">
        <v>196</v>
      </c>
      <c r="AK9" s="91">
        <v>76634872</v>
      </c>
      <c r="AL9" s="99"/>
      <c r="AM9" s="21"/>
      <c r="AN9" s="21"/>
    </row>
    <row r="10" spans="1:40" s="1" customFormat="1" ht="13.2" customHeight="1" thickBot="1" x14ac:dyDescent="0.35">
      <c r="A10" s="7">
        <v>45022</v>
      </c>
      <c r="B10" s="28">
        <v>17.149999999999999</v>
      </c>
      <c r="C10" s="30">
        <v>1.93</v>
      </c>
      <c r="D10" s="186"/>
      <c r="E10" s="43">
        <f t="shared" si="2"/>
        <v>520.80499999999995</v>
      </c>
      <c r="F10" s="51">
        <f t="shared" si="3"/>
        <v>1.93</v>
      </c>
      <c r="G10" s="30">
        <f>2.18</f>
        <v>2.1800000000000002</v>
      </c>
      <c r="H10" s="10"/>
      <c r="I10" s="161">
        <f t="shared" si="4"/>
        <v>5.899999999999995</v>
      </c>
      <c r="J10" s="8"/>
      <c r="K10" s="11"/>
      <c r="L10" s="12"/>
      <c r="M10" s="51">
        <f t="shared" si="0"/>
        <v>0</v>
      </c>
      <c r="N10" s="24">
        <v>0.20899999999999999</v>
      </c>
      <c r="O10" s="47">
        <f t="shared" si="5"/>
        <v>1.7599999999999989</v>
      </c>
      <c r="P10" s="48"/>
      <c r="Q10" s="47">
        <f t="shared" si="1"/>
        <v>528.46499999999992</v>
      </c>
      <c r="R10" s="165">
        <f t="shared" si="6"/>
        <v>19.329999999999998</v>
      </c>
      <c r="S10" s="160">
        <f>AI6+AI8+AI9</f>
        <v>106.886</v>
      </c>
      <c r="T10" s="86">
        <f>T6+458000</f>
        <v>441293.5</v>
      </c>
      <c r="U10" s="157">
        <f>U7-AI9*M48</f>
        <v>949441.24600000004</v>
      </c>
      <c r="V10" s="212"/>
      <c r="W10" s="80"/>
      <c r="X10" s="79"/>
      <c r="Y10" s="58"/>
      <c r="Z10" s="107">
        <f>Z7-AI8*M46</f>
        <v>496200.72999999992</v>
      </c>
      <c r="AA10" s="87"/>
      <c r="AB10" s="80"/>
      <c r="AC10" s="187"/>
      <c r="AD10" s="87">
        <v>0</v>
      </c>
      <c r="AE10" s="55"/>
      <c r="AF10" s="136"/>
      <c r="AG10" s="58">
        <v>0</v>
      </c>
      <c r="AI10" s="120"/>
      <c r="AJ10" s="99"/>
      <c r="AK10" s="91"/>
      <c r="AL10" s="239"/>
      <c r="AM10" s="27"/>
      <c r="AN10" s="27"/>
    </row>
    <row r="11" spans="1:40" ht="13.2" customHeight="1" thickBot="1" x14ac:dyDescent="0.35">
      <c r="A11" s="7">
        <v>45023</v>
      </c>
      <c r="B11" s="28">
        <v>16.37</v>
      </c>
      <c r="C11" s="30">
        <v>2.625</v>
      </c>
      <c r="D11" s="186"/>
      <c r="E11" s="43">
        <f>E10+D11-B11-C11</f>
        <v>501.80999999999995</v>
      </c>
      <c r="F11" s="51">
        <f t="shared" si="3"/>
        <v>2.625</v>
      </c>
      <c r="G11" s="9">
        <f>1.825-H11</f>
        <v>1.3199999999999998</v>
      </c>
      <c r="H11" s="10">
        <v>0.505</v>
      </c>
      <c r="I11" s="161">
        <f t="shared" si="4"/>
        <v>6.6999999999999948</v>
      </c>
      <c r="J11" s="8"/>
      <c r="K11" s="11"/>
      <c r="L11" s="12"/>
      <c r="M11" s="51">
        <f t="shared" si="0"/>
        <v>0.505</v>
      </c>
      <c r="N11" s="24">
        <v>0.36199999999999999</v>
      </c>
      <c r="O11" s="47">
        <f t="shared" si="5"/>
        <v>1.9029999999999987</v>
      </c>
      <c r="P11" s="48"/>
      <c r="Q11" s="47">
        <f t="shared" si="1"/>
        <v>510.41299999999995</v>
      </c>
      <c r="R11" s="165">
        <f>B11+G11+H11+J11</f>
        <v>18.195</v>
      </c>
      <c r="S11" s="160">
        <v>106.886</v>
      </c>
      <c r="T11" s="86">
        <v>441293.5</v>
      </c>
      <c r="U11" s="82"/>
      <c r="V11" s="212"/>
      <c r="W11" s="80"/>
      <c r="X11" s="79"/>
      <c r="Y11" s="58"/>
      <c r="Z11" s="87"/>
      <c r="AA11" s="87"/>
      <c r="AB11" s="80"/>
      <c r="AC11" s="230"/>
      <c r="AD11" s="87">
        <v>0</v>
      </c>
      <c r="AE11" s="55"/>
      <c r="AF11" s="14"/>
      <c r="AG11" s="86">
        <v>0</v>
      </c>
      <c r="AI11" s="122"/>
      <c r="AJ11" s="103"/>
      <c r="AK11" s="91"/>
      <c r="AL11" s="21"/>
      <c r="AM11" s="21"/>
      <c r="AN11" s="21"/>
    </row>
    <row r="12" spans="1:40" ht="13.2" customHeight="1" thickBot="1" x14ac:dyDescent="0.35">
      <c r="A12" s="52">
        <v>45024</v>
      </c>
      <c r="B12" s="28"/>
      <c r="C12" s="30"/>
      <c r="D12" s="186"/>
      <c r="E12" s="43">
        <f>E11+D12-B12-C12</f>
        <v>501.80999999999995</v>
      </c>
      <c r="F12" s="51">
        <f t="shared" si="3"/>
        <v>0</v>
      </c>
      <c r="G12" s="30"/>
      <c r="H12" s="24"/>
      <c r="I12" s="161">
        <f t="shared" si="4"/>
        <v>6.6999999999999948</v>
      </c>
      <c r="J12" s="8"/>
      <c r="K12" s="11"/>
      <c r="L12" s="12"/>
      <c r="M12" s="51">
        <f t="shared" si="0"/>
        <v>0</v>
      </c>
      <c r="N12" s="24"/>
      <c r="O12" s="47">
        <f t="shared" si="5"/>
        <v>1.9029999999999987</v>
      </c>
      <c r="P12" s="48"/>
      <c r="Q12" s="47">
        <f t="shared" si="1"/>
        <v>510.41299999999995</v>
      </c>
      <c r="R12" s="165">
        <f>B12+G12+H12+J12</f>
        <v>0</v>
      </c>
      <c r="S12" s="160">
        <v>106.886</v>
      </c>
      <c r="T12" s="86">
        <v>441293.5</v>
      </c>
      <c r="U12" s="82"/>
      <c r="V12" s="212"/>
      <c r="W12" s="80"/>
      <c r="X12" s="79"/>
      <c r="Y12" s="58"/>
      <c r="Z12" s="87"/>
      <c r="AA12" s="86"/>
      <c r="AB12" s="80"/>
      <c r="AC12" s="187"/>
      <c r="AD12" s="87">
        <v>0</v>
      </c>
      <c r="AE12" s="55"/>
      <c r="AF12" s="14"/>
      <c r="AG12" s="86">
        <v>0</v>
      </c>
      <c r="AH12" s="127"/>
      <c r="AI12" s="126"/>
      <c r="AJ12" s="103"/>
      <c r="AK12" s="91"/>
      <c r="AL12" s="21"/>
      <c r="AM12" s="21"/>
      <c r="AN12" s="21"/>
    </row>
    <row r="13" spans="1:40" ht="13.2" customHeight="1" thickBot="1" x14ac:dyDescent="0.35">
      <c r="A13" s="52">
        <v>45025</v>
      </c>
      <c r="B13" s="28"/>
      <c r="C13" s="30"/>
      <c r="D13" s="186"/>
      <c r="E13" s="43">
        <f t="shared" si="2"/>
        <v>501.80999999999995</v>
      </c>
      <c r="F13" s="51">
        <f t="shared" si="3"/>
        <v>0</v>
      </c>
      <c r="G13" s="9"/>
      <c r="H13" s="10"/>
      <c r="I13" s="161">
        <f t="shared" si="4"/>
        <v>6.6999999999999948</v>
      </c>
      <c r="J13" s="8"/>
      <c r="K13" s="26"/>
      <c r="L13" s="12"/>
      <c r="M13" s="51">
        <f t="shared" si="0"/>
        <v>0</v>
      </c>
      <c r="N13" s="24"/>
      <c r="O13" s="47">
        <f t="shared" si="5"/>
        <v>1.9029999999999987</v>
      </c>
      <c r="P13" s="48"/>
      <c r="Q13" s="47">
        <f t="shared" si="1"/>
        <v>510.41299999999995</v>
      </c>
      <c r="R13" s="165">
        <f t="shared" si="6"/>
        <v>0</v>
      </c>
      <c r="S13" s="160">
        <v>106.886</v>
      </c>
      <c r="T13" s="86">
        <v>441293.5</v>
      </c>
      <c r="U13" s="82"/>
      <c r="V13" s="212"/>
      <c r="W13" s="80"/>
      <c r="X13" s="79"/>
      <c r="Y13" s="58"/>
      <c r="Z13" s="87"/>
      <c r="AA13" s="86"/>
      <c r="AB13" s="80"/>
      <c r="AC13" s="187"/>
      <c r="AD13" s="87">
        <v>0</v>
      </c>
      <c r="AE13" s="55"/>
      <c r="AF13" s="14"/>
      <c r="AG13" s="86">
        <v>0</v>
      </c>
      <c r="AH13" s="127"/>
      <c r="AI13" s="126"/>
      <c r="AJ13" s="99"/>
      <c r="AK13" s="91"/>
      <c r="AL13" s="135"/>
      <c r="AM13" s="21"/>
      <c r="AN13" s="21"/>
    </row>
    <row r="14" spans="1:40" ht="13.2" customHeight="1" thickBot="1" x14ac:dyDescent="0.35">
      <c r="A14" s="7">
        <v>45026</v>
      </c>
      <c r="B14" s="28">
        <v>21.79</v>
      </c>
      <c r="C14" s="30">
        <v>1.82</v>
      </c>
      <c r="D14" s="186"/>
      <c r="E14" s="43">
        <f t="shared" si="2"/>
        <v>478.19999999999993</v>
      </c>
      <c r="F14" s="51">
        <f t="shared" si="3"/>
        <v>1.82</v>
      </c>
      <c r="G14" s="30">
        <v>0.93</v>
      </c>
      <c r="H14" s="24"/>
      <c r="I14" s="161">
        <f t="shared" si="4"/>
        <v>7.5899999999999945</v>
      </c>
      <c r="J14" s="8"/>
      <c r="K14" s="11"/>
      <c r="L14" s="12"/>
      <c r="M14" s="51">
        <f t="shared" si="0"/>
        <v>0</v>
      </c>
      <c r="N14" s="24">
        <v>0.30399999999999999</v>
      </c>
      <c r="O14" s="47">
        <f t="shared" si="5"/>
        <v>1.5989999999999986</v>
      </c>
      <c r="P14" s="48"/>
      <c r="Q14" s="47">
        <f t="shared" si="1"/>
        <v>487.3889999999999</v>
      </c>
      <c r="R14" s="165">
        <f t="shared" si="6"/>
        <v>22.72</v>
      </c>
      <c r="S14" s="160">
        <v>106.886</v>
      </c>
      <c r="T14" s="86">
        <v>441293.5</v>
      </c>
      <c r="U14" s="82"/>
      <c r="V14" s="212"/>
      <c r="W14" s="80"/>
      <c r="X14" s="79"/>
      <c r="Y14" s="58"/>
      <c r="Z14" s="87"/>
      <c r="AA14" s="86"/>
      <c r="AB14" s="80"/>
      <c r="AC14" s="190"/>
      <c r="AD14" s="87">
        <v>0</v>
      </c>
      <c r="AE14" s="55"/>
      <c r="AF14" s="14"/>
      <c r="AG14" s="86">
        <v>0</v>
      </c>
      <c r="AH14" s="128"/>
      <c r="AI14" s="120"/>
      <c r="AJ14" s="208"/>
      <c r="AK14" s="91"/>
      <c r="AL14" s="239"/>
      <c r="AM14" s="21"/>
      <c r="AN14" s="21"/>
    </row>
    <row r="15" spans="1:40" ht="13.2" customHeight="1" thickBot="1" x14ac:dyDescent="0.35">
      <c r="A15" s="7">
        <v>45027</v>
      </c>
      <c r="B15" s="28">
        <v>14.125</v>
      </c>
      <c r="C15" s="30">
        <v>1.383</v>
      </c>
      <c r="D15" s="186"/>
      <c r="E15" s="43">
        <f t="shared" si="2"/>
        <v>462.69199999999995</v>
      </c>
      <c r="F15" s="51">
        <f t="shared" si="3"/>
        <v>1.383</v>
      </c>
      <c r="G15" s="9">
        <f>0.903-H15</f>
        <v>0.38</v>
      </c>
      <c r="H15" s="10">
        <v>0.52300000000000002</v>
      </c>
      <c r="I15" s="161">
        <f t="shared" si="4"/>
        <v>8.069999999999995</v>
      </c>
      <c r="J15" s="8"/>
      <c r="K15" s="11"/>
      <c r="L15" s="12"/>
      <c r="M15" s="51">
        <f>H15</f>
        <v>0.52300000000000002</v>
      </c>
      <c r="N15" s="24">
        <v>0.51100000000000001</v>
      </c>
      <c r="O15" s="47">
        <f t="shared" si="5"/>
        <v>1.6109999999999984</v>
      </c>
      <c r="P15" s="48"/>
      <c r="Q15" s="47">
        <f t="shared" si="1"/>
        <v>472.37299999999993</v>
      </c>
      <c r="R15" s="165">
        <f t="shared" si="6"/>
        <v>15.028</v>
      </c>
      <c r="S15" s="160">
        <f>AI6+AI8+AI9+AI15</f>
        <v>145.23599999999999</v>
      </c>
      <c r="T15" s="88">
        <f>T10-AI15*M43</f>
        <v>-106114.40000000002</v>
      </c>
      <c r="U15" s="82"/>
      <c r="V15" s="212"/>
      <c r="W15" s="80"/>
      <c r="X15" s="79"/>
      <c r="Y15" s="58"/>
      <c r="Z15" s="87"/>
      <c r="AA15" s="86"/>
      <c r="AB15" s="80"/>
      <c r="AC15" s="79"/>
      <c r="AD15" s="87">
        <v>0</v>
      </c>
      <c r="AE15" s="55"/>
      <c r="AF15" s="14"/>
      <c r="AG15" s="86">
        <v>0</v>
      </c>
      <c r="AH15" s="127" t="s">
        <v>43</v>
      </c>
      <c r="AI15" s="126">
        <v>38.35</v>
      </c>
      <c r="AJ15" s="99" t="s">
        <v>198</v>
      </c>
      <c r="AK15" s="91">
        <v>76609346</v>
      </c>
      <c r="AL15" s="239"/>
      <c r="AM15" s="21"/>
      <c r="AN15" s="21"/>
    </row>
    <row r="16" spans="1:40" ht="13.2" customHeight="1" thickBot="1" x14ac:dyDescent="0.35">
      <c r="A16" s="7">
        <v>45028</v>
      </c>
      <c r="B16" s="28">
        <v>25.965</v>
      </c>
      <c r="C16" s="30">
        <v>1.661</v>
      </c>
      <c r="D16" s="186"/>
      <c r="E16" s="43">
        <f t="shared" si="2"/>
        <v>435.06599999999997</v>
      </c>
      <c r="F16" s="51">
        <f t="shared" si="3"/>
        <v>1.661</v>
      </c>
      <c r="G16" s="9">
        <f>1.581-H16</f>
        <v>1.1419999999999999</v>
      </c>
      <c r="H16" s="10">
        <v>0.439</v>
      </c>
      <c r="I16" s="161">
        <f t="shared" si="4"/>
        <v>8.149999999999995</v>
      </c>
      <c r="J16" s="8"/>
      <c r="K16" s="11"/>
      <c r="L16" s="12"/>
      <c r="M16" s="51">
        <f t="shared" si="0"/>
        <v>0.439</v>
      </c>
      <c r="N16" s="24">
        <v>0.248</v>
      </c>
      <c r="O16" s="47">
        <f t="shared" si="5"/>
        <v>1.8019999999999985</v>
      </c>
      <c r="P16" s="48"/>
      <c r="Q16" s="47">
        <f t="shared" si="1"/>
        <v>445.01799999999997</v>
      </c>
      <c r="R16" s="165">
        <f t="shared" si="6"/>
        <v>27.545999999999999</v>
      </c>
      <c r="S16" s="160">
        <v>145.23599999999999</v>
      </c>
      <c r="T16" s="86">
        <v>-106114.40000000002</v>
      </c>
      <c r="U16" s="82"/>
      <c r="V16" s="212"/>
      <c r="W16" s="80"/>
      <c r="X16" s="85"/>
      <c r="Y16" s="58"/>
      <c r="Z16" s="86"/>
      <c r="AA16" s="86"/>
      <c r="AB16" s="80"/>
      <c r="AC16" s="230"/>
      <c r="AD16" s="87">
        <v>0</v>
      </c>
      <c r="AE16" s="55"/>
      <c r="AF16" s="14"/>
      <c r="AG16" s="86">
        <v>0</v>
      </c>
      <c r="AH16" s="123"/>
      <c r="AI16" s="122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7">
        <v>45029</v>
      </c>
      <c r="B17" s="28">
        <v>23.58</v>
      </c>
      <c r="C17" s="30">
        <v>1.4219999999999999</v>
      </c>
      <c r="D17" s="186">
        <f>AI9</f>
        <v>35.554000000000002</v>
      </c>
      <c r="E17" s="43">
        <f t="shared" si="2"/>
        <v>445.61799999999999</v>
      </c>
      <c r="F17" s="51">
        <f t="shared" si="3"/>
        <v>1.4219999999999999</v>
      </c>
      <c r="G17" s="9">
        <v>0.372</v>
      </c>
      <c r="H17" s="10"/>
      <c r="I17" s="161">
        <f t="shared" si="4"/>
        <v>9.1999999999999957</v>
      </c>
      <c r="J17" s="4"/>
      <c r="K17" s="5"/>
      <c r="L17" s="6"/>
      <c r="M17" s="51">
        <f t="shared" si="0"/>
        <v>0</v>
      </c>
      <c r="N17" s="24">
        <v>0.2</v>
      </c>
      <c r="O17" s="47">
        <f t="shared" si="5"/>
        <v>1.6019999999999985</v>
      </c>
      <c r="P17" s="49"/>
      <c r="Q17" s="47">
        <f t="shared" si="1"/>
        <v>456.41999999999996</v>
      </c>
      <c r="R17" s="165">
        <f t="shared" si="6"/>
        <v>23.951999999999998</v>
      </c>
      <c r="S17" s="160">
        <f>AI6+AI8+AI15</f>
        <v>109.68199999999999</v>
      </c>
      <c r="T17" s="86">
        <v>-106114.40000000002</v>
      </c>
      <c r="U17" s="82">
        <f>972000+U10</f>
        <v>1921441.246</v>
      </c>
      <c r="V17" s="288"/>
      <c r="W17" s="129"/>
      <c r="X17" s="289"/>
      <c r="Y17" s="290"/>
      <c r="Z17" s="86">
        <f>551000+Z10</f>
        <v>1047200.73</v>
      </c>
      <c r="AA17" s="86"/>
      <c r="AB17" s="80"/>
      <c r="AC17" s="187"/>
      <c r="AD17" s="87">
        <v>0</v>
      </c>
      <c r="AE17" s="55"/>
      <c r="AF17" s="14"/>
      <c r="AG17" s="86">
        <v>0</v>
      </c>
      <c r="AH17" s="123"/>
      <c r="AI17" s="122"/>
      <c r="AJ17" s="21"/>
      <c r="AK17" s="91"/>
      <c r="AL17" s="130"/>
      <c r="AM17" s="99"/>
      <c r="AN17" s="27"/>
    </row>
    <row r="18" spans="1:40" ht="13.2" customHeight="1" thickBot="1" x14ac:dyDescent="0.35">
      <c r="A18" s="7">
        <v>45030</v>
      </c>
      <c r="B18" s="28">
        <v>27.37</v>
      </c>
      <c r="C18" s="30">
        <v>1.032</v>
      </c>
      <c r="D18" s="186"/>
      <c r="E18" s="43">
        <f t="shared" si="2"/>
        <v>417.21600000000001</v>
      </c>
      <c r="F18" s="51">
        <f t="shared" si="3"/>
        <v>1.032</v>
      </c>
      <c r="G18" s="9">
        <f>1.902-H18</f>
        <v>1.2599999999999998</v>
      </c>
      <c r="H18" s="10">
        <v>0.64200000000000002</v>
      </c>
      <c r="I18" s="161">
        <f t="shared" si="4"/>
        <v>8.3299999999999965</v>
      </c>
      <c r="J18" s="8"/>
      <c r="K18" s="11"/>
      <c r="L18" s="12"/>
      <c r="M18" s="51">
        <f t="shared" si="0"/>
        <v>0.64200000000000002</v>
      </c>
      <c r="N18" s="24">
        <v>0.502</v>
      </c>
      <c r="O18" s="47">
        <f t="shared" si="5"/>
        <v>1.7419999999999984</v>
      </c>
      <c r="P18" s="48"/>
      <c r="Q18" s="47">
        <f t="shared" si="1"/>
        <v>427.28800000000001</v>
      </c>
      <c r="R18" s="165">
        <f t="shared" si="6"/>
        <v>29.272000000000002</v>
      </c>
      <c r="S18" s="160">
        <f>AI6+AI8+AI15+AI18</f>
        <v>175.32999999999998</v>
      </c>
      <c r="T18" s="86">
        <v>-106114.40000000002</v>
      </c>
      <c r="U18" s="157">
        <f>U17-AI18*M48</f>
        <v>969873.48600000015</v>
      </c>
      <c r="V18" s="86"/>
      <c r="W18" s="80"/>
      <c r="X18" s="85"/>
      <c r="Y18" s="107"/>
      <c r="Z18" s="86"/>
      <c r="AA18" s="86"/>
      <c r="AB18" s="80"/>
      <c r="AC18" s="187"/>
      <c r="AD18" s="87">
        <v>0</v>
      </c>
      <c r="AE18" s="55"/>
      <c r="AF18" s="14"/>
      <c r="AG18" s="86">
        <v>0</v>
      </c>
      <c r="AH18" s="128" t="s">
        <v>48</v>
      </c>
      <c r="AI18" s="120">
        <v>65.647999999999996</v>
      </c>
      <c r="AJ18" s="99" t="s">
        <v>202</v>
      </c>
      <c r="AK18" s="91" t="s">
        <v>203</v>
      </c>
      <c r="AL18" s="239"/>
      <c r="AM18" s="21"/>
      <c r="AN18" s="21"/>
    </row>
    <row r="19" spans="1:40" ht="13.2" customHeight="1" thickBot="1" x14ac:dyDescent="0.35">
      <c r="A19" s="52">
        <v>45031</v>
      </c>
      <c r="B19" s="28"/>
      <c r="C19" s="30"/>
      <c r="D19" s="186">
        <f>AI8+AI6</f>
        <v>71.331999999999994</v>
      </c>
      <c r="E19" s="43">
        <f t="shared" si="2"/>
        <v>488.548</v>
      </c>
      <c r="F19" s="51">
        <f t="shared" si="3"/>
        <v>0</v>
      </c>
      <c r="G19" s="9"/>
      <c r="H19" s="10"/>
      <c r="I19" s="161">
        <f t="shared" si="4"/>
        <v>8.3299999999999965</v>
      </c>
      <c r="J19" s="8"/>
      <c r="K19" s="11"/>
      <c r="L19" s="12"/>
      <c r="M19" s="51">
        <f t="shared" si="0"/>
        <v>0</v>
      </c>
      <c r="N19" s="24"/>
      <c r="O19" s="47">
        <f t="shared" si="5"/>
        <v>1.7419999999999984</v>
      </c>
      <c r="P19" s="48"/>
      <c r="Q19" s="47">
        <f t="shared" si="1"/>
        <v>498.62</v>
      </c>
      <c r="R19" s="165">
        <f t="shared" si="6"/>
        <v>0</v>
      </c>
      <c r="S19" s="160">
        <f>AI15+AI18</f>
        <v>103.99799999999999</v>
      </c>
      <c r="T19" s="86">
        <v>-106114.40000000002</v>
      </c>
      <c r="U19" s="82"/>
      <c r="V19" s="86"/>
      <c r="W19" s="80"/>
      <c r="X19" s="94"/>
      <c r="Y19" s="107"/>
      <c r="Z19" s="86"/>
      <c r="AA19" s="86"/>
      <c r="AB19" s="80"/>
      <c r="AC19" s="79"/>
      <c r="AD19" s="87">
        <v>0</v>
      </c>
      <c r="AE19" s="55"/>
      <c r="AF19" s="14"/>
      <c r="AG19" s="86">
        <v>0</v>
      </c>
      <c r="AH19" s="128"/>
      <c r="AI19" s="120"/>
      <c r="AJ19" s="103"/>
      <c r="AK19" s="91"/>
      <c r="AL19" s="239"/>
      <c r="AM19" s="21"/>
      <c r="AN19" s="21"/>
    </row>
    <row r="20" spans="1:40" ht="13.2" customHeight="1" thickBot="1" x14ac:dyDescent="0.35">
      <c r="A20" s="52">
        <v>45032</v>
      </c>
      <c r="B20" s="28"/>
      <c r="C20" s="30"/>
      <c r="D20" s="196"/>
      <c r="E20" s="43">
        <f t="shared" si="2"/>
        <v>488.548</v>
      </c>
      <c r="F20" s="51">
        <f t="shared" si="3"/>
        <v>0</v>
      </c>
      <c r="G20" s="9"/>
      <c r="H20" s="10"/>
      <c r="I20" s="161">
        <f t="shared" si="4"/>
        <v>8.3299999999999965</v>
      </c>
      <c r="J20" s="8"/>
      <c r="K20" s="11"/>
      <c r="L20" s="12"/>
      <c r="M20" s="51">
        <f t="shared" si="0"/>
        <v>0</v>
      </c>
      <c r="N20" s="24"/>
      <c r="O20" s="47">
        <f t="shared" si="5"/>
        <v>1.7419999999999984</v>
      </c>
      <c r="P20" s="48"/>
      <c r="Q20" s="47">
        <f t="shared" si="1"/>
        <v>498.62</v>
      </c>
      <c r="R20" s="165">
        <f t="shared" si="6"/>
        <v>0</v>
      </c>
      <c r="S20" s="160">
        <v>103.99799999999999</v>
      </c>
      <c r="T20" s="86">
        <f>-106114.4+12000</f>
        <v>-94114.4</v>
      </c>
      <c r="U20" s="86"/>
      <c r="V20" s="86"/>
      <c r="W20" s="80"/>
      <c r="X20" s="94"/>
      <c r="Y20" s="58"/>
      <c r="Z20" s="86"/>
      <c r="AA20" s="86"/>
      <c r="AB20" s="80"/>
      <c r="AC20" s="79"/>
      <c r="AD20" s="87">
        <v>0</v>
      </c>
      <c r="AE20" s="55"/>
      <c r="AF20" s="14"/>
      <c r="AG20" s="86">
        <v>0</v>
      </c>
      <c r="AH20" s="128"/>
      <c r="AI20" s="120"/>
      <c r="AJ20" s="103"/>
      <c r="AK20" s="91"/>
      <c r="AL20" s="21"/>
      <c r="AM20" s="21"/>
      <c r="AN20" s="21"/>
    </row>
    <row r="21" spans="1:40" ht="13.2" customHeight="1" thickBot="1" x14ac:dyDescent="0.35">
      <c r="A21" s="7">
        <v>45033</v>
      </c>
      <c r="B21" s="28">
        <v>26.75</v>
      </c>
      <c r="C21" s="28">
        <v>2.044</v>
      </c>
      <c r="D21" s="186"/>
      <c r="E21" s="43">
        <f t="shared" si="2"/>
        <v>459.75400000000002</v>
      </c>
      <c r="F21" s="51">
        <f t="shared" si="3"/>
        <v>2.044</v>
      </c>
      <c r="G21" s="9">
        <f>1.174</f>
        <v>1.1739999999999999</v>
      </c>
      <c r="H21" s="10"/>
      <c r="I21" s="161">
        <f t="shared" si="4"/>
        <v>9.1999999999999975</v>
      </c>
      <c r="J21" s="8"/>
      <c r="K21" s="11"/>
      <c r="L21" s="12"/>
      <c r="M21" s="51">
        <f t="shared" si="0"/>
        <v>0</v>
      </c>
      <c r="N21" s="24">
        <v>0.40899999999999997</v>
      </c>
      <c r="O21" s="47">
        <f t="shared" si="5"/>
        <v>1.3329999999999984</v>
      </c>
      <c r="P21" s="48"/>
      <c r="Q21" s="47">
        <f t="shared" si="1"/>
        <v>470.28700000000003</v>
      </c>
      <c r="R21" s="165">
        <f t="shared" si="6"/>
        <v>27.923999999999999</v>
      </c>
      <c r="S21" s="160">
        <v>103.99799999999999</v>
      </c>
      <c r="T21" s="86">
        <f>713000+T20</f>
        <v>618885.6</v>
      </c>
      <c r="U21" s="86"/>
      <c r="V21" s="86"/>
      <c r="W21" s="80"/>
      <c r="X21" s="94"/>
      <c r="Y21" s="58"/>
      <c r="Z21" s="86"/>
      <c r="AA21" s="86"/>
      <c r="AB21" s="80"/>
      <c r="AC21" s="79"/>
      <c r="AD21" s="87">
        <v>0</v>
      </c>
      <c r="AE21" s="55"/>
      <c r="AF21" s="14"/>
      <c r="AG21" s="86">
        <v>0</v>
      </c>
      <c r="AH21" s="127"/>
      <c r="AI21" s="126"/>
      <c r="AJ21" s="208"/>
      <c r="AK21" s="91"/>
      <c r="AL21" s="21"/>
      <c r="AM21" s="21"/>
      <c r="AN21" s="21"/>
    </row>
    <row r="22" spans="1:40" ht="13.2" customHeight="1" thickBot="1" x14ac:dyDescent="0.35">
      <c r="A22" s="7">
        <v>45034</v>
      </c>
      <c r="B22" s="28">
        <v>33.64</v>
      </c>
      <c r="C22" s="146">
        <v>2.6059999999999999</v>
      </c>
      <c r="D22" s="186">
        <f>AI15</f>
        <v>38.35</v>
      </c>
      <c r="E22" s="43">
        <f t="shared" si="2"/>
        <v>461.85800000000006</v>
      </c>
      <c r="F22" s="51">
        <f t="shared" si="3"/>
        <v>2.6059999999999999</v>
      </c>
      <c r="G22" s="9">
        <f>2.806-H22</f>
        <v>2.0720000000000001</v>
      </c>
      <c r="H22" s="10">
        <v>0.73399999999999999</v>
      </c>
      <c r="I22" s="161">
        <f t="shared" si="4"/>
        <v>8.9999999999999982</v>
      </c>
      <c r="J22" s="8"/>
      <c r="K22" s="11"/>
      <c r="L22" s="12"/>
      <c r="M22" s="51">
        <f t="shared" si="0"/>
        <v>0.73399999999999999</v>
      </c>
      <c r="N22" s="24">
        <v>0.52500000000000002</v>
      </c>
      <c r="O22" s="47">
        <f t="shared" si="5"/>
        <v>1.5419999999999985</v>
      </c>
      <c r="P22" s="48"/>
      <c r="Q22" s="47">
        <f t="shared" si="1"/>
        <v>472.40000000000003</v>
      </c>
      <c r="R22" s="165">
        <f t="shared" si="6"/>
        <v>36.446000000000005</v>
      </c>
      <c r="S22" s="160">
        <f>AI18+AI22</f>
        <v>99.430999999999997</v>
      </c>
      <c r="T22" s="86">
        <f>T21</f>
        <v>618885.6</v>
      </c>
      <c r="U22" s="86"/>
      <c r="V22" s="86"/>
      <c r="W22" s="80"/>
      <c r="X22" s="94"/>
      <c r="Y22" s="58"/>
      <c r="Z22" s="107">
        <f>Z17-AI22*M46</f>
        <v>557516.14500000002</v>
      </c>
      <c r="AA22" s="86"/>
      <c r="AB22" s="80"/>
      <c r="AC22" s="79"/>
      <c r="AD22" s="87">
        <v>0</v>
      </c>
      <c r="AE22" s="55"/>
      <c r="AF22" s="14"/>
      <c r="AG22" s="86">
        <v>0</v>
      </c>
      <c r="AH22" s="123" t="s">
        <v>49</v>
      </c>
      <c r="AI22" s="122">
        <v>33.783000000000001</v>
      </c>
      <c r="AJ22" s="99" t="s">
        <v>205</v>
      </c>
      <c r="AK22" s="91">
        <v>50838481</v>
      </c>
      <c r="AL22" s="21"/>
      <c r="AM22" s="21"/>
      <c r="AN22" s="21"/>
    </row>
    <row r="23" spans="1:40" ht="13.2" customHeight="1" thickBot="1" x14ac:dyDescent="0.35">
      <c r="A23" s="7">
        <v>45035</v>
      </c>
      <c r="B23" s="28">
        <v>17.079999999999998</v>
      </c>
      <c r="C23" s="30">
        <v>0</v>
      </c>
      <c r="D23" s="186"/>
      <c r="E23" s="43">
        <f t="shared" si="2"/>
        <v>444.77800000000008</v>
      </c>
      <c r="F23" s="51">
        <f t="shared" si="3"/>
        <v>0</v>
      </c>
      <c r="G23" s="9">
        <v>0.22</v>
      </c>
      <c r="H23" s="10"/>
      <c r="I23" s="161">
        <f t="shared" si="4"/>
        <v>8.7799999999999976</v>
      </c>
      <c r="J23" s="8"/>
      <c r="K23" s="11"/>
      <c r="L23" s="12"/>
      <c r="M23" s="51">
        <f t="shared" si="0"/>
        <v>0</v>
      </c>
      <c r="N23" s="24">
        <v>0.23400000000000001</v>
      </c>
      <c r="O23" s="47">
        <f t="shared" si="5"/>
        <v>1.3079999999999985</v>
      </c>
      <c r="P23" s="48"/>
      <c r="Q23" s="47">
        <f t="shared" si="1"/>
        <v>454.86600000000004</v>
      </c>
      <c r="R23" s="165">
        <f t="shared" si="6"/>
        <v>17.299999999999997</v>
      </c>
      <c r="S23" s="160">
        <f>AI18+AI22+AI23</f>
        <v>134.96199999999999</v>
      </c>
      <c r="T23" s="86">
        <f>T22</f>
        <v>618885.6</v>
      </c>
      <c r="U23" s="157">
        <f>U18-AI23*M48</f>
        <v>454851.64100000018</v>
      </c>
      <c r="V23" s="86"/>
      <c r="W23" s="80"/>
      <c r="X23" s="94"/>
      <c r="Y23" s="58"/>
      <c r="Z23" s="86"/>
      <c r="AA23" s="86"/>
      <c r="AB23" s="80"/>
      <c r="AC23" s="79"/>
      <c r="AD23" s="87">
        <v>0</v>
      </c>
      <c r="AE23" s="55"/>
      <c r="AF23" s="14"/>
      <c r="AG23" s="86">
        <v>0</v>
      </c>
      <c r="AH23" s="128" t="s">
        <v>48</v>
      </c>
      <c r="AI23" s="120">
        <v>35.530999999999999</v>
      </c>
      <c r="AJ23" s="99" t="s">
        <v>211</v>
      </c>
      <c r="AK23" s="21">
        <v>58172107</v>
      </c>
      <c r="AL23" s="91"/>
      <c r="AM23" s="21"/>
      <c r="AN23" s="21"/>
    </row>
    <row r="24" spans="1:40" ht="13.2" customHeight="1" thickBot="1" x14ac:dyDescent="0.35">
      <c r="A24" s="7">
        <v>45036</v>
      </c>
      <c r="B24" s="28">
        <v>16.98</v>
      </c>
      <c r="C24" s="30">
        <v>1.0609999999999999</v>
      </c>
      <c r="D24" s="186"/>
      <c r="E24" s="43">
        <f t="shared" si="2"/>
        <v>426.73700000000008</v>
      </c>
      <c r="F24" s="51">
        <f t="shared" si="3"/>
        <v>1.0609999999999999</v>
      </c>
      <c r="G24" s="9">
        <f>2.741-H24</f>
        <v>2.2000000000000002</v>
      </c>
      <c r="H24" s="10">
        <v>0.54100000000000004</v>
      </c>
      <c r="I24" s="161">
        <f t="shared" si="4"/>
        <v>7.099999999999997</v>
      </c>
      <c r="J24" s="8"/>
      <c r="K24" s="11"/>
      <c r="L24" s="12"/>
      <c r="M24" s="51">
        <f t="shared" si="0"/>
        <v>0.54100000000000004</v>
      </c>
      <c r="N24" s="24">
        <v>0.376</v>
      </c>
      <c r="O24" s="47">
        <f t="shared" si="5"/>
        <v>1.4729999999999985</v>
      </c>
      <c r="P24" s="48"/>
      <c r="Q24" s="47">
        <f t="shared" si="1"/>
        <v>435.31000000000012</v>
      </c>
      <c r="R24" s="165">
        <f t="shared" si="6"/>
        <v>19.721</v>
      </c>
      <c r="S24" s="160">
        <f>AI18+AI22+AI23+AI24</f>
        <v>170.97299999999998</v>
      </c>
      <c r="T24" s="86">
        <f>517000+T23</f>
        <v>1135885.6000000001</v>
      </c>
      <c r="U24" s="157">
        <f>U23-AI24*M48+68000</f>
        <v>872.19600000011269</v>
      </c>
      <c r="V24" s="86"/>
      <c r="W24" s="66"/>
      <c r="X24" s="94"/>
      <c r="Y24" s="58"/>
      <c r="Z24" s="86"/>
      <c r="AA24" s="86"/>
      <c r="AB24" s="80"/>
      <c r="AC24" s="79"/>
      <c r="AD24" s="87">
        <v>0</v>
      </c>
      <c r="AE24" s="55"/>
      <c r="AF24" s="14"/>
      <c r="AG24" s="86">
        <v>0</v>
      </c>
      <c r="AH24" s="128" t="s">
        <v>48</v>
      </c>
      <c r="AI24" s="120">
        <v>36.011000000000003</v>
      </c>
      <c r="AJ24" s="99" t="s">
        <v>212</v>
      </c>
      <c r="AK24" s="91">
        <v>76626662</v>
      </c>
      <c r="AL24" s="21"/>
      <c r="AM24" s="21"/>
      <c r="AN24" s="21"/>
    </row>
    <row r="25" spans="1:40" ht="13.2" customHeight="1" thickBot="1" x14ac:dyDescent="0.35">
      <c r="A25" s="7">
        <v>45037</v>
      </c>
      <c r="B25" s="28">
        <v>24.15</v>
      </c>
      <c r="C25" s="30">
        <v>1.5920000000000001</v>
      </c>
      <c r="D25" s="186">
        <f>AI18</f>
        <v>65.647999999999996</v>
      </c>
      <c r="E25" s="43">
        <f t="shared" si="2"/>
        <v>466.64300000000014</v>
      </c>
      <c r="F25" s="51">
        <f t="shared" si="3"/>
        <v>1.5920000000000001</v>
      </c>
      <c r="G25" s="219">
        <v>1.492</v>
      </c>
      <c r="H25" s="10"/>
      <c r="I25" s="161">
        <f t="shared" si="4"/>
        <v>7.1999999999999966</v>
      </c>
      <c r="J25" s="8"/>
      <c r="K25" s="11"/>
      <c r="L25" s="12"/>
      <c r="M25" s="51">
        <f t="shared" si="0"/>
        <v>0</v>
      </c>
      <c r="N25" s="24">
        <v>0.51200000000000001</v>
      </c>
      <c r="O25" s="47">
        <f t="shared" si="5"/>
        <v>0.96099999999999852</v>
      </c>
      <c r="P25" s="48"/>
      <c r="Q25" s="47">
        <f t="shared" si="1"/>
        <v>474.80400000000014</v>
      </c>
      <c r="R25" s="165">
        <f t="shared" si="6"/>
        <v>25.641999999999999</v>
      </c>
      <c r="S25" s="160">
        <f>AI22+AI23+AI24</f>
        <v>105.32499999999999</v>
      </c>
      <c r="T25" s="86">
        <f>T24</f>
        <v>1135885.6000000001</v>
      </c>
      <c r="U25" s="86"/>
      <c r="V25" s="86"/>
      <c r="W25" s="80"/>
      <c r="X25" s="94"/>
      <c r="Y25" s="58"/>
      <c r="Z25" s="86"/>
      <c r="AA25" s="58"/>
      <c r="AB25" s="86">
        <v>1047098.06</v>
      </c>
      <c r="AC25" s="79"/>
      <c r="AD25" s="87">
        <v>0</v>
      </c>
      <c r="AE25" s="55"/>
      <c r="AF25" s="14"/>
      <c r="AG25" s="86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52">
        <v>45038</v>
      </c>
      <c r="B26" s="28"/>
      <c r="C26" s="30"/>
      <c r="D26" s="186"/>
      <c r="E26" s="43">
        <f>E25+D26-B26-C26</f>
        <v>466.64300000000014</v>
      </c>
      <c r="F26" s="51">
        <f t="shared" si="3"/>
        <v>0</v>
      </c>
      <c r="G26" s="9"/>
      <c r="H26" s="10"/>
      <c r="I26" s="161">
        <f t="shared" si="4"/>
        <v>7.1999999999999966</v>
      </c>
      <c r="J26" s="8"/>
      <c r="K26" s="11"/>
      <c r="L26" s="12"/>
      <c r="M26" s="51">
        <f t="shared" si="0"/>
        <v>0</v>
      </c>
      <c r="N26" s="275"/>
      <c r="O26" s="47">
        <f t="shared" si="5"/>
        <v>0.96099999999999852</v>
      </c>
      <c r="P26" s="48"/>
      <c r="Q26" s="47">
        <f t="shared" si="1"/>
        <v>474.80400000000014</v>
      </c>
      <c r="R26" s="165">
        <f t="shared" si="6"/>
        <v>0</v>
      </c>
      <c r="S26" s="160">
        <v>173.02499999999998</v>
      </c>
      <c r="T26" s="88">
        <f>T25-AI26*M44</f>
        <v>37520.800000000047</v>
      </c>
      <c r="U26" s="86"/>
      <c r="V26" s="87"/>
      <c r="W26" s="66"/>
      <c r="X26" s="94"/>
      <c r="Y26" s="58"/>
      <c r="Z26" s="86"/>
      <c r="AA26" s="86"/>
      <c r="AB26" s="80"/>
      <c r="AC26" s="79"/>
      <c r="AD26" s="87">
        <v>0</v>
      </c>
      <c r="AE26" s="55"/>
      <c r="AF26" s="14"/>
      <c r="AG26" s="86">
        <v>0</v>
      </c>
      <c r="AH26" s="127" t="s">
        <v>43</v>
      </c>
      <c r="AI26" s="126">
        <v>67.7</v>
      </c>
      <c r="AJ26" s="208" t="s">
        <v>218</v>
      </c>
      <c r="AK26" s="91">
        <v>58267311</v>
      </c>
      <c r="AL26" s="21"/>
      <c r="AM26" s="21"/>
      <c r="AN26" s="21"/>
    </row>
    <row r="27" spans="1:40" ht="13.2" customHeight="1" thickBot="1" x14ac:dyDescent="0.35">
      <c r="A27" s="52">
        <v>45039</v>
      </c>
      <c r="B27" s="28"/>
      <c r="C27" s="28"/>
      <c r="D27" s="186"/>
      <c r="E27" s="43">
        <f>E26+D27-B27-C27</f>
        <v>466.64300000000014</v>
      </c>
      <c r="F27" s="51">
        <f t="shared" si="3"/>
        <v>0</v>
      </c>
      <c r="G27" s="9"/>
      <c r="H27" s="10"/>
      <c r="I27" s="161">
        <f t="shared" si="4"/>
        <v>7.1999999999999966</v>
      </c>
      <c r="J27" s="8"/>
      <c r="K27" s="11"/>
      <c r="L27" s="12"/>
      <c r="M27" s="51">
        <f t="shared" si="0"/>
        <v>0</v>
      </c>
      <c r="N27" s="24"/>
      <c r="O27" s="47">
        <f t="shared" si="5"/>
        <v>0.96099999999999852</v>
      </c>
      <c r="P27" s="48"/>
      <c r="Q27" s="47">
        <f t="shared" si="1"/>
        <v>474.80400000000014</v>
      </c>
      <c r="R27" s="165">
        <f t="shared" si="6"/>
        <v>0</v>
      </c>
      <c r="S27" s="160">
        <f>AI22+AI23+AI24+AI26</f>
        <v>173.02499999999998</v>
      </c>
      <c r="T27" s="86">
        <v>37520.800000000047</v>
      </c>
      <c r="U27" s="86"/>
      <c r="V27" s="87"/>
      <c r="W27" s="66"/>
      <c r="X27" s="94"/>
      <c r="Y27" s="58"/>
      <c r="Z27" s="86"/>
      <c r="AA27" s="86"/>
      <c r="AB27" s="129"/>
      <c r="AC27" s="79"/>
      <c r="AD27" s="87">
        <v>0</v>
      </c>
      <c r="AE27" s="55"/>
      <c r="AF27" s="14"/>
      <c r="AG27" s="86">
        <v>0</v>
      </c>
      <c r="AH27" s="127"/>
      <c r="AI27" s="126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7">
        <v>45040</v>
      </c>
      <c r="B28" s="28">
        <v>23.16</v>
      </c>
      <c r="C28" s="30">
        <v>3.2519999999999998</v>
      </c>
      <c r="D28" s="186">
        <f>AI22</f>
        <v>33.783000000000001</v>
      </c>
      <c r="E28" s="43">
        <f t="shared" si="2"/>
        <v>474.01400000000012</v>
      </c>
      <c r="F28" s="51">
        <f t="shared" si="3"/>
        <v>3.2519999999999998</v>
      </c>
      <c r="G28" s="9">
        <f>1.552-H28</f>
        <v>0.81200000000000006</v>
      </c>
      <c r="H28" s="10">
        <v>0.74</v>
      </c>
      <c r="I28" s="161">
        <f t="shared" si="4"/>
        <v>8.8999999999999968</v>
      </c>
      <c r="J28" s="8"/>
      <c r="K28" s="11"/>
      <c r="L28" s="12"/>
      <c r="M28" s="51">
        <f t="shared" si="0"/>
        <v>0.74</v>
      </c>
      <c r="N28" s="24">
        <v>0.40699999999999997</v>
      </c>
      <c r="O28" s="47">
        <f t="shared" si="5"/>
        <v>1.2939999999999985</v>
      </c>
      <c r="P28" s="48"/>
      <c r="Q28" s="47">
        <f t="shared" si="1"/>
        <v>484.20800000000008</v>
      </c>
      <c r="R28" s="165">
        <f t="shared" si="6"/>
        <v>24.712</v>
      </c>
      <c r="S28" s="160">
        <f>AI23+AI24+AI26+AI28</f>
        <v>171.72700000000003</v>
      </c>
      <c r="T28" s="86">
        <v>37520.800000000047</v>
      </c>
      <c r="U28" s="86"/>
      <c r="V28" s="87"/>
      <c r="W28" s="153"/>
      <c r="X28" s="94"/>
      <c r="Y28" s="58"/>
      <c r="Z28" s="107">
        <f>Z22-AI28*M46</f>
        <v>86646.07</v>
      </c>
      <c r="AA28" s="93"/>
      <c r="AB28" s="93"/>
      <c r="AC28" s="93"/>
      <c r="AD28" s="87">
        <v>0</v>
      </c>
      <c r="AE28" s="55"/>
      <c r="AF28" s="93"/>
      <c r="AG28" s="86">
        <v>0</v>
      </c>
      <c r="AH28" s="123" t="s">
        <v>49</v>
      </c>
      <c r="AI28" s="122">
        <v>32.484999999999999</v>
      </c>
      <c r="AJ28" s="99" t="s">
        <v>219</v>
      </c>
      <c r="AK28" s="91">
        <v>58258906</v>
      </c>
      <c r="AL28" s="21"/>
      <c r="AM28" s="21"/>
      <c r="AN28" s="21"/>
    </row>
    <row r="29" spans="1:40" ht="13.2" customHeight="1" outlineLevel="1" thickBot="1" x14ac:dyDescent="0.35">
      <c r="A29" s="7">
        <v>45041</v>
      </c>
      <c r="B29" s="28">
        <v>17.27</v>
      </c>
      <c r="C29" s="30">
        <v>0.88</v>
      </c>
      <c r="D29" s="186"/>
      <c r="E29" s="43">
        <f t="shared" si="2"/>
        <v>455.86400000000015</v>
      </c>
      <c r="F29" s="51">
        <f t="shared" si="3"/>
        <v>0.88</v>
      </c>
      <c r="G29" s="9">
        <f>0.38</f>
        <v>0.38</v>
      </c>
      <c r="H29" s="10"/>
      <c r="I29" s="161">
        <f t="shared" si="4"/>
        <v>9.3999999999999968</v>
      </c>
      <c r="J29" s="8"/>
      <c r="K29" s="11"/>
      <c r="L29" s="12"/>
      <c r="M29" s="51">
        <f t="shared" si="0"/>
        <v>0</v>
      </c>
      <c r="N29" s="24">
        <v>0.38100000000000001</v>
      </c>
      <c r="O29" s="47">
        <f t="shared" si="5"/>
        <v>0.91299999999999848</v>
      </c>
      <c r="P29" s="48"/>
      <c r="Q29" s="47">
        <f t="shared" si="1"/>
        <v>466.17700000000013</v>
      </c>
      <c r="R29" s="165">
        <f t="shared" si="6"/>
        <v>17.649999999999999</v>
      </c>
      <c r="S29" s="160">
        <v>171.72700000000003</v>
      </c>
      <c r="T29" s="86">
        <v>37520.800000000047</v>
      </c>
      <c r="U29" s="86">
        <f>1219000+U24</f>
        <v>1219872.196</v>
      </c>
      <c r="V29" s="294"/>
      <c r="W29" s="188"/>
      <c r="X29" s="189"/>
      <c r="Y29" s="295"/>
      <c r="Z29" s="86">
        <f>794000+Z28</f>
        <v>880646.07000000007</v>
      </c>
      <c r="AA29" s="86"/>
      <c r="AB29" s="129"/>
      <c r="AC29" s="79"/>
      <c r="AD29" s="87">
        <v>0</v>
      </c>
      <c r="AE29" s="56"/>
      <c r="AF29" s="14"/>
      <c r="AG29" s="86">
        <v>0</v>
      </c>
      <c r="AH29" s="123"/>
      <c r="AI29" s="126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45042</v>
      </c>
      <c r="B30" s="28">
        <v>35.68</v>
      </c>
      <c r="C30" s="146">
        <v>6.7439999999999998</v>
      </c>
      <c r="D30" s="186">
        <f>AI23+AI24</f>
        <v>71.542000000000002</v>
      </c>
      <c r="E30" s="43">
        <f t="shared" si="2"/>
        <v>484.9820000000002</v>
      </c>
      <c r="F30" s="51">
        <f t="shared" si="3"/>
        <v>6.7439999999999998</v>
      </c>
      <c r="G30" s="30">
        <f>7.324-H30</f>
        <v>6.5540000000000003</v>
      </c>
      <c r="H30" s="24">
        <v>0.77</v>
      </c>
      <c r="I30" s="161">
        <f t="shared" si="4"/>
        <v>8.8199999999999985</v>
      </c>
      <c r="J30" s="28"/>
      <c r="K30" s="26"/>
      <c r="L30" s="53"/>
      <c r="M30" s="51">
        <f t="shared" si="0"/>
        <v>0.77</v>
      </c>
      <c r="N30" s="24">
        <v>0.252</v>
      </c>
      <c r="O30" s="47">
        <f t="shared" si="5"/>
        <v>1.4309999999999985</v>
      </c>
      <c r="P30" s="54"/>
      <c r="Q30" s="47">
        <f t="shared" si="1"/>
        <v>495.23300000000017</v>
      </c>
      <c r="R30" s="165">
        <f t="shared" si="6"/>
        <v>43.004000000000005</v>
      </c>
      <c r="S30" s="160">
        <f>AI26+AI28</f>
        <v>100.185</v>
      </c>
      <c r="T30" s="86">
        <v>37520.800000000047</v>
      </c>
      <c r="U30" s="86"/>
      <c r="V30" s="87"/>
      <c r="W30" s="153"/>
      <c r="X30" s="94"/>
      <c r="Y30" s="58"/>
      <c r="Z30" s="86"/>
      <c r="AA30" s="86"/>
      <c r="AB30" s="129"/>
      <c r="AC30" s="79"/>
      <c r="AD30" s="87">
        <v>0</v>
      </c>
      <c r="AE30" s="191"/>
      <c r="AF30" s="14"/>
      <c r="AG30" s="86">
        <v>0</v>
      </c>
      <c r="AH30" s="123"/>
      <c r="AI30" s="122"/>
      <c r="AJ30" s="103"/>
      <c r="AK30" s="91"/>
    </row>
    <row r="31" spans="1:40" s="21" customFormat="1" ht="13.2" customHeight="1" outlineLevel="1" thickBot="1" x14ac:dyDescent="0.35">
      <c r="A31" s="7">
        <v>45043</v>
      </c>
      <c r="B31" s="28">
        <v>9.9499999999999993</v>
      </c>
      <c r="C31" s="30">
        <v>1.381</v>
      </c>
      <c r="D31" s="186"/>
      <c r="E31" s="43">
        <f t="shared" si="2"/>
        <v>473.65100000000024</v>
      </c>
      <c r="F31" s="51">
        <f t="shared" si="3"/>
        <v>1.381</v>
      </c>
      <c r="G31" s="68">
        <f>0.901-H31</f>
        <v>0.26</v>
      </c>
      <c r="H31" s="69">
        <v>0.64100000000000001</v>
      </c>
      <c r="I31" s="161">
        <f t="shared" si="4"/>
        <v>9.2999999999999989</v>
      </c>
      <c r="J31" s="67"/>
      <c r="K31" s="70"/>
      <c r="L31" s="71"/>
      <c r="M31" s="51">
        <f t="shared" si="0"/>
        <v>0.64100000000000001</v>
      </c>
      <c r="N31" s="24">
        <v>0.55300000000000005</v>
      </c>
      <c r="O31" s="47">
        <f t="shared" si="5"/>
        <v>1.5189999999999984</v>
      </c>
      <c r="P31" s="72"/>
      <c r="Q31" s="47">
        <f t="shared" si="1"/>
        <v>484.47000000000025</v>
      </c>
      <c r="R31" s="165">
        <f t="shared" si="6"/>
        <v>10.850999999999999</v>
      </c>
      <c r="S31" s="160">
        <v>100.185</v>
      </c>
      <c r="T31" s="86">
        <f>568000+T26</f>
        <v>605520.80000000005</v>
      </c>
      <c r="U31" s="86"/>
      <c r="V31" s="87"/>
      <c r="W31" s="153"/>
      <c r="X31" s="94"/>
      <c r="Y31" s="58"/>
      <c r="Z31" s="86"/>
      <c r="AA31" s="86"/>
      <c r="AB31" s="129"/>
      <c r="AC31" s="79"/>
      <c r="AD31" s="87"/>
      <c r="AE31" s="57"/>
      <c r="AF31" s="131"/>
      <c r="AG31" s="133"/>
      <c r="AH31" s="127"/>
      <c r="AI31" s="126"/>
      <c r="AK31" s="102"/>
    </row>
    <row r="32" spans="1:40" ht="13.2" customHeight="1" outlineLevel="1" thickBot="1" x14ac:dyDescent="0.35">
      <c r="A32" s="7">
        <v>45044</v>
      </c>
      <c r="B32" s="28"/>
      <c r="C32" s="30"/>
      <c r="D32" s="186"/>
      <c r="E32" s="43">
        <f t="shared" si="2"/>
        <v>473.65100000000024</v>
      </c>
      <c r="F32" s="51">
        <f t="shared" si="3"/>
        <v>0</v>
      </c>
      <c r="G32" s="62"/>
      <c r="H32" s="62"/>
      <c r="I32" s="161">
        <f t="shared" si="4"/>
        <v>9.2999999999999989</v>
      </c>
      <c r="J32" s="62"/>
      <c r="K32" s="64"/>
      <c r="L32" s="13"/>
      <c r="M32" s="51">
        <f t="shared" si="0"/>
        <v>0</v>
      </c>
      <c r="N32" s="24"/>
      <c r="O32" s="47">
        <f t="shared" si="5"/>
        <v>1.5189999999999984</v>
      </c>
      <c r="P32" s="65"/>
      <c r="Q32" s="47">
        <f t="shared" si="1"/>
        <v>484.47000000000025</v>
      </c>
      <c r="R32" s="165">
        <f t="shared" si="6"/>
        <v>0</v>
      </c>
      <c r="S32" s="160">
        <v>100.185</v>
      </c>
      <c r="T32" s="86">
        <v>605520.80000000005</v>
      </c>
      <c r="U32" s="86"/>
      <c r="V32" s="87"/>
      <c r="W32" s="153"/>
      <c r="X32" s="94"/>
      <c r="Y32" s="58"/>
      <c r="Z32" s="86"/>
      <c r="AA32" s="86"/>
      <c r="AB32" s="129"/>
      <c r="AC32" s="79"/>
      <c r="AD32" s="87"/>
      <c r="AE32" s="57"/>
      <c r="AF32" s="131"/>
      <c r="AG32" s="133"/>
      <c r="AH32" s="192"/>
      <c r="AI32" s="155"/>
      <c r="AJ32" s="99"/>
      <c r="AK32" s="99"/>
      <c r="AL32" s="21"/>
    </row>
    <row r="33" spans="1:38" ht="13.2" customHeight="1" outlineLevel="1" thickBot="1" x14ac:dyDescent="0.35">
      <c r="A33" s="7">
        <v>45045</v>
      </c>
      <c r="B33" s="8"/>
      <c r="C33" s="9"/>
      <c r="D33" s="186"/>
      <c r="E33" s="43">
        <f t="shared" si="2"/>
        <v>473.65100000000024</v>
      </c>
      <c r="F33" s="51">
        <f t="shared" si="3"/>
        <v>0</v>
      </c>
      <c r="G33" s="62"/>
      <c r="H33" s="62"/>
      <c r="I33" s="161">
        <f t="shared" si="4"/>
        <v>9.2999999999999989</v>
      </c>
      <c r="J33" s="62"/>
      <c r="K33" s="64"/>
      <c r="L33" s="13"/>
      <c r="M33" s="51">
        <f t="shared" si="0"/>
        <v>0</v>
      </c>
      <c r="N33" s="24"/>
      <c r="O33" s="47">
        <f t="shared" si="5"/>
        <v>1.5189999999999984</v>
      </c>
      <c r="P33" s="65"/>
      <c r="Q33" s="47">
        <f t="shared" si="1"/>
        <v>484.47000000000025</v>
      </c>
      <c r="R33" s="165">
        <f>B33+G33+H33+J33</f>
        <v>0</v>
      </c>
      <c r="S33" s="160">
        <v>100.185</v>
      </c>
      <c r="T33" s="86">
        <v>605520.80000000005</v>
      </c>
      <c r="U33" s="86"/>
      <c r="V33" s="87"/>
      <c r="W33" s="153"/>
      <c r="X33" s="94"/>
      <c r="Y33" s="58"/>
      <c r="Z33" s="86"/>
      <c r="AA33" s="86"/>
      <c r="AB33" s="80"/>
      <c r="AC33" s="79"/>
      <c r="AD33" s="87"/>
      <c r="AE33" s="57"/>
      <c r="AF33" s="131"/>
      <c r="AG33" s="133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7">
        <v>45046</v>
      </c>
      <c r="B34" s="62">
        <v>31.1</v>
      </c>
      <c r="C34" s="30">
        <v>6.0000000000000001E-3</v>
      </c>
      <c r="D34" s="92"/>
      <c r="E34" s="43">
        <f t="shared" si="2"/>
        <v>442.54500000000024</v>
      </c>
      <c r="F34" s="51">
        <f t="shared" si="3"/>
        <v>6.0000000000000001E-3</v>
      </c>
      <c r="G34" s="62">
        <f>1.936</f>
        <v>1.9359999999999999</v>
      </c>
      <c r="H34" s="62"/>
      <c r="I34" s="161">
        <f t="shared" si="4"/>
        <v>7.3699999999999992</v>
      </c>
      <c r="J34" s="44"/>
      <c r="K34" s="44"/>
      <c r="L34" s="44"/>
      <c r="M34" s="63">
        <f t="shared" si="0"/>
        <v>0</v>
      </c>
      <c r="N34" s="24">
        <v>0.30099999999999999</v>
      </c>
      <c r="O34" s="47">
        <f t="shared" si="5"/>
        <v>1.2179999999999984</v>
      </c>
      <c r="P34" s="65">
        <v>0</v>
      </c>
      <c r="Q34" s="47">
        <f t="shared" si="1"/>
        <v>451.13300000000027</v>
      </c>
      <c r="R34" s="165">
        <f t="shared" si="6"/>
        <v>33.036000000000001</v>
      </c>
      <c r="S34" s="160">
        <v>100.185</v>
      </c>
      <c r="T34" s="86">
        <v>605520.80000000005</v>
      </c>
      <c r="U34" s="86">
        <f>U29-0.05</f>
        <v>1219872.1459999999</v>
      </c>
      <c r="V34" s="87"/>
      <c r="W34" s="153"/>
      <c r="X34" s="94"/>
      <c r="Y34" s="58"/>
      <c r="Z34" s="86">
        <f>Z29-0.4</f>
        <v>880645.67</v>
      </c>
      <c r="AA34" s="86"/>
      <c r="AB34" s="80"/>
      <c r="AC34" s="79"/>
      <c r="AD34" s="87"/>
      <c r="AE34" s="57"/>
      <c r="AF34" s="131"/>
      <c r="AG34" s="133"/>
      <c r="AH34" s="127"/>
      <c r="AI34" s="21"/>
      <c r="AJ34" s="103"/>
      <c r="AL34" s="21"/>
    </row>
    <row r="35" spans="1:38" ht="12" customHeight="1" outlineLevel="1" thickBot="1" x14ac:dyDescent="0.35">
      <c r="A35" s="7"/>
      <c r="B35" s="108"/>
      <c r="C35" s="19"/>
      <c r="D35" s="92"/>
      <c r="E35" s="73">
        <f t="shared" si="2"/>
        <v>442.54500000000024</v>
      </c>
      <c r="F35" s="100">
        <f t="shared" si="3"/>
        <v>0</v>
      </c>
      <c r="G35" s="108"/>
      <c r="H35" s="108"/>
      <c r="I35" s="161">
        <f t="shared" si="4"/>
        <v>7.3699999999999992</v>
      </c>
      <c r="J35" s="18"/>
      <c r="K35" s="74"/>
      <c r="L35" s="75"/>
      <c r="M35" s="109">
        <f t="shared" si="0"/>
        <v>0</v>
      </c>
      <c r="N35" s="24"/>
      <c r="O35" s="50">
        <f>O34+M35-N35</f>
        <v>1.2179999999999984</v>
      </c>
      <c r="P35" s="76"/>
      <c r="Q35" s="50">
        <f t="shared" si="1"/>
        <v>451.13300000000027</v>
      </c>
      <c r="R35" s="166">
        <f t="shared" si="6"/>
        <v>0</v>
      </c>
      <c r="S35" s="160"/>
      <c r="T35" s="86"/>
      <c r="U35" s="86"/>
      <c r="V35" s="87"/>
      <c r="W35" s="153"/>
      <c r="X35" s="94"/>
      <c r="Y35" s="58"/>
      <c r="Z35" s="86"/>
      <c r="AA35" s="86"/>
      <c r="AB35" s="80"/>
      <c r="AC35" s="79"/>
      <c r="AD35" s="87"/>
      <c r="AE35" s="57"/>
      <c r="AF35" s="131"/>
      <c r="AG35" s="133"/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432.32</v>
      </c>
      <c r="C36" s="37">
        <f>SUM(C5:C35)</f>
        <v>37.622999999999998</v>
      </c>
      <c r="D36" s="37">
        <f>SUM(D5:D35)</f>
        <v>347.77499999999998</v>
      </c>
      <c r="E36" s="115">
        <f>INDEX(E5:E35,COUNTA(E5:E35))-15</f>
        <v>427.54500000000024</v>
      </c>
      <c r="F36" s="37">
        <f>SUM(F5:F35)</f>
        <v>37.622999999999998</v>
      </c>
      <c r="G36" s="37">
        <f>SUM(G5:G35)</f>
        <v>32.064000000000007</v>
      </c>
      <c r="H36" s="37">
        <f>SUM(H5:H35)</f>
        <v>6.7889999999999997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6.7889999999999997</v>
      </c>
      <c r="N36" s="37">
        <f>SUM(N5:N35)</f>
        <v>7.3630000000000013</v>
      </c>
      <c r="O36" s="41"/>
      <c r="P36" s="40">
        <f>B36+G36+H36+J36</f>
        <v>471.173</v>
      </c>
      <c r="Q36" s="41"/>
      <c r="R36" s="167">
        <f>SUM(R5:R35)</f>
        <v>471.173</v>
      </c>
      <c r="S36" s="114">
        <f>INDEX(S5:S35,COUNTA(S5:S35))</f>
        <v>100.185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427.54500000000024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100.185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N50</f>
        <v>74.319645797943423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52" t="s">
        <v>35</v>
      </c>
      <c r="V41" s="652"/>
      <c r="W41" s="653"/>
      <c r="X41" s="654"/>
      <c r="Y41" s="173"/>
      <c r="Z41" s="144">
        <f>Z38+Z39+Z40</f>
        <v>602.04964579794364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s="1" customFormat="1" ht="16.2" customHeight="1" x14ac:dyDescent="0.3">
      <c r="C43" s="2"/>
      <c r="D43" s="98"/>
      <c r="E43" s="564" t="s">
        <v>18</v>
      </c>
      <c r="F43" s="564"/>
      <c r="G43" s="564"/>
      <c r="H43" s="552" t="s">
        <v>199</v>
      </c>
      <c r="I43" s="651"/>
      <c r="J43" s="124"/>
      <c r="K43" s="280"/>
      <c r="L43" s="145"/>
      <c r="M43" s="240">
        <v>14274</v>
      </c>
      <c r="N43" s="147"/>
      <c r="O43" s="248"/>
      <c r="P43" s="249"/>
      <c r="Q43" s="164" t="s">
        <v>192</v>
      </c>
      <c r="R43" s="164" t="s">
        <v>167</v>
      </c>
      <c r="T43" s="250"/>
      <c r="U43" s="250"/>
      <c r="V43" s="251"/>
      <c r="W43" s="252"/>
      <c r="X43" s="253"/>
      <c r="Y43" s="253"/>
      <c r="Z43" s="254"/>
      <c r="AA43" s="255"/>
      <c r="AB43" s="255"/>
      <c r="AC43" s="255"/>
      <c r="AD43" s="255"/>
      <c r="AG43" s="256"/>
      <c r="AH43" s="257"/>
      <c r="AI43" s="256"/>
      <c r="AJ43" s="256"/>
      <c r="AK43" s="256"/>
      <c r="AL43" s="255"/>
    </row>
    <row r="44" spans="1:38" s="1" customFormat="1" ht="16.2" customHeight="1" x14ac:dyDescent="0.3">
      <c r="C44" s="2"/>
      <c r="D44" s="98"/>
      <c r="E44" s="564" t="s">
        <v>18</v>
      </c>
      <c r="F44" s="564"/>
      <c r="G44" s="564"/>
      <c r="H44" s="552" t="s">
        <v>206</v>
      </c>
      <c r="I44" s="651"/>
      <c r="J44" s="124"/>
      <c r="K44" s="291"/>
      <c r="L44" s="145"/>
      <c r="M44" s="240">
        <v>16224</v>
      </c>
      <c r="N44" s="147"/>
      <c r="O44" s="248"/>
      <c r="P44" s="249"/>
      <c r="Q44" s="164"/>
      <c r="R44" s="164"/>
      <c r="S44" s="164" t="s">
        <v>200</v>
      </c>
      <c r="T44" s="250"/>
      <c r="U44" s="250"/>
      <c r="V44" s="251"/>
      <c r="W44" s="252"/>
      <c r="X44" s="253"/>
      <c r="Y44" s="253"/>
      <c r="Z44" s="254"/>
      <c r="AA44" s="255"/>
      <c r="AB44" s="255"/>
      <c r="AC44" s="255"/>
      <c r="AD44" s="255"/>
      <c r="AG44" s="256"/>
      <c r="AH44" s="257"/>
      <c r="AI44" s="256"/>
      <c r="AJ44" s="256"/>
      <c r="AK44" s="256"/>
      <c r="AL44" s="255"/>
    </row>
    <row r="45" spans="1:38" s="1" customFormat="1" ht="16.2" customHeight="1" x14ac:dyDescent="0.3">
      <c r="C45" s="2"/>
      <c r="D45" s="98"/>
      <c r="E45" s="564" t="s">
        <v>18</v>
      </c>
      <c r="F45" s="564"/>
      <c r="G45" s="564"/>
      <c r="H45" s="643" t="s">
        <v>207</v>
      </c>
      <c r="I45" s="644"/>
      <c r="J45" s="124"/>
      <c r="K45" s="292"/>
      <c r="L45" s="145"/>
      <c r="M45" s="299">
        <v>22974</v>
      </c>
      <c r="N45" s="147">
        <f>T31/M45</f>
        <v>26.356785931923046</v>
      </c>
      <c r="O45" s="248" t="s">
        <v>201</v>
      </c>
      <c r="P45" s="249"/>
      <c r="Q45" s="250" t="s">
        <v>208</v>
      </c>
      <c r="R45" s="250" t="s">
        <v>209</v>
      </c>
      <c r="S45" s="250" t="s">
        <v>210</v>
      </c>
      <c r="T45" s="250"/>
      <c r="U45" s="250"/>
      <c r="V45" s="251"/>
      <c r="W45" s="252"/>
      <c r="X45" s="253"/>
      <c r="Y45" s="253"/>
      <c r="Z45" s="254"/>
      <c r="AA45" s="255"/>
      <c r="AB45" s="255"/>
      <c r="AC45" s="255"/>
      <c r="AD45" s="255"/>
      <c r="AG45" s="256"/>
      <c r="AH45" s="257"/>
      <c r="AI45" s="256"/>
      <c r="AJ45" s="256"/>
      <c r="AK45" s="256"/>
      <c r="AL45" s="255"/>
    </row>
    <row r="46" spans="1:38" ht="16.2" customHeight="1" x14ac:dyDescent="0.3">
      <c r="D46" s="211" t="s">
        <v>28</v>
      </c>
      <c r="E46" s="611" t="s">
        <v>60</v>
      </c>
      <c r="F46" s="611"/>
      <c r="G46" s="611"/>
      <c r="H46" s="552" t="s">
        <v>165</v>
      </c>
      <c r="I46" s="651"/>
      <c r="J46" s="124"/>
      <c r="K46" s="280"/>
      <c r="L46" s="145"/>
      <c r="M46" s="240">
        <f>5506+8989</f>
        <v>14495</v>
      </c>
      <c r="N46" s="147"/>
      <c r="O46" s="238"/>
      <c r="P46" s="89"/>
      <c r="Q46" s="164" t="s">
        <v>197</v>
      </c>
      <c r="R46" s="164" t="s">
        <v>172</v>
      </c>
      <c r="S46" s="164" t="s">
        <v>220</v>
      </c>
      <c r="U46" s="34"/>
      <c r="V46" s="177"/>
      <c r="W46" s="178"/>
      <c r="X46" s="179"/>
      <c r="Y46" s="179"/>
      <c r="Z46" s="180"/>
      <c r="AA46" s="91"/>
      <c r="AB46" s="91"/>
      <c r="AC46" s="91"/>
      <c r="AD46" s="91"/>
      <c r="AI46" s="123"/>
      <c r="AJ46" s="123"/>
      <c r="AK46" s="123"/>
      <c r="AL46" s="91"/>
    </row>
    <row r="47" spans="1:38" ht="16.2" customHeight="1" x14ac:dyDescent="0.3">
      <c r="D47" s="211" t="s">
        <v>28</v>
      </c>
      <c r="E47" s="611" t="s">
        <v>60</v>
      </c>
      <c r="F47" s="611"/>
      <c r="G47" s="611"/>
      <c r="H47" s="643" t="s">
        <v>207</v>
      </c>
      <c r="I47" s="644"/>
      <c r="J47" s="124"/>
      <c r="K47" s="293"/>
      <c r="L47" s="145"/>
      <c r="M47" s="240">
        <f>9372+8989</f>
        <v>18361</v>
      </c>
      <c r="N47" s="147">
        <f>Z29/M47</f>
        <v>47.962859866020374</v>
      </c>
      <c r="O47" s="238" t="s">
        <v>29</v>
      </c>
      <c r="P47" s="89"/>
      <c r="Q47" s="250" t="s">
        <v>215</v>
      </c>
      <c r="R47" s="250" t="s">
        <v>216</v>
      </c>
      <c r="S47" s="250" t="s">
        <v>217</v>
      </c>
      <c r="T47" s="34"/>
      <c r="U47" s="34"/>
      <c r="V47" s="177"/>
      <c r="W47" s="178"/>
      <c r="X47" s="179"/>
      <c r="Y47" s="179"/>
      <c r="Z47" s="180"/>
      <c r="AA47" s="91"/>
      <c r="AB47" s="91"/>
      <c r="AC47" s="91"/>
      <c r="AD47" s="91"/>
      <c r="AI47" s="123"/>
      <c r="AJ47" s="123"/>
      <c r="AK47" s="123"/>
      <c r="AL47" s="91"/>
    </row>
    <row r="48" spans="1:38" ht="16.2" customHeight="1" x14ac:dyDescent="0.3">
      <c r="D48" s="211" t="s">
        <v>21</v>
      </c>
      <c r="E48" s="611" t="s">
        <v>60</v>
      </c>
      <c r="F48" s="611"/>
      <c r="G48" s="611"/>
      <c r="H48" s="552" t="s">
        <v>165</v>
      </c>
      <c r="I48" s="651"/>
      <c r="J48" s="125"/>
      <c r="K48" s="280"/>
      <c r="L48" s="145"/>
      <c r="M48" s="240">
        <f>5506+8989</f>
        <v>14495</v>
      </c>
      <c r="N48" s="241"/>
      <c r="O48" s="238"/>
      <c r="P48" s="89"/>
      <c r="Q48" s="164" t="s">
        <v>197</v>
      </c>
      <c r="R48" s="164" t="s">
        <v>168</v>
      </c>
      <c r="S48" s="164" t="s">
        <v>169</v>
      </c>
      <c r="T48" s="163"/>
      <c r="U48" s="163"/>
      <c r="V48" s="177"/>
      <c r="W48" s="178"/>
      <c r="X48" s="179"/>
      <c r="Y48" s="179"/>
      <c r="Z48" s="180"/>
      <c r="AA48" s="91"/>
      <c r="AB48" s="91"/>
      <c r="AC48" s="91"/>
      <c r="AD48" s="91"/>
      <c r="AI48" s="127"/>
      <c r="AJ48" s="103"/>
      <c r="AK48" s="103"/>
      <c r="AL48" s="91"/>
    </row>
    <row r="49" spans="4:38" ht="16.2" customHeight="1" thickBot="1" x14ac:dyDescent="0.35">
      <c r="D49" s="211" t="s">
        <v>21</v>
      </c>
      <c r="E49" s="611" t="s">
        <v>60</v>
      </c>
      <c r="F49" s="611"/>
      <c r="G49" s="611"/>
      <c r="H49" s="643" t="s">
        <v>207</v>
      </c>
      <c r="I49" s="644"/>
      <c r="J49" s="125"/>
      <c r="K49" s="293"/>
      <c r="L49" s="145"/>
      <c r="M49" s="240">
        <f>9372+8989</f>
        <v>18361</v>
      </c>
      <c r="N49" s="223">
        <f>U30/M49</f>
        <v>0</v>
      </c>
      <c r="O49" s="238" t="s">
        <v>40</v>
      </c>
      <c r="P49" s="89"/>
      <c r="Q49" s="250" t="s">
        <v>213</v>
      </c>
      <c r="R49" s="250" t="s">
        <v>214</v>
      </c>
      <c r="S49" s="250" t="s">
        <v>210</v>
      </c>
      <c r="T49" s="163"/>
      <c r="U49" s="163"/>
      <c r="V49" s="177"/>
      <c r="W49" s="178"/>
      <c r="X49" s="179"/>
      <c r="Y49" s="179"/>
      <c r="Z49" s="180"/>
      <c r="AA49" s="91"/>
      <c r="AB49" s="91"/>
      <c r="AC49" s="91"/>
      <c r="AD49" s="91"/>
      <c r="AI49" s="127"/>
      <c r="AJ49" s="103"/>
      <c r="AK49" s="103"/>
      <c r="AL49" s="91"/>
    </row>
    <row r="50" spans="4:38" ht="13.95" customHeight="1" thickBot="1" x14ac:dyDescent="0.35">
      <c r="E50" s="634"/>
      <c r="F50" s="635"/>
      <c r="G50" s="636"/>
      <c r="H50" s="637"/>
      <c r="I50" s="638"/>
      <c r="J50" s="141"/>
      <c r="K50" s="141"/>
      <c r="L50" s="142"/>
      <c r="M50" s="270" t="s">
        <v>33</v>
      </c>
      <c r="N50" s="149">
        <f>SUBTOTAL(109,N43:N49)</f>
        <v>74.319645797943423</v>
      </c>
      <c r="O50" s="150"/>
      <c r="T50" s="181"/>
      <c r="U50" s="181"/>
      <c r="V50" s="177"/>
      <c r="W50" s="178"/>
      <c r="X50" s="178"/>
      <c r="Y50" s="178"/>
      <c r="Z50" s="180"/>
      <c r="AA50" s="90"/>
      <c r="AB50" s="90"/>
      <c r="AC50" s="21"/>
      <c r="AD50" s="21"/>
    </row>
    <row r="51" spans="4:38" x14ac:dyDescent="0.3">
      <c r="E51" s="1" t="s">
        <v>116</v>
      </c>
      <c r="O51" s="139"/>
      <c r="V51" s="178"/>
      <c r="W51" s="178"/>
      <c r="X51" s="178"/>
      <c r="Y51" s="178"/>
      <c r="Z51" s="180"/>
      <c r="AA51" s="21"/>
      <c r="AB51" s="21"/>
      <c r="AC51" s="21"/>
      <c r="AD51" s="21"/>
    </row>
    <row r="52" spans="4:38" x14ac:dyDescent="0.3">
      <c r="E52" s="1" t="s">
        <v>57</v>
      </c>
      <c r="O52" s="1"/>
      <c r="P52" s="1"/>
      <c r="Q52" s="1"/>
      <c r="R52" s="224"/>
      <c r="V52" s="178"/>
      <c r="W52" s="178"/>
      <c r="X52" s="178"/>
      <c r="Y52" s="178"/>
      <c r="Z52" s="178"/>
      <c r="AA52" s="21"/>
      <c r="AB52" s="21"/>
      <c r="AC52" s="21"/>
      <c r="AD52" s="21"/>
    </row>
    <row r="53" spans="4:38" x14ac:dyDescent="0.3">
      <c r="E53" s="1" t="s">
        <v>64</v>
      </c>
    </row>
    <row r="54" spans="4:38" x14ac:dyDescent="0.3">
      <c r="E54" s="1" t="s">
        <v>58</v>
      </c>
      <c r="V54" s="175"/>
      <c r="W54" s="175"/>
      <c r="X54" s="175"/>
      <c r="Y54" s="175"/>
      <c r="Z54" s="175"/>
      <c r="AA54" s="21"/>
      <c r="AB54" s="21"/>
      <c r="AC54" s="21"/>
      <c r="AD54" s="21"/>
    </row>
    <row r="55" spans="4:38" x14ac:dyDescent="0.3">
      <c r="E55" s="1" t="s">
        <v>59</v>
      </c>
    </row>
    <row r="56" spans="4:38" x14ac:dyDescent="0.3">
      <c r="E56" s="1" t="s">
        <v>61</v>
      </c>
    </row>
  </sheetData>
  <mergeCells count="51">
    <mergeCell ref="E50:G50"/>
    <mergeCell ref="H50:I50"/>
    <mergeCell ref="E43:G43"/>
    <mergeCell ref="H43:I43"/>
    <mergeCell ref="E46:G46"/>
    <mergeCell ref="H46:I46"/>
    <mergeCell ref="E48:G48"/>
    <mergeCell ref="H48:I48"/>
    <mergeCell ref="H44:I44"/>
    <mergeCell ref="E44:G44"/>
    <mergeCell ref="E45:G45"/>
    <mergeCell ref="H45:I45"/>
    <mergeCell ref="E47:G47"/>
    <mergeCell ref="E49:G49"/>
    <mergeCell ref="H47:I47"/>
    <mergeCell ref="H49:I49"/>
    <mergeCell ref="U41:X41"/>
    <mergeCell ref="Z3:Z4"/>
    <mergeCell ref="AA3:AA4"/>
    <mergeCell ref="AB3:AB4"/>
    <mergeCell ref="AC3:AC4"/>
    <mergeCell ref="U3:U4"/>
    <mergeCell ref="V3:V4"/>
    <mergeCell ref="W3:W4"/>
    <mergeCell ref="X3:X4"/>
    <mergeCell ref="Y3:Y4"/>
    <mergeCell ref="T38:V38"/>
    <mergeCell ref="T39:V39"/>
    <mergeCell ref="T40:V40"/>
    <mergeCell ref="T3:T4"/>
    <mergeCell ref="Q1:Q4"/>
    <mergeCell ref="R1:R4"/>
    <mergeCell ref="S1:S3"/>
    <mergeCell ref="T1:V2"/>
    <mergeCell ref="W1:AG2"/>
    <mergeCell ref="AF3:AF4"/>
    <mergeCell ref="AG3:AG4"/>
    <mergeCell ref="AD3:AD4"/>
    <mergeCell ref="AE3:AE4"/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</mergeCells>
  <pageMargins left="0.7" right="0.17" top="0.72" bottom="0.34" header="0.77" footer="0.3"/>
  <pageSetup paperSize="9" scale="65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58"/>
  <sheetViews>
    <sheetView workbookViewId="0">
      <pane ySplit="4" topLeftCell="A14" activePane="bottomLeft" state="frozen"/>
      <selection pane="bottomLeft" activeCell="M47" sqref="M47"/>
    </sheetView>
  </sheetViews>
  <sheetFormatPr defaultColWidth="9.109375" defaultRowHeight="14.4" outlineLevelRow="1" outlineLevelCol="1" x14ac:dyDescent="0.3"/>
  <cols>
    <col min="1" max="1" width="8.44140625" style="2" customWidth="1"/>
    <col min="2" max="2" width="6.33203125" style="2" customWidth="1"/>
    <col min="3" max="3" width="5.6640625" style="2" customWidth="1"/>
    <col min="4" max="4" width="9" style="2" customWidth="1"/>
    <col min="5" max="5" width="6.6640625" style="35" customWidth="1"/>
    <col min="6" max="6" width="6.6640625" style="2" customWidth="1"/>
    <col min="7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8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1" width="13.6640625" style="20" customWidth="1"/>
    <col min="22" max="22" width="12.6640625" style="20" hidden="1" customWidth="1"/>
    <col min="23" max="23" width="11.6640625" style="20" hidden="1" customWidth="1"/>
    <col min="24" max="24" width="10.6640625" style="20" hidden="1" customWidth="1"/>
    <col min="25" max="25" width="12.6640625" style="20" hidden="1" customWidth="1"/>
    <col min="26" max="26" width="15.6640625" style="20" customWidth="1"/>
    <col min="27" max="29" width="9.6640625" style="2" hidden="1" customWidth="1"/>
    <col min="30" max="31" width="10.6640625" style="2" hidden="1" customWidth="1"/>
    <col min="32" max="32" width="0.109375" style="2" hidden="1" customWidth="1"/>
    <col min="33" max="33" width="11.33203125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221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41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45</v>
      </c>
      <c r="Y3" s="567"/>
      <c r="Z3" s="567" t="s">
        <v>160</v>
      </c>
      <c r="AA3" s="599" t="s">
        <v>30</v>
      </c>
      <c r="AB3" s="599" t="s">
        <v>37</v>
      </c>
      <c r="AC3" s="567"/>
      <c r="AD3" s="601" t="s">
        <v>14</v>
      </c>
      <c r="AE3" s="597" t="s">
        <v>63</v>
      </c>
      <c r="AF3" s="604" t="s">
        <v>16</v>
      </c>
      <c r="AG3" s="597" t="s">
        <v>19</v>
      </c>
    </row>
    <row r="4" spans="1:40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296" t="s">
        <v>10</v>
      </c>
      <c r="K4" s="297" t="s">
        <v>2</v>
      </c>
      <c r="L4" s="298" t="s">
        <v>9</v>
      </c>
      <c r="M4" s="296" t="s">
        <v>10</v>
      </c>
      <c r="N4" s="297" t="s">
        <v>2</v>
      </c>
      <c r="O4" s="298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52">
        <v>45047</v>
      </c>
      <c r="B5" s="28"/>
      <c r="C5" s="30"/>
      <c r="D5" s="22"/>
      <c r="E5" s="42">
        <f>'04.2023'!E35-B5-C5+D5</f>
        <v>442.54500000000024</v>
      </c>
      <c r="F5" s="51">
        <f>C5</f>
        <v>0</v>
      </c>
      <c r="G5" s="9"/>
      <c r="H5" s="10"/>
      <c r="I5" s="161">
        <f>'04.2023'!I35+F5-G5-H5</f>
        <v>7.3699999999999992</v>
      </c>
      <c r="J5" s="8"/>
      <c r="K5" s="11"/>
      <c r="L5" s="25"/>
      <c r="M5" s="51">
        <f t="shared" ref="M5:M35" si="0">H5</f>
        <v>0</v>
      </c>
      <c r="N5" s="24"/>
      <c r="O5" s="47">
        <f>'04.2023'!O35+M5-N5</f>
        <v>1.2179999999999984</v>
      </c>
      <c r="P5" s="46">
        <v>0</v>
      </c>
      <c r="Q5" s="45">
        <f t="shared" ref="Q5:Q35" si="1">E5+I5+L5+O5</f>
        <v>451.13300000000027</v>
      </c>
      <c r="R5" s="165">
        <f>B5+G5+H5+J5</f>
        <v>0</v>
      </c>
      <c r="S5" s="159">
        <f>'04.2023'!S34</f>
        <v>100.185</v>
      </c>
      <c r="T5" s="58">
        <f>'04.2023'!T34</f>
        <v>605520.80000000005</v>
      </c>
      <c r="U5" s="58">
        <f>'04.2023'!U34</f>
        <v>1219872.1459999999</v>
      </c>
      <c r="V5" s="58">
        <f>'04.2023'!V34</f>
        <v>0</v>
      </c>
      <c r="W5" s="87"/>
      <c r="X5" s="58">
        <f>'04.2023'!X34</f>
        <v>0</v>
      </c>
      <c r="Y5" s="58">
        <f>'04.2023'!Y34</f>
        <v>0</v>
      </c>
      <c r="Z5" s="58">
        <f>'04.2023'!Z34</f>
        <v>880645.67</v>
      </c>
      <c r="AA5" s="58" t="e">
        <f>#REF!</f>
        <v>#REF!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/>
      <c r="AH5" s="127"/>
      <c r="AI5" s="126"/>
      <c r="AJ5" s="21"/>
      <c r="AK5" s="91"/>
      <c r="AL5" s="21"/>
      <c r="AM5" s="21"/>
    </row>
    <row r="6" spans="1:40" ht="13.2" customHeight="1" thickBot="1" x14ac:dyDescent="0.35">
      <c r="A6" s="7">
        <v>45048</v>
      </c>
      <c r="B6" s="28">
        <v>34.270000000000003</v>
      </c>
      <c r="C6" s="30">
        <v>3.9319999999999999</v>
      </c>
      <c r="D6" s="22">
        <f>'04.2023'!AI28</f>
        <v>32.484999999999999</v>
      </c>
      <c r="E6" s="43">
        <f t="shared" ref="E6:E35" si="2">E5+D6-B6-C6</f>
        <v>436.82800000000026</v>
      </c>
      <c r="F6" s="51">
        <f t="shared" ref="F6:F35" si="3">C6</f>
        <v>3.9319999999999999</v>
      </c>
      <c r="G6" s="9">
        <f>4.802-H6</f>
        <v>4.194</v>
      </c>
      <c r="H6" s="10">
        <v>0.60799999999999998</v>
      </c>
      <c r="I6" s="161">
        <f t="shared" ref="I6:I35" si="4">I5+F6-G6-H6</f>
        <v>6.5</v>
      </c>
      <c r="J6" s="8"/>
      <c r="K6" s="11"/>
      <c r="L6" s="12"/>
      <c r="M6" s="51">
        <f t="shared" si="0"/>
        <v>0.60799999999999998</v>
      </c>
      <c r="N6" s="24">
        <v>0.26</v>
      </c>
      <c r="O6" s="47">
        <f t="shared" ref="O6:O34" si="5">O5+M6-N6</f>
        <v>1.5659999999999983</v>
      </c>
      <c r="P6" s="48"/>
      <c r="Q6" s="47">
        <f t="shared" si="1"/>
        <v>444.89400000000023</v>
      </c>
      <c r="R6" s="165">
        <f t="shared" ref="R6:R35" si="6">B6+G6+H6+J6</f>
        <v>39.072000000000003</v>
      </c>
      <c r="S6" s="159">
        <f>'04.2023'!AI26</f>
        <v>67.7</v>
      </c>
      <c r="T6" s="58"/>
      <c r="U6" s="58"/>
      <c r="V6" s="58">
        <v>0</v>
      </c>
      <c r="W6" s="87"/>
      <c r="X6" s="58">
        <v>0</v>
      </c>
      <c r="Y6" s="107">
        <v>0</v>
      </c>
      <c r="Z6" s="87"/>
      <c r="AA6" s="58">
        <v>0</v>
      </c>
      <c r="AB6" s="58">
        <v>0</v>
      </c>
      <c r="AC6" s="58">
        <v>0</v>
      </c>
      <c r="AD6" s="58">
        <v>76674</v>
      </c>
      <c r="AE6" s="58">
        <v>0</v>
      </c>
      <c r="AF6" s="58">
        <v>0</v>
      </c>
      <c r="AG6" s="58"/>
      <c r="AH6" s="127"/>
      <c r="AI6" s="126"/>
      <c r="AJ6" s="99"/>
      <c r="AK6" s="229"/>
      <c r="AL6" s="21"/>
      <c r="AM6" s="21"/>
    </row>
    <row r="7" spans="1:40" ht="13.2" customHeight="1" thickBot="1" x14ac:dyDescent="0.35">
      <c r="A7" s="7">
        <v>45049</v>
      </c>
      <c r="B7" s="28">
        <v>11.38</v>
      </c>
      <c r="C7" s="30">
        <v>2.964</v>
      </c>
      <c r="D7" s="186"/>
      <c r="E7" s="43">
        <f t="shared" si="2"/>
        <v>422.48400000000026</v>
      </c>
      <c r="F7" s="51">
        <f t="shared" si="3"/>
        <v>2.964</v>
      </c>
      <c r="G7" s="9">
        <f>0.814-H7</f>
        <v>0.41999999999999993</v>
      </c>
      <c r="H7" s="10">
        <v>0.39400000000000002</v>
      </c>
      <c r="I7" s="161">
        <f t="shared" si="4"/>
        <v>8.65</v>
      </c>
      <c r="J7" s="8"/>
      <c r="K7" s="11"/>
      <c r="L7" s="12"/>
      <c r="M7" s="51">
        <f t="shared" si="0"/>
        <v>0.39400000000000002</v>
      </c>
      <c r="N7" s="24">
        <v>0.33900000000000002</v>
      </c>
      <c r="O7" s="47">
        <f t="shared" si="5"/>
        <v>1.6209999999999982</v>
      </c>
      <c r="P7" s="48"/>
      <c r="Q7" s="47">
        <f t="shared" si="1"/>
        <v>432.75500000000022</v>
      </c>
      <c r="R7" s="165">
        <f t="shared" si="6"/>
        <v>12.194000000000001</v>
      </c>
      <c r="S7" s="159">
        <f>'04.2023'!AI26+AI7</f>
        <v>99.302999999999997</v>
      </c>
      <c r="T7" s="58">
        <f>199000+T5</f>
        <v>804520.8</v>
      </c>
      <c r="U7" s="157">
        <f>U5-AI7*M49</f>
        <v>537342.15499999991</v>
      </c>
      <c r="V7" s="58">
        <v>0</v>
      </c>
      <c r="W7" s="87"/>
      <c r="X7" s="58">
        <v>0</v>
      </c>
      <c r="Y7" s="58">
        <v>0</v>
      </c>
      <c r="Z7" s="87"/>
      <c r="AA7" s="58">
        <v>0</v>
      </c>
      <c r="AB7" s="58">
        <v>0</v>
      </c>
      <c r="AC7" s="58">
        <v>0</v>
      </c>
      <c r="AD7" s="58">
        <v>76674</v>
      </c>
      <c r="AE7" s="58">
        <v>0</v>
      </c>
      <c r="AF7" s="58">
        <v>0</v>
      </c>
      <c r="AG7" s="58"/>
      <c r="AH7" s="128" t="s">
        <v>48</v>
      </c>
      <c r="AI7" s="120">
        <v>31.603000000000002</v>
      </c>
      <c r="AJ7" s="99" t="s">
        <v>222</v>
      </c>
      <c r="AK7" s="2">
        <v>58214578</v>
      </c>
      <c r="AL7" s="21"/>
      <c r="AM7" s="21"/>
    </row>
    <row r="8" spans="1:40" ht="12.75" customHeight="1" thickBot="1" x14ac:dyDescent="0.35">
      <c r="A8" s="7">
        <v>45050</v>
      </c>
      <c r="B8" s="28">
        <v>14.33</v>
      </c>
      <c r="C8" s="30">
        <v>1.702</v>
      </c>
      <c r="D8" s="186">
        <f>'04.2023'!AI26</f>
        <v>67.7</v>
      </c>
      <c r="E8" s="43">
        <f t="shared" si="2"/>
        <v>474.15200000000027</v>
      </c>
      <c r="F8" s="51">
        <f t="shared" si="3"/>
        <v>1.702</v>
      </c>
      <c r="G8" s="9">
        <f>2.432-H8</f>
        <v>1.8519999999999999</v>
      </c>
      <c r="H8" s="10">
        <v>0.57999999999999996</v>
      </c>
      <c r="I8" s="161">
        <f t="shared" si="4"/>
        <v>7.92</v>
      </c>
      <c r="J8" s="8"/>
      <c r="K8" s="11"/>
      <c r="L8" s="12"/>
      <c r="M8" s="51">
        <f t="shared" si="0"/>
        <v>0.57999999999999996</v>
      </c>
      <c r="N8" s="24">
        <v>0.438</v>
      </c>
      <c r="O8" s="47">
        <f t="shared" si="5"/>
        <v>1.7629999999999983</v>
      </c>
      <c r="P8" s="48"/>
      <c r="Q8" s="47">
        <f t="shared" si="1"/>
        <v>483.83500000000026</v>
      </c>
      <c r="R8" s="165">
        <f t="shared" si="6"/>
        <v>16.761999999999997</v>
      </c>
      <c r="S8" s="159">
        <f>AI7+AI8</f>
        <v>65.003</v>
      </c>
      <c r="T8" s="88">
        <f>T7-AI8*M43</f>
        <v>37189.20000000007</v>
      </c>
      <c r="U8" s="86"/>
      <c r="V8" s="86">
        <v>0</v>
      </c>
      <c r="W8" s="87"/>
      <c r="X8" s="58">
        <v>0</v>
      </c>
      <c r="Y8" s="58">
        <v>0</v>
      </c>
      <c r="Z8" s="87"/>
      <c r="AA8" s="58">
        <v>0</v>
      </c>
      <c r="AB8" s="58">
        <v>0</v>
      </c>
      <c r="AC8" s="58">
        <v>0</v>
      </c>
      <c r="AD8" s="58">
        <v>76674</v>
      </c>
      <c r="AE8" s="58">
        <v>0</v>
      </c>
      <c r="AF8" s="58">
        <v>0</v>
      </c>
      <c r="AG8" s="58"/>
      <c r="AH8" s="127" t="s">
        <v>43</v>
      </c>
      <c r="AI8" s="126">
        <v>33.4</v>
      </c>
      <c r="AJ8" s="99" t="s">
        <v>223</v>
      </c>
      <c r="AK8" s="91">
        <v>57866014</v>
      </c>
      <c r="AL8" s="239"/>
      <c r="AM8" s="21"/>
    </row>
    <row r="9" spans="1:40" ht="13.2" customHeight="1" thickBot="1" x14ac:dyDescent="0.35">
      <c r="A9" s="7">
        <v>45051</v>
      </c>
      <c r="B9" s="28">
        <v>37.64</v>
      </c>
      <c r="C9" s="30">
        <v>1.284</v>
      </c>
      <c r="D9" s="186"/>
      <c r="E9" s="43">
        <f t="shared" si="2"/>
        <v>435.22800000000029</v>
      </c>
      <c r="F9" s="51">
        <f t="shared" si="3"/>
        <v>1.284</v>
      </c>
      <c r="G9" s="9">
        <f>0.604-H9</f>
        <v>0.49</v>
      </c>
      <c r="H9" s="10">
        <v>0.114</v>
      </c>
      <c r="I9" s="161">
        <f t="shared" si="4"/>
        <v>8.6</v>
      </c>
      <c r="J9" s="8"/>
      <c r="K9" s="11"/>
      <c r="L9" s="12"/>
      <c r="M9" s="51">
        <f t="shared" si="0"/>
        <v>0.114</v>
      </c>
      <c r="N9" s="24">
        <v>0.45300000000000001</v>
      </c>
      <c r="O9" s="47">
        <f t="shared" si="5"/>
        <v>1.4239999999999984</v>
      </c>
      <c r="P9" s="48"/>
      <c r="Q9" s="47">
        <f t="shared" si="1"/>
        <v>445.25200000000029</v>
      </c>
      <c r="R9" s="165">
        <f t="shared" si="6"/>
        <v>38.244</v>
      </c>
      <c r="S9" s="159">
        <f>S8</f>
        <v>65.003</v>
      </c>
      <c r="T9" s="58">
        <f>T8+805000</f>
        <v>842189.20000000007</v>
      </c>
      <c r="U9" s="86">
        <f>U7+901000</f>
        <v>1438342.1549999998</v>
      </c>
      <c r="V9" s="212"/>
      <c r="W9" s="87"/>
      <c r="X9" s="79"/>
      <c r="Y9" s="58"/>
      <c r="Z9" s="87">
        <f>Z5+509000</f>
        <v>1389645.67</v>
      </c>
      <c r="AA9" s="87">
        <v>0</v>
      </c>
      <c r="AB9" s="80">
        <v>0</v>
      </c>
      <c r="AC9" s="230">
        <v>0</v>
      </c>
      <c r="AD9" s="87">
        <v>76674</v>
      </c>
      <c r="AE9" s="55">
        <v>0</v>
      </c>
      <c r="AF9" s="14">
        <v>0</v>
      </c>
      <c r="AG9" s="58"/>
      <c r="AH9" s="128"/>
      <c r="AI9" s="120"/>
      <c r="AJ9" s="99"/>
      <c r="AK9" s="91"/>
      <c r="AL9" s="99"/>
      <c r="AM9" s="21"/>
      <c r="AN9" s="21"/>
    </row>
    <row r="10" spans="1:40" s="1" customFormat="1" ht="13.2" customHeight="1" thickBot="1" x14ac:dyDescent="0.35">
      <c r="A10" s="52">
        <v>45052</v>
      </c>
      <c r="B10" s="28"/>
      <c r="C10" s="30"/>
      <c r="D10" s="186"/>
      <c r="E10" s="43">
        <f t="shared" si="2"/>
        <v>435.22800000000029</v>
      </c>
      <c r="F10" s="51">
        <f t="shared" si="3"/>
        <v>0</v>
      </c>
      <c r="G10" s="30"/>
      <c r="H10" s="10"/>
      <c r="I10" s="161">
        <f t="shared" si="4"/>
        <v>8.6</v>
      </c>
      <c r="J10" s="8"/>
      <c r="K10" s="11"/>
      <c r="L10" s="12"/>
      <c r="M10" s="51">
        <f t="shared" si="0"/>
        <v>0</v>
      </c>
      <c r="N10" s="24"/>
      <c r="O10" s="47">
        <f t="shared" si="5"/>
        <v>1.4239999999999984</v>
      </c>
      <c r="P10" s="48"/>
      <c r="Q10" s="47">
        <f t="shared" si="1"/>
        <v>445.25200000000029</v>
      </c>
      <c r="R10" s="165">
        <f t="shared" si="6"/>
        <v>0</v>
      </c>
      <c r="S10" s="160">
        <v>65.003</v>
      </c>
      <c r="T10" s="86"/>
      <c r="U10" s="86"/>
      <c r="V10" s="212"/>
      <c r="W10" s="87"/>
      <c r="X10" s="79"/>
      <c r="Y10" s="58"/>
      <c r="Z10" s="87"/>
      <c r="AA10" s="87"/>
      <c r="AB10" s="80"/>
      <c r="AC10" s="187"/>
      <c r="AD10" s="87">
        <v>0</v>
      </c>
      <c r="AE10" s="55"/>
      <c r="AF10" s="136"/>
      <c r="AG10" s="58">
        <v>0</v>
      </c>
      <c r="AI10" s="120"/>
      <c r="AJ10" s="99"/>
      <c r="AK10" s="91"/>
      <c r="AL10" s="239"/>
      <c r="AM10" s="27"/>
      <c r="AN10" s="27"/>
    </row>
    <row r="11" spans="1:40" ht="13.2" customHeight="1" thickBot="1" x14ac:dyDescent="0.35">
      <c r="A11" s="52">
        <v>45053</v>
      </c>
      <c r="B11" s="28"/>
      <c r="C11" s="30"/>
      <c r="D11" s="186"/>
      <c r="E11" s="43">
        <f>E10+D11-B11-C11</f>
        <v>435.22800000000029</v>
      </c>
      <c r="F11" s="51">
        <f t="shared" si="3"/>
        <v>0</v>
      </c>
      <c r="G11" s="9"/>
      <c r="H11" s="10"/>
      <c r="I11" s="161">
        <f t="shared" si="4"/>
        <v>8.6</v>
      </c>
      <c r="J11" s="8"/>
      <c r="K11" s="11"/>
      <c r="L11" s="12"/>
      <c r="M11" s="51">
        <f t="shared" si="0"/>
        <v>0</v>
      </c>
      <c r="N11" s="24"/>
      <c r="O11" s="47">
        <f t="shared" si="5"/>
        <v>1.4239999999999984</v>
      </c>
      <c r="P11" s="48"/>
      <c r="Q11" s="47">
        <f t="shared" si="1"/>
        <v>445.25200000000029</v>
      </c>
      <c r="R11" s="165">
        <f>B11+G11+H11+J11</f>
        <v>0</v>
      </c>
      <c r="S11" s="160">
        <v>65.003</v>
      </c>
      <c r="T11" s="86"/>
      <c r="U11" s="86"/>
      <c r="V11" s="212"/>
      <c r="W11" s="87"/>
      <c r="X11" s="79"/>
      <c r="Y11" s="58"/>
      <c r="Z11" s="87"/>
      <c r="AA11" s="87"/>
      <c r="AB11" s="80"/>
      <c r="AC11" s="230"/>
      <c r="AD11" s="87">
        <v>0</v>
      </c>
      <c r="AE11" s="55"/>
      <c r="AF11" s="14"/>
      <c r="AG11" s="86">
        <v>0</v>
      </c>
      <c r="AI11" s="122"/>
      <c r="AJ11" s="103"/>
      <c r="AK11" s="91"/>
      <c r="AL11" s="21"/>
      <c r="AM11" s="21"/>
      <c r="AN11" s="21"/>
    </row>
    <row r="12" spans="1:40" ht="13.2" customHeight="1" thickBot="1" x14ac:dyDescent="0.35">
      <c r="A12" s="52">
        <v>45054</v>
      </c>
      <c r="B12" s="28"/>
      <c r="C12" s="30"/>
      <c r="D12" s="186"/>
      <c r="E12" s="43">
        <f>E11+D12-B12-C12</f>
        <v>435.22800000000029</v>
      </c>
      <c r="F12" s="51">
        <f t="shared" si="3"/>
        <v>0</v>
      </c>
      <c r="G12" s="30"/>
      <c r="H12" s="24"/>
      <c r="I12" s="161">
        <f t="shared" si="4"/>
        <v>8.6</v>
      </c>
      <c r="J12" s="8"/>
      <c r="K12" s="11"/>
      <c r="L12" s="12"/>
      <c r="M12" s="51">
        <f t="shared" si="0"/>
        <v>0</v>
      </c>
      <c r="N12" s="24"/>
      <c r="O12" s="47">
        <f t="shared" si="5"/>
        <v>1.4239999999999984</v>
      </c>
      <c r="P12" s="48"/>
      <c r="Q12" s="47">
        <f t="shared" si="1"/>
        <v>445.25200000000029</v>
      </c>
      <c r="R12" s="165">
        <f>B12+G12+H12+J12</f>
        <v>0</v>
      </c>
      <c r="S12" s="160">
        <v>65.003</v>
      </c>
      <c r="T12" s="86"/>
      <c r="U12" s="86"/>
      <c r="V12" s="212"/>
      <c r="W12" s="87"/>
      <c r="X12" s="79"/>
      <c r="Y12" s="58"/>
      <c r="Z12" s="87"/>
      <c r="AA12" s="86"/>
      <c r="AB12" s="80"/>
      <c r="AC12" s="187"/>
      <c r="AD12" s="87">
        <v>0</v>
      </c>
      <c r="AE12" s="55"/>
      <c r="AF12" s="14"/>
      <c r="AG12" s="86">
        <v>0</v>
      </c>
      <c r="AH12" s="127"/>
      <c r="AI12" s="126"/>
      <c r="AJ12" s="103"/>
      <c r="AK12" s="91"/>
      <c r="AL12" s="21"/>
      <c r="AM12" s="21"/>
      <c r="AN12" s="21"/>
    </row>
    <row r="13" spans="1:40" ht="13.2" customHeight="1" thickBot="1" x14ac:dyDescent="0.35">
      <c r="A13" s="52">
        <v>45055</v>
      </c>
      <c r="B13" s="28"/>
      <c r="C13" s="30"/>
      <c r="D13" s="186"/>
      <c r="E13" s="43">
        <f t="shared" si="2"/>
        <v>435.22800000000029</v>
      </c>
      <c r="F13" s="51">
        <f t="shared" si="3"/>
        <v>0</v>
      </c>
      <c r="G13" s="9"/>
      <c r="H13" s="10"/>
      <c r="I13" s="161">
        <f t="shared" si="4"/>
        <v>8.6</v>
      </c>
      <c r="J13" s="8"/>
      <c r="K13" s="26"/>
      <c r="L13" s="12"/>
      <c r="M13" s="51">
        <f t="shared" si="0"/>
        <v>0</v>
      </c>
      <c r="N13" s="24"/>
      <c r="O13" s="47">
        <f t="shared" si="5"/>
        <v>1.4239999999999984</v>
      </c>
      <c r="P13" s="48"/>
      <c r="Q13" s="47">
        <f t="shared" si="1"/>
        <v>445.25200000000029</v>
      </c>
      <c r="R13" s="165">
        <f t="shared" si="6"/>
        <v>0</v>
      </c>
      <c r="S13" s="160">
        <v>65.003</v>
      </c>
      <c r="T13" s="86"/>
      <c r="U13" s="86"/>
      <c r="V13" s="212"/>
      <c r="W13" s="87"/>
      <c r="X13" s="79"/>
      <c r="Y13" s="58"/>
      <c r="Z13" s="87"/>
      <c r="AA13" s="86"/>
      <c r="AB13" s="80"/>
      <c r="AC13" s="187"/>
      <c r="AD13" s="87">
        <v>0</v>
      </c>
      <c r="AE13" s="55"/>
      <c r="AF13" s="14"/>
      <c r="AG13" s="86">
        <v>0</v>
      </c>
      <c r="AH13" s="127"/>
      <c r="AI13" s="126"/>
      <c r="AJ13" s="99"/>
      <c r="AK13" s="91"/>
      <c r="AL13" s="135"/>
      <c r="AM13" s="21"/>
      <c r="AN13" s="21"/>
    </row>
    <row r="14" spans="1:40" ht="13.2" customHeight="1" thickBot="1" x14ac:dyDescent="0.35">
      <c r="A14" s="7">
        <v>45056</v>
      </c>
      <c r="B14" s="28">
        <v>25.89</v>
      </c>
      <c r="C14" s="30">
        <v>1.9219999999999999</v>
      </c>
      <c r="D14" s="186">
        <f>AI8</f>
        <v>33.4</v>
      </c>
      <c r="E14" s="43">
        <f t="shared" si="2"/>
        <v>440.81600000000026</v>
      </c>
      <c r="F14" s="51">
        <f t="shared" si="3"/>
        <v>1.9219999999999999</v>
      </c>
      <c r="G14" s="30">
        <f>3.572-H14</f>
        <v>2.8440000000000003</v>
      </c>
      <c r="H14" s="24">
        <v>0.72799999999999998</v>
      </c>
      <c r="I14" s="161">
        <f t="shared" si="4"/>
        <v>6.95</v>
      </c>
      <c r="J14" s="8"/>
      <c r="K14" s="11"/>
      <c r="L14" s="12"/>
      <c r="M14" s="51">
        <f t="shared" si="0"/>
        <v>0.72799999999999998</v>
      </c>
      <c r="N14" s="24">
        <v>0.40500000000000003</v>
      </c>
      <c r="O14" s="47">
        <f t="shared" si="5"/>
        <v>1.7469999999999983</v>
      </c>
      <c r="P14" s="48"/>
      <c r="Q14" s="47">
        <f t="shared" si="1"/>
        <v>449.51300000000026</v>
      </c>
      <c r="R14" s="165">
        <f t="shared" si="6"/>
        <v>29.462000000000003</v>
      </c>
      <c r="S14" s="160">
        <f>AI7</f>
        <v>31.603000000000002</v>
      </c>
      <c r="T14" s="86">
        <f>T9+69000</f>
        <v>911189.20000000007</v>
      </c>
      <c r="U14" s="86">
        <f>U9+909000</f>
        <v>2347342.1549999998</v>
      </c>
      <c r="V14" s="212"/>
      <c r="W14" s="87"/>
      <c r="X14" s="79"/>
      <c r="Y14" s="58"/>
      <c r="Z14" s="87">
        <f>Z9+595000</f>
        <v>1984645.67</v>
      </c>
      <c r="AA14" s="86"/>
      <c r="AB14" s="80"/>
      <c r="AC14" s="190"/>
      <c r="AD14" s="87">
        <v>0</v>
      </c>
      <c r="AE14" s="55"/>
      <c r="AF14" s="14"/>
      <c r="AG14" s="86">
        <v>0</v>
      </c>
      <c r="AH14" s="128"/>
      <c r="AI14" s="120"/>
      <c r="AJ14" s="208"/>
      <c r="AK14" s="91"/>
      <c r="AL14" s="239"/>
      <c r="AM14" s="21"/>
      <c r="AN14" s="21"/>
    </row>
    <row r="15" spans="1:40" ht="13.2" customHeight="1" thickBot="1" x14ac:dyDescent="0.35">
      <c r="A15" s="7">
        <v>45057</v>
      </c>
      <c r="B15" s="28">
        <v>8.8699999999999992</v>
      </c>
      <c r="C15" s="30">
        <v>2.4</v>
      </c>
      <c r="D15" s="186"/>
      <c r="E15" s="43">
        <f t="shared" si="2"/>
        <v>429.54600000000028</v>
      </c>
      <c r="F15" s="51">
        <f t="shared" si="3"/>
        <v>2.4</v>
      </c>
      <c r="G15" s="9">
        <f>1</f>
        <v>1</v>
      </c>
      <c r="H15" s="10"/>
      <c r="I15" s="161">
        <f t="shared" si="4"/>
        <v>8.35</v>
      </c>
      <c r="J15" s="8"/>
      <c r="K15" s="11"/>
      <c r="L15" s="12"/>
      <c r="M15" s="51">
        <f>H15</f>
        <v>0</v>
      </c>
      <c r="N15" s="24">
        <v>0.33200000000000002</v>
      </c>
      <c r="O15" s="47">
        <f t="shared" si="5"/>
        <v>1.4149999999999983</v>
      </c>
      <c r="P15" s="48"/>
      <c r="Q15" s="47">
        <f t="shared" si="1"/>
        <v>439.31100000000032</v>
      </c>
      <c r="R15" s="165">
        <f t="shared" si="6"/>
        <v>9.8699999999999992</v>
      </c>
      <c r="S15" s="160">
        <v>31.603000000000002</v>
      </c>
      <c r="T15" s="86"/>
      <c r="U15" s="80"/>
      <c r="V15" s="80"/>
      <c r="W15" s="87"/>
      <c r="X15" s="79"/>
      <c r="Y15" s="58"/>
      <c r="Z15" s="87"/>
      <c r="AA15" s="86"/>
      <c r="AB15" s="80"/>
      <c r="AC15" s="79"/>
      <c r="AD15" s="87">
        <v>0</v>
      </c>
      <c r="AE15" s="55"/>
      <c r="AF15" s="14"/>
      <c r="AG15" s="86">
        <v>0</v>
      </c>
      <c r="AH15" s="127"/>
      <c r="AI15" s="126"/>
      <c r="AJ15" s="99"/>
      <c r="AK15" s="91"/>
      <c r="AL15" s="239"/>
      <c r="AM15" s="21"/>
      <c r="AN15" s="21"/>
    </row>
    <row r="16" spans="1:40" ht="13.2" customHeight="1" thickBot="1" x14ac:dyDescent="0.35">
      <c r="A16" s="7">
        <v>45058</v>
      </c>
      <c r="B16" s="28">
        <v>27.27</v>
      </c>
      <c r="C16" s="30">
        <v>1.5329999999999999</v>
      </c>
      <c r="D16" s="186">
        <f>AI7</f>
        <v>31.603000000000002</v>
      </c>
      <c r="E16" s="43">
        <f t="shared" si="2"/>
        <v>432.34600000000029</v>
      </c>
      <c r="F16" s="51">
        <f t="shared" si="3"/>
        <v>1.5329999999999999</v>
      </c>
      <c r="G16" s="9">
        <f>1.963-H16</f>
        <v>1.6859999999999999</v>
      </c>
      <c r="H16" s="10">
        <v>0.27700000000000002</v>
      </c>
      <c r="I16" s="161">
        <f t="shared" si="4"/>
        <v>7.919999999999999</v>
      </c>
      <c r="J16" s="8"/>
      <c r="K16" s="11"/>
      <c r="L16" s="12"/>
      <c r="M16" s="51">
        <f t="shared" si="0"/>
        <v>0.27700000000000002</v>
      </c>
      <c r="N16" s="24">
        <v>0.52500000000000002</v>
      </c>
      <c r="O16" s="47">
        <f t="shared" si="5"/>
        <v>1.1669999999999985</v>
      </c>
      <c r="P16" s="48"/>
      <c r="Q16" s="47">
        <f t="shared" si="1"/>
        <v>441.43300000000028</v>
      </c>
      <c r="R16" s="165">
        <f t="shared" si="6"/>
        <v>29.233000000000001</v>
      </c>
      <c r="S16" s="160">
        <f>AI16</f>
        <v>32.85</v>
      </c>
      <c r="T16" s="88">
        <f>T14-AI16*M44</f>
        <v>67798.300000000047</v>
      </c>
      <c r="U16" s="80">
        <f>U14+432000</f>
        <v>2779342.1549999998</v>
      </c>
      <c r="V16" s="80"/>
      <c r="W16" s="87"/>
      <c r="X16" s="85"/>
      <c r="Y16" s="58"/>
      <c r="Z16" s="86">
        <f>Z14+349000</f>
        <v>2333645.67</v>
      </c>
      <c r="AA16" s="86"/>
      <c r="AB16" s="80"/>
      <c r="AC16" s="230"/>
      <c r="AD16" s="87">
        <v>0</v>
      </c>
      <c r="AE16" s="55"/>
      <c r="AF16" s="14"/>
      <c r="AG16" s="86">
        <v>0</v>
      </c>
      <c r="AH16" s="127" t="s">
        <v>43</v>
      </c>
      <c r="AI16" s="126">
        <v>32.85</v>
      </c>
      <c r="AJ16" s="103" t="s">
        <v>225</v>
      </c>
      <c r="AK16" s="91">
        <v>50883172</v>
      </c>
      <c r="AL16" s="239"/>
      <c r="AM16" s="21"/>
      <c r="AN16" s="21"/>
    </row>
    <row r="17" spans="1:40" s="1" customFormat="1" ht="13.2" customHeight="1" thickBot="1" x14ac:dyDescent="0.35">
      <c r="A17" s="52">
        <v>45059</v>
      </c>
      <c r="B17" s="28"/>
      <c r="C17" s="30"/>
      <c r="D17" s="186"/>
      <c r="E17" s="43">
        <f t="shared" si="2"/>
        <v>432.34600000000029</v>
      </c>
      <c r="F17" s="51">
        <f t="shared" si="3"/>
        <v>0</v>
      </c>
      <c r="G17" s="9"/>
      <c r="H17" s="10"/>
      <c r="I17" s="161">
        <f t="shared" si="4"/>
        <v>7.919999999999999</v>
      </c>
      <c r="J17" s="4"/>
      <c r="K17" s="5"/>
      <c r="L17" s="6"/>
      <c r="M17" s="51">
        <f t="shared" si="0"/>
        <v>0</v>
      </c>
      <c r="N17" s="24"/>
      <c r="O17" s="47">
        <f t="shared" si="5"/>
        <v>1.1669999999999985</v>
      </c>
      <c r="P17" s="49"/>
      <c r="Q17" s="47">
        <f t="shared" si="1"/>
        <v>441.43300000000028</v>
      </c>
      <c r="R17" s="165">
        <f t="shared" si="6"/>
        <v>0</v>
      </c>
      <c r="S17" s="160">
        <v>32.85</v>
      </c>
      <c r="T17" s="86"/>
      <c r="U17" s="80"/>
      <c r="V17" s="80"/>
      <c r="W17" s="87"/>
      <c r="X17" s="289"/>
      <c r="Y17" s="290"/>
      <c r="Z17" s="86"/>
      <c r="AA17" s="86"/>
      <c r="AB17" s="80"/>
      <c r="AC17" s="187"/>
      <c r="AD17" s="87">
        <v>0</v>
      </c>
      <c r="AE17" s="55"/>
      <c r="AF17" s="14"/>
      <c r="AG17" s="86">
        <v>0</v>
      </c>
      <c r="AH17" s="123"/>
      <c r="AI17" s="122"/>
      <c r="AJ17" s="21"/>
      <c r="AK17" s="91"/>
      <c r="AL17" s="130"/>
      <c r="AM17" s="99"/>
      <c r="AN17" s="27"/>
    </row>
    <row r="18" spans="1:40" ht="13.2" customHeight="1" thickBot="1" x14ac:dyDescent="0.35">
      <c r="A18" s="52">
        <v>45060</v>
      </c>
      <c r="B18" s="28"/>
      <c r="C18" s="30"/>
      <c r="D18" s="186"/>
      <c r="E18" s="43">
        <f t="shared" si="2"/>
        <v>432.34600000000029</v>
      </c>
      <c r="F18" s="51">
        <f t="shared" si="3"/>
        <v>0</v>
      </c>
      <c r="G18" s="9"/>
      <c r="H18" s="10"/>
      <c r="I18" s="161">
        <f t="shared" si="4"/>
        <v>7.919999999999999</v>
      </c>
      <c r="J18" s="8"/>
      <c r="K18" s="11"/>
      <c r="L18" s="12"/>
      <c r="M18" s="51">
        <f t="shared" si="0"/>
        <v>0</v>
      </c>
      <c r="N18" s="24"/>
      <c r="O18" s="47">
        <f t="shared" si="5"/>
        <v>1.1669999999999985</v>
      </c>
      <c r="P18" s="48"/>
      <c r="Q18" s="47">
        <f t="shared" si="1"/>
        <v>441.43300000000028</v>
      </c>
      <c r="R18" s="165">
        <f t="shared" si="6"/>
        <v>0</v>
      </c>
      <c r="S18" s="160">
        <v>32.85</v>
      </c>
      <c r="T18" s="86"/>
      <c r="U18" s="80"/>
      <c r="V18" s="80"/>
      <c r="W18" s="87"/>
      <c r="X18" s="289"/>
      <c r="Y18" s="290"/>
      <c r="Z18" s="86"/>
      <c r="AA18" s="86"/>
      <c r="AB18" s="80"/>
      <c r="AC18" s="187"/>
      <c r="AD18" s="87">
        <v>0</v>
      </c>
      <c r="AE18" s="55"/>
      <c r="AF18" s="14"/>
      <c r="AG18" s="86">
        <v>0</v>
      </c>
      <c r="AH18" s="128"/>
      <c r="AI18" s="120"/>
      <c r="AJ18" s="99"/>
      <c r="AK18" s="91"/>
      <c r="AL18" s="239"/>
      <c r="AM18" s="21"/>
      <c r="AN18" s="21"/>
    </row>
    <row r="19" spans="1:40" ht="13.2" customHeight="1" thickBot="1" x14ac:dyDescent="0.35">
      <c r="A19" s="7">
        <v>45061</v>
      </c>
      <c r="B19" s="28">
        <v>28.67</v>
      </c>
      <c r="C19" s="30">
        <v>2.161</v>
      </c>
      <c r="D19" s="186"/>
      <c r="E19" s="43">
        <f t="shared" si="2"/>
        <v>401.51500000000027</v>
      </c>
      <c r="F19" s="51">
        <f t="shared" si="3"/>
        <v>2.161</v>
      </c>
      <c r="G19" s="9">
        <f>3.381-H19</f>
        <v>2.59</v>
      </c>
      <c r="H19" s="10">
        <v>0.79100000000000004</v>
      </c>
      <c r="I19" s="161">
        <f t="shared" si="4"/>
        <v>6.6999999999999993</v>
      </c>
      <c r="J19" s="8"/>
      <c r="K19" s="11"/>
      <c r="L19" s="12"/>
      <c r="M19" s="51">
        <f t="shared" si="0"/>
        <v>0.79100000000000004</v>
      </c>
      <c r="N19" s="24">
        <v>0.317</v>
      </c>
      <c r="O19" s="47">
        <f t="shared" si="5"/>
        <v>1.6409999999999985</v>
      </c>
      <c r="P19" s="48"/>
      <c r="Q19" s="47">
        <f t="shared" si="1"/>
        <v>409.85600000000028</v>
      </c>
      <c r="R19" s="165">
        <f t="shared" si="6"/>
        <v>32.051000000000002</v>
      </c>
      <c r="S19" s="160">
        <v>32.85</v>
      </c>
      <c r="T19" s="86"/>
      <c r="U19" s="82"/>
      <c r="V19" s="288"/>
      <c r="W19" s="87"/>
      <c r="X19" s="289"/>
      <c r="Y19" s="290"/>
      <c r="Z19" s="86"/>
      <c r="AA19" s="86"/>
      <c r="AB19" s="80"/>
      <c r="AC19" s="79"/>
      <c r="AD19" s="87">
        <v>0</v>
      </c>
      <c r="AE19" s="55"/>
      <c r="AF19" s="14"/>
      <c r="AG19" s="86">
        <v>0</v>
      </c>
      <c r="AH19" s="128"/>
      <c r="AI19" s="120"/>
      <c r="AJ19" s="103"/>
      <c r="AK19" s="91"/>
      <c r="AL19" s="239"/>
      <c r="AM19" s="21"/>
      <c r="AN19" s="21"/>
    </row>
    <row r="20" spans="1:40" ht="13.2" customHeight="1" thickBot="1" x14ac:dyDescent="0.35">
      <c r="A20" s="7">
        <v>45062</v>
      </c>
      <c r="B20" s="28">
        <v>22.81</v>
      </c>
      <c r="C20" s="30">
        <v>2.23</v>
      </c>
      <c r="D20" s="186">
        <f>AI16</f>
        <v>32.85</v>
      </c>
      <c r="E20" s="43">
        <f t="shared" si="2"/>
        <v>409.32500000000027</v>
      </c>
      <c r="F20" s="51">
        <f t="shared" si="3"/>
        <v>2.23</v>
      </c>
      <c r="G20" s="9">
        <v>1.36</v>
      </c>
      <c r="H20" s="10"/>
      <c r="I20" s="161">
        <f t="shared" si="4"/>
        <v>7.5699999999999994</v>
      </c>
      <c r="J20" s="8"/>
      <c r="K20" s="11"/>
      <c r="L20" s="12"/>
      <c r="M20" s="51">
        <f t="shared" si="0"/>
        <v>0</v>
      </c>
      <c r="N20" s="24">
        <v>0.312</v>
      </c>
      <c r="O20" s="47">
        <f t="shared" si="5"/>
        <v>1.3289999999999984</v>
      </c>
      <c r="P20" s="48"/>
      <c r="Q20" s="47">
        <f t="shared" si="1"/>
        <v>418.22400000000027</v>
      </c>
      <c r="R20" s="165">
        <f t="shared" si="6"/>
        <v>24.169999999999998</v>
      </c>
      <c r="S20" s="160">
        <v>0</v>
      </c>
      <c r="T20" s="86"/>
      <c r="U20" s="82"/>
      <c r="V20" s="288"/>
      <c r="W20" s="87">
        <v>1950000</v>
      </c>
      <c r="X20" s="289"/>
      <c r="Y20" s="290"/>
      <c r="Z20" s="86"/>
      <c r="AA20" s="86"/>
      <c r="AB20" s="80"/>
      <c r="AC20" s="79"/>
      <c r="AD20" s="87">
        <v>0</v>
      </c>
      <c r="AE20" s="55"/>
      <c r="AF20" s="14"/>
      <c r="AG20" s="86">
        <v>0</v>
      </c>
      <c r="AH20" s="128"/>
      <c r="AI20" s="120"/>
      <c r="AJ20" s="103"/>
      <c r="AK20" s="91"/>
      <c r="AL20" s="21"/>
      <c r="AM20" s="21"/>
      <c r="AN20" s="21"/>
    </row>
    <row r="21" spans="1:40" ht="13.2" customHeight="1" thickBot="1" x14ac:dyDescent="0.35">
      <c r="A21" s="7">
        <v>45063</v>
      </c>
      <c r="B21" s="28">
        <v>5.83</v>
      </c>
      <c r="C21" s="28">
        <v>2.36</v>
      </c>
      <c r="D21" s="186">
        <v>19.399999999999999</v>
      </c>
      <c r="E21" s="43">
        <f t="shared" si="2"/>
        <v>420.53500000000025</v>
      </c>
      <c r="F21" s="51">
        <f t="shared" si="3"/>
        <v>2.36</v>
      </c>
      <c r="G21" s="9">
        <f>2.29-H21</f>
        <v>1.78</v>
      </c>
      <c r="H21" s="10">
        <v>0.51</v>
      </c>
      <c r="I21" s="161">
        <f t="shared" si="4"/>
        <v>7.6400000000000006</v>
      </c>
      <c r="J21" s="8"/>
      <c r="K21" s="11"/>
      <c r="L21" s="12"/>
      <c r="M21" s="51">
        <f t="shared" si="0"/>
        <v>0.51</v>
      </c>
      <c r="N21" s="24">
        <v>0.51400000000000001</v>
      </c>
      <c r="O21" s="47">
        <f t="shared" si="5"/>
        <v>1.3249999999999984</v>
      </c>
      <c r="P21" s="48"/>
      <c r="Q21" s="47">
        <f t="shared" si="1"/>
        <v>429.50000000000023</v>
      </c>
      <c r="R21" s="165">
        <f t="shared" si="6"/>
        <v>8.120000000000001</v>
      </c>
      <c r="S21" s="160">
        <f>AI21</f>
        <v>32.000999999999998</v>
      </c>
      <c r="T21" s="86"/>
      <c r="U21" s="227">
        <f>U16-AI21*M49</f>
        <v>2088216.5579999997</v>
      </c>
      <c r="V21" s="288"/>
      <c r="W21" s="314">
        <f>1950000-19.4*M51</f>
        <v>1571700</v>
      </c>
      <c r="X21" s="289"/>
      <c r="Y21" s="290"/>
      <c r="Z21" s="86"/>
      <c r="AA21" s="86"/>
      <c r="AB21" s="80"/>
      <c r="AC21" s="79"/>
      <c r="AD21" s="87">
        <v>0</v>
      </c>
      <c r="AE21" s="55"/>
      <c r="AF21" s="14"/>
      <c r="AG21" s="86">
        <v>0</v>
      </c>
      <c r="AH21" s="128" t="s">
        <v>48</v>
      </c>
      <c r="AI21" s="120">
        <v>32.000999999999998</v>
      </c>
      <c r="AJ21" s="103" t="s">
        <v>237</v>
      </c>
      <c r="AK21" s="91">
        <v>58214602</v>
      </c>
      <c r="AL21" s="21"/>
      <c r="AM21" s="21"/>
      <c r="AN21" s="21"/>
    </row>
    <row r="22" spans="1:40" ht="13.2" customHeight="1" thickBot="1" x14ac:dyDescent="0.35">
      <c r="A22" s="7">
        <v>45064</v>
      </c>
      <c r="B22" s="28">
        <v>18.02</v>
      </c>
      <c r="C22" s="146">
        <v>2.3639999999999999</v>
      </c>
      <c r="D22" s="186"/>
      <c r="E22" s="43">
        <f t="shared" si="2"/>
        <v>400.15100000000029</v>
      </c>
      <c r="F22" s="51">
        <f t="shared" si="3"/>
        <v>2.3639999999999999</v>
      </c>
      <c r="G22" s="9">
        <f>1.504-H22</f>
        <v>0.95</v>
      </c>
      <c r="H22" s="10">
        <v>0.55400000000000005</v>
      </c>
      <c r="I22" s="161">
        <f t="shared" si="4"/>
        <v>8.5000000000000018</v>
      </c>
      <c r="J22" s="8"/>
      <c r="K22" s="11"/>
      <c r="L22" s="12"/>
      <c r="M22" s="51">
        <f t="shared" si="0"/>
        <v>0.55400000000000005</v>
      </c>
      <c r="N22" s="24">
        <v>0.35499999999999998</v>
      </c>
      <c r="O22" s="47">
        <f t="shared" si="5"/>
        <v>1.5239999999999985</v>
      </c>
      <c r="P22" s="48"/>
      <c r="Q22" s="47">
        <f t="shared" si="1"/>
        <v>410.1750000000003</v>
      </c>
      <c r="R22" s="165">
        <f t="shared" si="6"/>
        <v>19.523999999999997</v>
      </c>
      <c r="S22" s="160">
        <f>AI21+AI22</f>
        <v>63.357999999999997</v>
      </c>
      <c r="T22" s="86"/>
      <c r="U22" s="227">
        <f>U21-AI22*M49</f>
        <v>1410999.4289999998</v>
      </c>
      <c r="V22" s="86"/>
      <c r="W22" s="87">
        <v>1571700</v>
      </c>
      <c r="X22" s="94"/>
      <c r="Y22" s="58"/>
      <c r="Z22" s="86"/>
      <c r="AA22" s="86"/>
      <c r="AB22" s="80"/>
      <c r="AC22" s="79"/>
      <c r="AD22" s="87">
        <v>0</v>
      </c>
      <c r="AE22" s="55"/>
      <c r="AF22" s="14"/>
      <c r="AG22" s="86">
        <v>0</v>
      </c>
      <c r="AH22" s="128" t="s">
        <v>48</v>
      </c>
      <c r="AI22" s="120">
        <v>31.356999999999999</v>
      </c>
      <c r="AJ22" s="103" t="s">
        <v>238</v>
      </c>
      <c r="AK22" s="91">
        <v>50818442</v>
      </c>
      <c r="AL22" s="21"/>
      <c r="AM22" s="21"/>
      <c r="AN22" s="21"/>
    </row>
    <row r="23" spans="1:40" ht="13.2" customHeight="1" thickBot="1" x14ac:dyDescent="0.35">
      <c r="A23" s="7">
        <v>45065</v>
      </c>
      <c r="B23" s="28">
        <v>22.2</v>
      </c>
      <c r="C23" s="30">
        <v>1.2969999999999999</v>
      </c>
      <c r="D23" s="186"/>
      <c r="E23" s="43">
        <f t="shared" si="2"/>
        <v>376.65400000000028</v>
      </c>
      <c r="F23" s="51">
        <f t="shared" si="3"/>
        <v>1.2969999999999999</v>
      </c>
      <c r="G23" s="9">
        <f>3.157-H23</f>
        <v>3.157</v>
      </c>
      <c r="H23" s="10"/>
      <c r="I23" s="161">
        <f t="shared" si="4"/>
        <v>6.6400000000000023</v>
      </c>
      <c r="J23" s="8"/>
      <c r="K23" s="11"/>
      <c r="L23" s="12"/>
      <c r="M23" s="51">
        <f t="shared" si="0"/>
        <v>0</v>
      </c>
      <c r="N23" s="24">
        <v>0.41099999999999998</v>
      </c>
      <c r="O23" s="47">
        <f t="shared" si="5"/>
        <v>1.1129999999999984</v>
      </c>
      <c r="P23" s="48"/>
      <c r="Q23" s="47">
        <f t="shared" si="1"/>
        <v>384.40700000000027</v>
      </c>
      <c r="R23" s="165">
        <f t="shared" si="6"/>
        <v>25.356999999999999</v>
      </c>
      <c r="S23" s="160">
        <v>63.357999999999997</v>
      </c>
      <c r="T23" s="86"/>
      <c r="U23" s="86"/>
      <c r="V23" s="86"/>
      <c r="W23" s="87">
        <v>1571700</v>
      </c>
      <c r="X23" s="94"/>
      <c r="Y23" s="58"/>
      <c r="Z23" s="86"/>
      <c r="AA23" s="86"/>
      <c r="AB23" s="80"/>
      <c r="AC23" s="79"/>
      <c r="AD23" s="87">
        <v>0</v>
      </c>
      <c r="AE23" s="55"/>
      <c r="AF23" s="14"/>
      <c r="AG23" s="86">
        <v>0</v>
      </c>
      <c r="AH23" s="128"/>
      <c r="AI23" s="120"/>
      <c r="AJ23" s="99"/>
      <c r="AK23" s="21"/>
      <c r="AL23" s="91"/>
      <c r="AM23" s="21"/>
      <c r="AN23" s="21"/>
    </row>
    <row r="24" spans="1:40" ht="13.2" customHeight="1" thickBot="1" x14ac:dyDescent="0.35">
      <c r="A24" s="52">
        <v>45066</v>
      </c>
      <c r="B24" s="28"/>
      <c r="C24" s="30"/>
      <c r="D24" s="186"/>
      <c r="E24" s="43">
        <f t="shared" si="2"/>
        <v>376.65400000000028</v>
      </c>
      <c r="F24" s="51">
        <f t="shared" si="3"/>
        <v>0</v>
      </c>
      <c r="G24" s="9"/>
      <c r="H24" s="10"/>
      <c r="I24" s="161">
        <f t="shared" si="4"/>
        <v>6.6400000000000023</v>
      </c>
      <c r="J24" s="8"/>
      <c r="K24" s="11"/>
      <c r="L24" s="12"/>
      <c r="M24" s="51">
        <f t="shared" si="0"/>
        <v>0</v>
      </c>
      <c r="N24" s="24"/>
      <c r="O24" s="47">
        <f t="shared" si="5"/>
        <v>1.1129999999999984</v>
      </c>
      <c r="P24" s="48"/>
      <c r="Q24" s="47">
        <f t="shared" si="1"/>
        <v>384.40700000000027</v>
      </c>
      <c r="R24" s="165">
        <f t="shared" si="6"/>
        <v>0</v>
      </c>
      <c r="S24" s="160">
        <v>63.357999999999997</v>
      </c>
      <c r="T24" s="86"/>
      <c r="U24" s="86"/>
      <c r="V24" s="86"/>
      <c r="W24" s="66">
        <v>1571700</v>
      </c>
      <c r="X24" s="94"/>
      <c r="Y24" s="58"/>
      <c r="Z24" s="86"/>
      <c r="AA24" s="86"/>
      <c r="AB24" s="80"/>
      <c r="AC24" s="79"/>
      <c r="AD24" s="87">
        <v>0</v>
      </c>
      <c r="AE24" s="55"/>
      <c r="AF24" s="14"/>
      <c r="AG24" s="86">
        <v>0</v>
      </c>
      <c r="AH24" s="128"/>
      <c r="AI24" s="120"/>
      <c r="AJ24" s="99"/>
      <c r="AK24" s="91"/>
      <c r="AL24" s="21"/>
      <c r="AM24" s="21"/>
      <c r="AN24" s="21"/>
    </row>
    <row r="25" spans="1:40" ht="13.2" customHeight="1" thickBot="1" x14ac:dyDescent="0.35">
      <c r="A25" s="52">
        <v>45067</v>
      </c>
      <c r="B25" s="28"/>
      <c r="C25" s="30"/>
      <c r="D25" s="186"/>
      <c r="E25" s="43">
        <f t="shared" si="2"/>
        <v>376.65400000000028</v>
      </c>
      <c r="F25" s="51">
        <f t="shared" si="3"/>
        <v>0</v>
      </c>
      <c r="G25" s="219"/>
      <c r="H25" s="10"/>
      <c r="I25" s="161">
        <f t="shared" si="4"/>
        <v>6.6400000000000023</v>
      </c>
      <c r="J25" s="8"/>
      <c r="K25" s="11"/>
      <c r="L25" s="12"/>
      <c r="M25" s="51">
        <f t="shared" si="0"/>
        <v>0</v>
      </c>
      <c r="N25" s="24"/>
      <c r="O25" s="47">
        <f t="shared" si="5"/>
        <v>1.1129999999999984</v>
      </c>
      <c r="P25" s="48"/>
      <c r="Q25" s="47">
        <f t="shared" si="1"/>
        <v>384.40700000000027</v>
      </c>
      <c r="R25" s="165">
        <f t="shared" si="6"/>
        <v>0</v>
      </c>
      <c r="S25" s="160">
        <v>63.357999999999997</v>
      </c>
      <c r="T25" s="86"/>
      <c r="U25" s="86"/>
      <c r="V25" s="86"/>
      <c r="W25" s="66">
        <v>1571700</v>
      </c>
      <c r="X25" s="94"/>
      <c r="Y25" s="58"/>
      <c r="Z25" s="86"/>
      <c r="AA25" s="58"/>
      <c r="AB25" s="86">
        <v>1047098.06</v>
      </c>
      <c r="AC25" s="79"/>
      <c r="AD25" s="87">
        <v>0</v>
      </c>
      <c r="AE25" s="55"/>
      <c r="AF25" s="14"/>
      <c r="AG25" s="86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7">
        <v>45068</v>
      </c>
      <c r="B26" s="28">
        <v>17.57</v>
      </c>
      <c r="C26" s="30">
        <v>2.1459999999999999</v>
      </c>
      <c r="D26" s="186">
        <f>20.92+22.32+20.18+18.42</f>
        <v>81.84</v>
      </c>
      <c r="E26" s="43">
        <f>E25+D26-B26-C26</f>
        <v>438.77800000000025</v>
      </c>
      <c r="F26" s="51">
        <f t="shared" si="3"/>
        <v>2.1459999999999999</v>
      </c>
      <c r="G26" s="9">
        <f>3.196-H26</f>
        <v>2.5640000000000001</v>
      </c>
      <c r="H26" s="10">
        <v>0.63200000000000001</v>
      </c>
      <c r="I26" s="161">
        <f t="shared" si="4"/>
        <v>5.5900000000000016</v>
      </c>
      <c r="J26" s="8"/>
      <c r="K26" s="11"/>
      <c r="L26" s="12"/>
      <c r="M26" s="51">
        <f t="shared" si="0"/>
        <v>0.63200000000000001</v>
      </c>
      <c r="N26" s="24">
        <v>0.30099999999999999</v>
      </c>
      <c r="O26" s="47">
        <f t="shared" si="5"/>
        <v>1.4439999999999984</v>
      </c>
      <c r="P26" s="48"/>
      <c r="Q26" s="47">
        <f t="shared" si="1"/>
        <v>445.81200000000024</v>
      </c>
      <c r="R26" s="165">
        <f t="shared" si="6"/>
        <v>20.766000000000002</v>
      </c>
      <c r="S26" s="160">
        <v>63.357999999999997</v>
      </c>
      <c r="T26" s="86"/>
      <c r="U26" s="86"/>
      <c r="V26" s="86"/>
      <c r="W26" s="153">
        <f>1571700-D26*M51</f>
        <v>-24180</v>
      </c>
      <c r="X26" s="94"/>
      <c r="Y26" s="58"/>
      <c r="Z26" s="86"/>
      <c r="AA26" s="86"/>
      <c r="AB26" s="80"/>
      <c r="AC26" s="79"/>
      <c r="AD26" s="87">
        <v>0</v>
      </c>
      <c r="AE26" s="55"/>
      <c r="AF26" s="14"/>
      <c r="AG26" s="86">
        <v>0</v>
      </c>
      <c r="AH26" s="127"/>
      <c r="AI26" s="126"/>
      <c r="AJ26" s="208"/>
      <c r="AK26" s="91"/>
      <c r="AL26" s="21"/>
      <c r="AM26" s="21"/>
      <c r="AN26" s="21"/>
    </row>
    <row r="27" spans="1:40" ht="13.2" customHeight="1" thickBot="1" x14ac:dyDescent="0.35">
      <c r="A27" s="7">
        <v>45069</v>
      </c>
      <c r="B27" s="28">
        <v>8.65</v>
      </c>
      <c r="C27" s="28">
        <v>3.3719999999999999</v>
      </c>
      <c r="D27" s="186"/>
      <c r="E27" s="43">
        <f>E26+D27-B27-C27</f>
        <v>426.75600000000026</v>
      </c>
      <c r="F27" s="51">
        <f t="shared" si="3"/>
        <v>3.3719999999999999</v>
      </c>
      <c r="G27" s="9">
        <f>1.442-H27</f>
        <v>0.6</v>
      </c>
      <c r="H27" s="10">
        <v>0.84199999999999997</v>
      </c>
      <c r="I27" s="161">
        <f t="shared" si="4"/>
        <v>7.5200000000000022</v>
      </c>
      <c r="J27" s="8"/>
      <c r="K27" s="11"/>
      <c r="L27" s="12"/>
      <c r="M27" s="51">
        <f t="shared" si="0"/>
        <v>0.84199999999999997</v>
      </c>
      <c r="N27" s="24">
        <v>0.51</v>
      </c>
      <c r="O27" s="47">
        <f t="shared" si="5"/>
        <v>1.7759999999999982</v>
      </c>
      <c r="P27" s="48"/>
      <c r="Q27" s="47">
        <f t="shared" si="1"/>
        <v>436.05200000000025</v>
      </c>
      <c r="R27" s="165">
        <f t="shared" si="6"/>
        <v>10.092000000000001</v>
      </c>
      <c r="S27" s="160">
        <v>63.357999999999997</v>
      </c>
      <c r="T27" s="86"/>
      <c r="U27" s="86"/>
      <c r="V27" s="87"/>
      <c r="W27" s="66">
        <v>0</v>
      </c>
      <c r="X27" s="94"/>
      <c r="Y27" s="58"/>
      <c r="Z27" s="86"/>
      <c r="AA27" s="86"/>
      <c r="AB27" s="129"/>
      <c r="AC27" s="79"/>
      <c r="AD27" s="87">
        <v>0</v>
      </c>
      <c r="AE27" s="55"/>
      <c r="AF27" s="14"/>
      <c r="AG27" s="86">
        <v>0</v>
      </c>
      <c r="AH27" s="127"/>
      <c r="AI27" s="126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7">
        <v>45070</v>
      </c>
      <c r="B28" s="28">
        <v>26.18</v>
      </c>
      <c r="C28" s="30">
        <v>7.3419999999999996</v>
      </c>
      <c r="D28" s="186">
        <f>AI21</f>
        <v>32.000999999999998</v>
      </c>
      <c r="E28" s="43">
        <f t="shared" si="2"/>
        <v>425.23500000000024</v>
      </c>
      <c r="F28" s="51">
        <f t="shared" si="3"/>
        <v>7.3419999999999996</v>
      </c>
      <c r="G28" s="9">
        <f>6.812-H28</f>
        <v>6.8120000000000003</v>
      </c>
      <c r="H28" s="10"/>
      <c r="I28" s="161">
        <f t="shared" si="4"/>
        <v>8.0500000000000007</v>
      </c>
      <c r="J28" s="8"/>
      <c r="K28" s="11"/>
      <c r="L28" s="12"/>
      <c r="M28" s="51">
        <f t="shared" si="0"/>
        <v>0</v>
      </c>
      <c r="N28" s="24">
        <v>0.315</v>
      </c>
      <c r="O28" s="47">
        <f t="shared" si="5"/>
        <v>1.4609999999999983</v>
      </c>
      <c r="P28" s="48"/>
      <c r="Q28" s="47">
        <f t="shared" si="1"/>
        <v>434.74600000000027</v>
      </c>
      <c r="R28" s="165">
        <f t="shared" si="6"/>
        <v>32.991999999999997</v>
      </c>
      <c r="S28" s="160">
        <f>AI22</f>
        <v>31.356999999999999</v>
      </c>
      <c r="T28" s="86"/>
      <c r="U28" s="86">
        <f>U22+2123000</f>
        <v>3533999.4289999995</v>
      </c>
      <c r="V28" s="87"/>
      <c r="W28" s="66">
        <v>0</v>
      </c>
      <c r="X28" s="94"/>
      <c r="Y28" s="58"/>
      <c r="Z28" s="86">
        <f>Z16+1415000</f>
        <v>3748645.67</v>
      </c>
      <c r="AA28" s="93"/>
      <c r="AB28" s="93"/>
      <c r="AC28" s="93"/>
      <c r="AD28" s="87">
        <v>0</v>
      </c>
      <c r="AE28" s="55"/>
      <c r="AF28" s="93"/>
      <c r="AG28" s="86">
        <v>0</v>
      </c>
      <c r="AH28" s="123"/>
      <c r="AI28" s="122"/>
      <c r="AJ28" s="99"/>
      <c r="AK28" s="91"/>
      <c r="AL28" s="21"/>
      <c r="AM28" s="21"/>
      <c r="AN28" s="21"/>
    </row>
    <row r="29" spans="1:40" ht="13.2" customHeight="1" outlineLevel="1" thickBot="1" x14ac:dyDescent="0.35">
      <c r="A29" s="7">
        <v>45071</v>
      </c>
      <c r="B29" s="28">
        <v>13.74</v>
      </c>
      <c r="C29" s="30">
        <v>1.931</v>
      </c>
      <c r="D29" s="186"/>
      <c r="E29" s="43">
        <f t="shared" si="2"/>
        <v>409.56400000000025</v>
      </c>
      <c r="F29" s="51">
        <f t="shared" si="3"/>
        <v>1.931</v>
      </c>
      <c r="G29" s="9">
        <f>2.371-H29</f>
        <v>1.6520000000000001</v>
      </c>
      <c r="H29" s="10">
        <v>0.71899999999999997</v>
      </c>
      <c r="I29" s="161">
        <f t="shared" si="4"/>
        <v>7.61</v>
      </c>
      <c r="J29" s="8"/>
      <c r="K29" s="11"/>
      <c r="L29" s="12"/>
      <c r="M29" s="51">
        <f t="shared" si="0"/>
        <v>0.71899999999999997</v>
      </c>
      <c r="N29" s="24">
        <v>0.34100000000000003</v>
      </c>
      <c r="O29" s="47">
        <f t="shared" si="5"/>
        <v>1.8389999999999984</v>
      </c>
      <c r="P29" s="48"/>
      <c r="Q29" s="47">
        <f t="shared" si="1"/>
        <v>419.01300000000026</v>
      </c>
      <c r="R29" s="165">
        <f t="shared" si="6"/>
        <v>16.111000000000001</v>
      </c>
      <c r="S29" s="160">
        <f>AI22+AI29</f>
        <v>64.655000000000001</v>
      </c>
      <c r="T29" s="86">
        <f>T16+1025000</f>
        <v>1092798.3</v>
      </c>
      <c r="U29" s="86"/>
      <c r="V29" s="294"/>
      <c r="W29" s="66">
        <v>0</v>
      </c>
      <c r="X29" s="189"/>
      <c r="Y29" s="295"/>
      <c r="Z29" s="107">
        <f>Z28-AI29*M47</f>
        <v>3029508.764</v>
      </c>
      <c r="AA29" s="86"/>
      <c r="AB29" s="129"/>
      <c r="AC29" s="79"/>
      <c r="AD29" s="87">
        <v>0</v>
      </c>
      <c r="AE29" s="56"/>
      <c r="AF29" s="14"/>
      <c r="AG29" s="86">
        <v>0</v>
      </c>
      <c r="AH29" s="123" t="s">
        <v>49</v>
      </c>
      <c r="AI29" s="122">
        <v>33.298000000000002</v>
      </c>
      <c r="AJ29" s="103" t="s">
        <v>244</v>
      </c>
      <c r="AK29" s="118">
        <v>50808260</v>
      </c>
      <c r="AL29" s="21"/>
      <c r="AM29" s="21"/>
      <c r="AN29" s="21"/>
    </row>
    <row r="30" spans="1:40" s="21" customFormat="1" ht="13.2" customHeight="1" outlineLevel="1" thickBot="1" x14ac:dyDescent="0.35">
      <c r="A30" s="7">
        <v>45072</v>
      </c>
      <c r="B30" s="28">
        <v>30.1</v>
      </c>
      <c r="C30" s="146">
        <v>2.88</v>
      </c>
      <c r="D30" s="186">
        <f>AI22</f>
        <v>31.356999999999999</v>
      </c>
      <c r="E30" s="43">
        <f t="shared" si="2"/>
        <v>407.94100000000026</v>
      </c>
      <c r="F30" s="51">
        <f t="shared" si="3"/>
        <v>2.88</v>
      </c>
      <c r="G30" s="30">
        <f>2.73-H30</f>
        <v>2.73</v>
      </c>
      <c r="H30" s="24"/>
      <c r="I30" s="161">
        <f t="shared" si="4"/>
        <v>7.76</v>
      </c>
      <c r="J30" s="28"/>
      <c r="K30" s="26"/>
      <c r="L30" s="53"/>
      <c r="M30" s="51">
        <f t="shared" si="0"/>
        <v>0</v>
      </c>
      <c r="N30" s="24">
        <v>0.27500000000000002</v>
      </c>
      <c r="O30" s="47">
        <f t="shared" si="5"/>
        <v>1.5639999999999983</v>
      </c>
      <c r="P30" s="54"/>
      <c r="Q30" s="47">
        <f t="shared" si="1"/>
        <v>417.26500000000027</v>
      </c>
      <c r="R30" s="165">
        <f t="shared" si="6"/>
        <v>32.83</v>
      </c>
      <c r="S30" s="160">
        <f>AI29+AI30</f>
        <v>94.82</v>
      </c>
      <c r="T30" s="86"/>
      <c r="U30" s="227">
        <f>U28-AI30*M49</f>
        <v>2205308.7949999995</v>
      </c>
      <c r="V30" s="87"/>
      <c r="W30" s="153">
        <v>0</v>
      </c>
      <c r="X30" s="94"/>
      <c r="Y30" s="58"/>
      <c r="Z30" s="86"/>
      <c r="AA30" s="86"/>
      <c r="AB30" s="129"/>
      <c r="AC30" s="79"/>
      <c r="AD30" s="87">
        <v>0</v>
      </c>
      <c r="AE30" s="191"/>
      <c r="AF30" s="14"/>
      <c r="AG30" s="86">
        <v>0</v>
      </c>
      <c r="AH30" s="128" t="s">
        <v>48</v>
      </c>
      <c r="AI30" s="120">
        <v>61.521999999999998</v>
      </c>
      <c r="AJ30" s="103" t="s">
        <v>246</v>
      </c>
      <c r="AK30" s="91" t="s">
        <v>247</v>
      </c>
    </row>
    <row r="31" spans="1:40" s="21" customFormat="1" ht="13.2" customHeight="1" outlineLevel="1" thickBot="1" x14ac:dyDescent="0.35">
      <c r="A31" s="52">
        <v>45073</v>
      </c>
      <c r="B31" s="28"/>
      <c r="C31" s="30"/>
      <c r="D31" s="186"/>
      <c r="E31" s="43">
        <f t="shared" si="2"/>
        <v>407.94100000000026</v>
      </c>
      <c r="F31" s="51">
        <f t="shared" si="3"/>
        <v>0</v>
      </c>
      <c r="G31" s="68"/>
      <c r="H31" s="69"/>
      <c r="I31" s="161">
        <f t="shared" si="4"/>
        <v>7.76</v>
      </c>
      <c r="J31" s="67"/>
      <c r="K31" s="70"/>
      <c r="L31" s="71"/>
      <c r="M31" s="51">
        <f t="shared" si="0"/>
        <v>0</v>
      </c>
      <c r="N31" s="24"/>
      <c r="O31" s="47">
        <f t="shared" si="5"/>
        <v>1.5639999999999983</v>
      </c>
      <c r="P31" s="72"/>
      <c r="Q31" s="47">
        <f t="shared" si="1"/>
        <v>417.26500000000027</v>
      </c>
      <c r="R31" s="165">
        <f t="shared" si="6"/>
        <v>0</v>
      </c>
      <c r="S31" s="160">
        <v>94.82</v>
      </c>
      <c r="T31" s="86"/>
      <c r="U31" s="86"/>
      <c r="V31" s="87"/>
      <c r="W31" s="153">
        <v>0</v>
      </c>
      <c r="X31" s="94"/>
      <c r="Y31" s="58"/>
      <c r="Z31" s="86"/>
      <c r="AA31" s="86"/>
      <c r="AB31" s="129"/>
      <c r="AC31" s="79"/>
      <c r="AD31" s="87"/>
      <c r="AE31" s="57"/>
      <c r="AF31" s="131"/>
      <c r="AG31" s="133"/>
      <c r="AH31" s="123" t="s">
        <v>49</v>
      </c>
      <c r="AI31" s="122">
        <v>32.930999999999997</v>
      </c>
      <c r="AJ31" s="103" t="s">
        <v>249</v>
      </c>
      <c r="AK31" s="102">
        <v>50814763</v>
      </c>
    </row>
    <row r="32" spans="1:40" ht="13.2" customHeight="1" outlineLevel="1" thickBot="1" x14ac:dyDescent="0.35">
      <c r="A32" s="52">
        <v>45074</v>
      </c>
      <c r="B32" s="28"/>
      <c r="C32" s="30"/>
      <c r="D32" s="186"/>
      <c r="E32" s="43">
        <f t="shared" si="2"/>
        <v>407.94100000000026</v>
      </c>
      <c r="F32" s="51">
        <f t="shared" si="3"/>
        <v>0</v>
      </c>
      <c r="G32" s="62"/>
      <c r="H32" s="62"/>
      <c r="I32" s="161">
        <f t="shared" si="4"/>
        <v>7.76</v>
      </c>
      <c r="J32" s="62"/>
      <c r="K32" s="64"/>
      <c r="L32" s="13"/>
      <c r="M32" s="51">
        <f t="shared" si="0"/>
        <v>0</v>
      </c>
      <c r="N32" s="24"/>
      <c r="O32" s="47">
        <f t="shared" si="5"/>
        <v>1.5639999999999983</v>
      </c>
      <c r="P32" s="65"/>
      <c r="Q32" s="47">
        <f t="shared" si="1"/>
        <v>417.26500000000027</v>
      </c>
      <c r="R32" s="165">
        <f t="shared" si="6"/>
        <v>0</v>
      </c>
      <c r="S32" s="160">
        <v>94.82</v>
      </c>
      <c r="T32" s="86"/>
      <c r="U32" s="86"/>
      <c r="V32" s="87"/>
      <c r="W32" s="153">
        <v>0</v>
      </c>
      <c r="X32" s="94"/>
      <c r="Y32" s="58"/>
      <c r="Z32" s="86"/>
      <c r="AA32" s="86"/>
      <c r="AB32" s="129"/>
      <c r="AC32" s="79"/>
      <c r="AD32" s="87"/>
      <c r="AE32" s="57"/>
      <c r="AF32" s="131"/>
      <c r="AG32" s="133"/>
      <c r="AH32" s="123" t="s">
        <v>49</v>
      </c>
      <c r="AI32" s="122">
        <v>36.747999999999998</v>
      </c>
      <c r="AJ32" s="103" t="s">
        <v>250</v>
      </c>
      <c r="AK32" s="99">
        <v>76631480</v>
      </c>
      <c r="AL32" s="21"/>
    </row>
    <row r="33" spans="1:38" ht="13.2" customHeight="1" outlineLevel="1" thickBot="1" x14ac:dyDescent="0.35">
      <c r="A33" s="7">
        <v>45075</v>
      </c>
      <c r="B33" s="62">
        <v>16.66</v>
      </c>
      <c r="C33" s="9">
        <v>0.997</v>
      </c>
      <c r="D33" s="186"/>
      <c r="E33" s="43">
        <f t="shared" si="2"/>
        <v>390.28400000000022</v>
      </c>
      <c r="F33" s="51">
        <f t="shared" si="3"/>
        <v>0.997</v>
      </c>
      <c r="G33" s="62">
        <f>0.927-H33</f>
        <v>0.57000000000000006</v>
      </c>
      <c r="H33" s="62">
        <v>0.35699999999999998</v>
      </c>
      <c r="I33" s="161">
        <f t="shared" si="4"/>
        <v>7.8299999999999992</v>
      </c>
      <c r="J33" s="62"/>
      <c r="K33" s="64"/>
      <c r="L33" s="13"/>
      <c r="M33" s="51">
        <f t="shared" si="0"/>
        <v>0.35699999999999998</v>
      </c>
      <c r="N33" s="24">
        <v>0.32700000000000001</v>
      </c>
      <c r="O33" s="47">
        <f t="shared" si="5"/>
        <v>1.5939999999999983</v>
      </c>
      <c r="P33" s="65"/>
      <c r="Q33" s="47">
        <f t="shared" si="1"/>
        <v>399.7080000000002</v>
      </c>
      <c r="R33" s="165">
        <f>B33+G33+H33+J33</f>
        <v>17.587</v>
      </c>
      <c r="S33" s="160">
        <f>AI29+AI30+AI31+AI32</f>
        <v>164.499</v>
      </c>
      <c r="T33" s="86"/>
      <c r="U33" s="86"/>
      <c r="V33" s="87"/>
      <c r="W33" s="153">
        <v>0</v>
      </c>
      <c r="X33" s="94"/>
      <c r="Y33" s="58"/>
      <c r="Z33" s="107">
        <f>Z29-(AI31+AI32)*M47</f>
        <v>1524651.4009999998</v>
      </c>
      <c r="AA33" s="86"/>
      <c r="AB33" s="80"/>
      <c r="AC33" s="79"/>
      <c r="AD33" s="87"/>
      <c r="AE33" s="57"/>
      <c r="AF33" s="131"/>
      <c r="AG33" s="133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7">
        <v>45076</v>
      </c>
      <c r="B34" s="62">
        <v>29.56</v>
      </c>
      <c r="C34" s="30">
        <v>3.1920000000000002</v>
      </c>
      <c r="D34" s="92"/>
      <c r="E34" s="43">
        <f t="shared" si="2"/>
        <v>357.53200000000021</v>
      </c>
      <c r="F34" s="51">
        <f t="shared" si="3"/>
        <v>3.1920000000000002</v>
      </c>
      <c r="G34" s="62">
        <f>4.752-H34</f>
        <v>4.41</v>
      </c>
      <c r="H34" s="62">
        <v>0.34200000000000003</v>
      </c>
      <c r="I34" s="161">
        <f t="shared" si="4"/>
        <v>6.2699999999999987</v>
      </c>
      <c r="J34" s="44"/>
      <c r="K34" s="44"/>
      <c r="L34" s="44"/>
      <c r="M34" s="63">
        <f t="shared" si="0"/>
        <v>0.34200000000000003</v>
      </c>
      <c r="N34" s="24">
        <v>0.32200000000000001</v>
      </c>
      <c r="O34" s="47">
        <f t="shared" si="5"/>
        <v>1.6139999999999983</v>
      </c>
      <c r="P34" s="65">
        <v>0</v>
      </c>
      <c r="Q34" s="47">
        <f t="shared" si="1"/>
        <v>365.41600000000017</v>
      </c>
      <c r="R34" s="165">
        <f t="shared" si="6"/>
        <v>34.311999999999998</v>
      </c>
      <c r="S34" s="160">
        <v>164.46899999999999</v>
      </c>
      <c r="T34" s="86"/>
      <c r="U34" s="86"/>
      <c r="V34" s="87"/>
      <c r="W34" s="153">
        <v>0</v>
      </c>
      <c r="X34" s="94"/>
      <c r="Y34" s="58"/>
      <c r="Z34" s="86"/>
      <c r="AA34" s="86"/>
      <c r="AB34" s="80"/>
      <c r="AC34" s="79"/>
      <c r="AD34" s="87"/>
      <c r="AE34" s="57"/>
      <c r="AF34" s="131"/>
      <c r="AG34" s="133"/>
      <c r="AH34" s="127"/>
      <c r="AI34" s="21"/>
      <c r="AJ34" s="103"/>
      <c r="AL34" s="21"/>
    </row>
    <row r="35" spans="1:38" ht="12" customHeight="1" outlineLevel="1" thickBot="1" x14ac:dyDescent="0.35">
      <c r="A35" s="7">
        <v>45077</v>
      </c>
      <c r="B35" s="108">
        <v>22.11</v>
      </c>
      <c r="C35" s="19">
        <v>1.3540000000000001</v>
      </c>
      <c r="D35" s="92"/>
      <c r="E35" s="73">
        <f t="shared" si="2"/>
        <v>334.06800000000021</v>
      </c>
      <c r="F35" s="100">
        <f t="shared" si="3"/>
        <v>1.3540000000000001</v>
      </c>
      <c r="G35" s="108">
        <f>2.614-H35</f>
        <v>1.88</v>
      </c>
      <c r="H35" s="108">
        <v>0.73399999999999999</v>
      </c>
      <c r="I35" s="161">
        <f t="shared" si="4"/>
        <v>5.0099999999999989</v>
      </c>
      <c r="J35" s="18"/>
      <c r="K35" s="74"/>
      <c r="L35" s="75"/>
      <c r="M35" s="109">
        <f t="shared" si="0"/>
        <v>0.73399999999999999</v>
      </c>
      <c r="N35" s="24">
        <v>0.39</v>
      </c>
      <c r="O35" s="50">
        <f>O34+M35-N35</f>
        <v>1.957999999999998</v>
      </c>
      <c r="P35" s="76"/>
      <c r="Q35" s="50">
        <f t="shared" si="1"/>
        <v>341.03600000000017</v>
      </c>
      <c r="R35" s="166">
        <f t="shared" si="6"/>
        <v>24.723999999999997</v>
      </c>
      <c r="S35" s="160">
        <v>164.46899999999999</v>
      </c>
      <c r="T35" s="86">
        <f>T29-21000</f>
        <v>1071798.3</v>
      </c>
      <c r="U35" s="86">
        <f>U30-0.01</f>
        <v>2205308.7849999997</v>
      </c>
      <c r="V35" s="87"/>
      <c r="W35" s="153">
        <v>0</v>
      </c>
      <c r="X35" s="94"/>
      <c r="Y35" s="58"/>
      <c r="Z35" s="86">
        <f>Z33</f>
        <v>1524651.4009999998</v>
      </c>
      <c r="AA35" s="86"/>
      <c r="AB35" s="80"/>
      <c r="AC35" s="79"/>
      <c r="AD35" s="87"/>
      <c r="AE35" s="57"/>
      <c r="AF35" s="131"/>
      <c r="AG35" s="133"/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421.75000000000006</v>
      </c>
      <c r="C36" s="37">
        <f>SUM(C5:C35)</f>
        <v>49.363</v>
      </c>
      <c r="D36" s="37">
        <f>SUM(D5:D35)</f>
        <v>362.63599999999997</v>
      </c>
      <c r="E36" s="115">
        <f>INDEX(E5:E35,COUNTA(E5:E35))-15</f>
        <v>319.06800000000021</v>
      </c>
      <c r="F36" s="37">
        <f>SUM(F5:F35)</f>
        <v>49.363</v>
      </c>
      <c r="G36" s="37">
        <f>SUM(G5:G35)</f>
        <v>43.541000000000004</v>
      </c>
      <c r="H36" s="37">
        <f>SUM(H5:H35)</f>
        <v>8.1819999999999986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8.1819999999999986</v>
      </c>
      <c r="N36" s="37">
        <f>SUM(N5:N35)</f>
        <v>7.4420000000000002</v>
      </c>
      <c r="O36" s="41"/>
      <c r="P36" s="40">
        <f>B36+G36+H36+J36</f>
        <v>473.47300000000007</v>
      </c>
      <c r="Q36" s="41"/>
      <c r="R36" s="167">
        <f>SUM(R5:R35)</f>
        <v>473.47299999999996</v>
      </c>
      <c r="S36" s="114">
        <f>INDEX(S5:S35,COUNTA(S5:S35))</f>
        <v>164.46899999999999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319.06800000000021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164.46899999999999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N52</f>
        <v>151.60195741881932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52" t="s">
        <v>35</v>
      </c>
      <c r="V41" s="652"/>
      <c r="W41" s="653"/>
      <c r="X41" s="654"/>
      <c r="Y41" s="173"/>
      <c r="Z41" s="144">
        <f>Z38+Z39+Z40</f>
        <v>635.13895741881947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s="1" customFormat="1" ht="16.2" customHeight="1" x14ac:dyDescent="0.3">
      <c r="C43" s="2"/>
      <c r="D43" s="98"/>
      <c r="E43" s="678" t="s">
        <v>18</v>
      </c>
      <c r="F43" s="679"/>
      <c r="G43" s="680"/>
      <c r="H43" s="667" t="s">
        <v>224</v>
      </c>
      <c r="I43" s="668"/>
      <c r="J43" s="301"/>
      <c r="K43" s="302"/>
      <c r="L43" s="303"/>
      <c r="M43" s="304">
        <v>22974</v>
      </c>
      <c r="N43" s="305"/>
      <c r="O43" s="300" t="s">
        <v>228</v>
      </c>
      <c r="P43" s="306"/>
      <c r="Q43" s="307" t="s">
        <v>208</v>
      </c>
      <c r="T43" s="250"/>
      <c r="U43" s="250"/>
      <c r="V43" s="251"/>
      <c r="W43" s="252"/>
      <c r="X43" s="253"/>
      <c r="Y43" s="253"/>
      <c r="Z43" s="254"/>
      <c r="AA43" s="255"/>
      <c r="AB43" s="255"/>
      <c r="AC43" s="255"/>
      <c r="AD43" s="255"/>
      <c r="AG43" s="256"/>
      <c r="AH43" s="257"/>
      <c r="AI43" s="256"/>
      <c r="AJ43" s="256"/>
      <c r="AK43" s="256"/>
      <c r="AL43" s="255"/>
    </row>
    <row r="44" spans="1:38" s="1" customFormat="1" ht="16.2" customHeight="1" x14ac:dyDescent="0.3">
      <c r="C44" s="2"/>
      <c r="D44" s="98"/>
      <c r="E44" s="681"/>
      <c r="F44" s="682"/>
      <c r="G44" s="683"/>
      <c r="H44" s="667" t="s">
        <v>226</v>
      </c>
      <c r="I44" s="668"/>
      <c r="J44" s="301"/>
      <c r="K44" s="302"/>
      <c r="L44" s="303"/>
      <c r="M44" s="304">
        <v>25674</v>
      </c>
      <c r="N44" s="305"/>
      <c r="O44" s="300"/>
      <c r="P44" s="306"/>
      <c r="Q44" s="307"/>
      <c r="R44" s="307" t="s">
        <v>209</v>
      </c>
      <c r="T44" s="250"/>
      <c r="U44" s="250"/>
      <c r="V44" s="251"/>
      <c r="W44" s="252"/>
      <c r="X44" s="253"/>
      <c r="Y44" s="253"/>
      <c r="Z44" s="254"/>
      <c r="AA44" s="255"/>
      <c r="AB44" s="255"/>
      <c r="AC44" s="255"/>
      <c r="AD44" s="255"/>
      <c r="AG44" s="256"/>
      <c r="AH44" s="257"/>
      <c r="AI44" s="256"/>
      <c r="AJ44" s="256"/>
      <c r="AK44" s="256"/>
      <c r="AL44" s="255"/>
    </row>
    <row r="45" spans="1:38" s="1" customFormat="1" ht="16.2" customHeight="1" x14ac:dyDescent="0.3">
      <c r="C45" s="2"/>
      <c r="D45" s="98"/>
      <c r="E45" s="684"/>
      <c r="F45" s="685"/>
      <c r="G45" s="686"/>
      <c r="H45" s="677" t="s">
        <v>227</v>
      </c>
      <c r="I45" s="644"/>
      <c r="J45" s="243"/>
      <c r="K45" s="244"/>
      <c r="L45" s="245"/>
      <c r="M45" s="284">
        <v>29274</v>
      </c>
      <c r="N45" s="305"/>
      <c r="O45" s="300"/>
      <c r="P45" s="306"/>
      <c r="Q45" s="307"/>
      <c r="R45" s="307"/>
      <c r="S45" s="311" t="s">
        <v>210</v>
      </c>
      <c r="T45" s="250"/>
      <c r="U45" s="250"/>
      <c r="V45" s="251"/>
      <c r="W45" s="252"/>
      <c r="X45" s="253"/>
      <c r="Y45" s="253"/>
      <c r="Z45" s="254"/>
      <c r="AA45" s="255"/>
      <c r="AB45" s="255"/>
      <c r="AC45" s="255"/>
      <c r="AD45" s="255"/>
      <c r="AG45" s="256"/>
      <c r="AH45" s="257"/>
      <c r="AI45" s="256"/>
      <c r="AJ45" s="256"/>
      <c r="AK45" s="256"/>
      <c r="AL45" s="255"/>
    </row>
    <row r="46" spans="1:38" s="315" customFormat="1" x14ac:dyDescent="0.3">
      <c r="D46" s="327"/>
      <c r="E46" s="672" t="s">
        <v>18</v>
      </c>
      <c r="F46" s="673"/>
      <c r="G46" s="674"/>
      <c r="H46" s="643" t="s">
        <v>231</v>
      </c>
      <c r="I46" s="675"/>
      <c r="J46" s="316"/>
      <c r="K46" s="317"/>
      <c r="L46" s="318"/>
      <c r="M46" s="286">
        <v>30654</v>
      </c>
      <c r="N46" s="328">
        <f>T29/M46</f>
        <v>35.649451947543554</v>
      </c>
      <c r="O46" s="248"/>
      <c r="P46" s="249"/>
      <c r="Q46" s="319" t="s">
        <v>232</v>
      </c>
      <c r="R46" s="319" t="s">
        <v>233</v>
      </c>
      <c r="S46" s="319" t="s">
        <v>234</v>
      </c>
      <c r="T46" s="319" t="s">
        <v>235</v>
      </c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8" ht="16.2" customHeight="1" x14ac:dyDescent="0.3">
      <c r="D47" s="211" t="s">
        <v>28</v>
      </c>
      <c r="E47" s="611" t="s">
        <v>60</v>
      </c>
      <c r="F47" s="611"/>
      <c r="G47" s="611"/>
      <c r="H47" s="667" t="s">
        <v>207</v>
      </c>
      <c r="I47" s="668"/>
      <c r="J47" s="301"/>
      <c r="K47" s="302"/>
      <c r="L47" s="303"/>
      <c r="M47" s="304">
        <f>12608+8989</f>
        <v>21597</v>
      </c>
      <c r="N47" s="305"/>
      <c r="O47" s="300" t="s">
        <v>29</v>
      </c>
      <c r="P47" s="309"/>
      <c r="Q47" s="307" t="s">
        <v>251</v>
      </c>
      <c r="R47" s="307" t="s">
        <v>252</v>
      </c>
      <c r="S47" s="307" t="s">
        <v>245</v>
      </c>
      <c r="T47" s="34"/>
      <c r="U47" s="34"/>
      <c r="V47" s="177"/>
      <c r="W47" s="178"/>
      <c r="X47" s="179"/>
      <c r="Y47" s="179"/>
      <c r="Z47" s="180"/>
      <c r="AA47" s="91"/>
      <c r="AB47" s="91"/>
      <c r="AC47" s="91"/>
      <c r="AD47" s="91"/>
      <c r="AI47" s="123"/>
      <c r="AJ47" s="123"/>
      <c r="AK47" s="123"/>
      <c r="AL47" s="91"/>
    </row>
    <row r="48" spans="1:38" s="315" customFormat="1" x14ac:dyDescent="0.3">
      <c r="D48" s="329" t="s">
        <v>28</v>
      </c>
      <c r="E48" s="676" t="s">
        <v>60</v>
      </c>
      <c r="F48" s="676"/>
      <c r="G48" s="676"/>
      <c r="H48" s="643" t="s">
        <v>231</v>
      </c>
      <c r="I48" s="675"/>
      <c r="J48" s="316"/>
      <c r="K48" s="317"/>
      <c r="L48" s="318"/>
      <c r="M48" s="286">
        <f>23179+8989</f>
        <v>32168</v>
      </c>
      <c r="N48" s="332">
        <f>Z33/M48</f>
        <v>47.396524527480722</v>
      </c>
      <c r="O48" s="248" t="s">
        <v>29</v>
      </c>
      <c r="P48" s="249"/>
      <c r="Q48" s="319" t="s">
        <v>232</v>
      </c>
      <c r="R48" s="319" t="s">
        <v>233</v>
      </c>
      <c r="S48" s="319" t="s">
        <v>243</v>
      </c>
      <c r="T48" s="319"/>
      <c r="U48" s="330"/>
      <c r="V48" s="320"/>
      <c r="W48" s="321"/>
      <c r="X48" s="322"/>
      <c r="Y48" s="322"/>
      <c r="Z48" s="323"/>
      <c r="AA48" s="324"/>
      <c r="AB48" s="324"/>
      <c r="AC48" s="324"/>
      <c r="AD48" s="324"/>
      <c r="AH48" s="326"/>
      <c r="AI48" s="325"/>
      <c r="AJ48" s="325"/>
      <c r="AK48" s="325"/>
      <c r="AL48" s="324"/>
    </row>
    <row r="49" spans="4:38" ht="16.2" customHeight="1" x14ac:dyDescent="0.3">
      <c r="D49" s="211" t="s">
        <v>21</v>
      </c>
      <c r="E49" s="611" t="s">
        <v>60</v>
      </c>
      <c r="F49" s="611"/>
      <c r="G49" s="611"/>
      <c r="H49" s="667" t="s">
        <v>207</v>
      </c>
      <c r="I49" s="668"/>
      <c r="J49" s="310"/>
      <c r="K49" s="302"/>
      <c r="L49" s="303"/>
      <c r="M49" s="304">
        <f>12608+8989</f>
        <v>21597</v>
      </c>
      <c r="N49" s="312"/>
      <c r="O49" s="300" t="s">
        <v>40</v>
      </c>
      <c r="P49" s="309"/>
      <c r="Q49" s="307" t="s">
        <v>208</v>
      </c>
      <c r="R49" s="307" t="s">
        <v>239</v>
      </c>
      <c r="S49" s="307" t="s">
        <v>248</v>
      </c>
      <c r="U49" s="163"/>
      <c r="V49" s="177"/>
      <c r="W49" s="178"/>
      <c r="X49" s="179"/>
      <c r="Y49" s="179"/>
      <c r="Z49" s="180"/>
      <c r="AA49" s="91"/>
      <c r="AB49" s="91"/>
      <c r="AC49" s="91"/>
      <c r="AD49" s="91"/>
      <c r="AI49" s="127"/>
      <c r="AJ49" s="103"/>
      <c r="AK49" s="103"/>
      <c r="AL49" s="91"/>
    </row>
    <row r="50" spans="4:38" s="315" customFormat="1" x14ac:dyDescent="0.3">
      <c r="D50" s="329" t="s">
        <v>21</v>
      </c>
      <c r="E50" s="676" t="s">
        <v>60</v>
      </c>
      <c r="F50" s="676"/>
      <c r="G50" s="676"/>
      <c r="H50" s="643" t="s">
        <v>231</v>
      </c>
      <c r="I50" s="675"/>
      <c r="J50" s="331"/>
      <c r="K50" s="317"/>
      <c r="L50" s="318"/>
      <c r="M50" s="286">
        <f>23179+8989</f>
        <v>32168</v>
      </c>
      <c r="N50" s="332">
        <f>U30/M50</f>
        <v>68.555980943795063</v>
      </c>
      <c r="O50" s="248" t="s">
        <v>40</v>
      </c>
      <c r="P50" s="249"/>
      <c r="Q50" s="319" t="s">
        <v>240</v>
      </c>
      <c r="R50" s="319" t="s">
        <v>242</v>
      </c>
      <c r="S50" s="319" t="s">
        <v>241</v>
      </c>
      <c r="T50" s="33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H50" s="326"/>
      <c r="AI50" s="325"/>
      <c r="AJ50" s="334"/>
      <c r="AK50" s="334"/>
      <c r="AL50" s="324"/>
    </row>
    <row r="51" spans="4:38" ht="16.2" customHeight="1" x14ac:dyDescent="0.3">
      <c r="D51" s="211"/>
      <c r="E51" s="669" t="s">
        <v>229</v>
      </c>
      <c r="F51" s="670"/>
      <c r="G51" s="671"/>
      <c r="H51" s="667" t="s">
        <v>236</v>
      </c>
      <c r="I51" s="668"/>
      <c r="J51" s="310"/>
      <c r="K51" s="302"/>
      <c r="L51" s="303"/>
      <c r="M51" s="304">
        <v>19500</v>
      </c>
      <c r="N51" s="312"/>
      <c r="O51" s="300" t="s">
        <v>230</v>
      </c>
      <c r="P51" s="309"/>
      <c r="Q51" s="307"/>
      <c r="R51" s="308"/>
      <c r="S51" s="308"/>
      <c r="T51" s="163"/>
      <c r="U51" s="163"/>
      <c r="V51" s="177"/>
      <c r="W51" s="178"/>
      <c r="X51" s="179"/>
      <c r="Y51" s="179"/>
      <c r="Z51" s="180"/>
      <c r="AA51" s="91"/>
      <c r="AB51" s="91"/>
      <c r="AC51" s="91"/>
      <c r="AD51" s="91"/>
      <c r="AI51" s="127"/>
      <c r="AJ51" s="103"/>
      <c r="AK51" s="103"/>
      <c r="AL51" s="91"/>
    </row>
    <row r="52" spans="4:38" ht="13.95" customHeight="1" thickBot="1" x14ac:dyDescent="0.35">
      <c r="E52" s="634"/>
      <c r="F52" s="635"/>
      <c r="G52" s="636"/>
      <c r="H52" s="637"/>
      <c r="I52" s="638"/>
      <c r="J52" s="141"/>
      <c r="K52" s="141"/>
      <c r="L52" s="142"/>
      <c r="M52" s="270" t="s">
        <v>33</v>
      </c>
      <c r="N52" s="313">
        <f>SUBTOTAL(109,N43:N51)</f>
        <v>151.60195741881932</v>
      </c>
      <c r="O52" s="150"/>
      <c r="T52" s="181"/>
      <c r="U52" s="181"/>
      <c r="V52" s="177"/>
      <c r="W52" s="178"/>
      <c r="X52" s="178"/>
      <c r="Y52" s="178"/>
      <c r="Z52" s="180"/>
      <c r="AA52" s="90"/>
      <c r="AB52" s="90"/>
      <c r="AC52" s="21"/>
      <c r="AD52" s="21"/>
    </row>
    <row r="53" spans="4:38" x14ac:dyDescent="0.3">
      <c r="E53" s="1" t="s">
        <v>116</v>
      </c>
      <c r="O53" s="139"/>
      <c r="V53" s="178"/>
      <c r="W53" s="178"/>
      <c r="X53" s="178"/>
      <c r="Y53" s="178"/>
      <c r="Z53" s="180"/>
      <c r="AA53" s="21"/>
      <c r="AB53" s="21"/>
      <c r="AC53" s="21"/>
      <c r="AD53" s="21"/>
    </row>
    <row r="54" spans="4:38" x14ac:dyDescent="0.3">
      <c r="E54" s="1" t="s">
        <v>57</v>
      </c>
      <c r="O54" s="1"/>
      <c r="P54" s="1"/>
      <c r="Q54" s="1"/>
      <c r="R54" s="224"/>
      <c r="V54" s="178"/>
      <c r="W54" s="178"/>
      <c r="X54" s="178"/>
      <c r="Y54" s="178"/>
      <c r="Z54" s="178"/>
      <c r="AA54" s="21"/>
      <c r="AB54" s="21"/>
      <c r="AC54" s="21"/>
      <c r="AD54" s="21"/>
    </row>
    <row r="55" spans="4:38" x14ac:dyDescent="0.3">
      <c r="E55" s="1" t="s">
        <v>64</v>
      </c>
    </row>
    <row r="56" spans="4:38" x14ac:dyDescent="0.3">
      <c r="E56" s="1" t="s">
        <v>58</v>
      </c>
      <c r="V56" s="175"/>
      <c r="W56" s="175"/>
      <c r="X56" s="175"/>
      <c r="Y56" s="175"/>
      <c r="Z56" s="175"/>
      <c r="AA56" s="21"/>
      <c r="AB56" s="21"/>
      <c r="AC56" s="21"/>
      <c r="AD56" s="21"/>
    </row>
    <row r="57" spans="4:38" x14ac:dyDescent="0.3">
      <c r="E57" s="1" t="s">
        <v>59</v>
      </c>
    </row>
    <row r="58" spans="4:38" x14ac:dyDescent="0.3">
      <c r="E58" s="1" t="s">
        <v>61</v>
      </c>
    </row>
  </sheetData>
  <mergeCells count="53">
    <mergeCell ref="M1:O3"/>
    <mergeCell ref="B2:C2"/>
    <mergeCell ref="D2:D3"/>
    <mergeCell ref="E2:E4"/>
    <mergeCell ref="B3:C3"/>
    <mergeCell ref="F3:F4"/>
    <mergeCell ref="G3:I3"/>
    <mergeCell ref="A1:A4"/>
    <mergeCell ref="B1:E1"/>
    <mergeCell ref="F1:I2"/>
    <mergeCell ref="J1:L3"/>
    <mergeCell ref="Z3:Z4"/>
    <mergeCell ref="T3:T4"/>
    <mergeCell ref="U3:U4"/>
    <mergeCell ref="V3:V4"/>
    <mergeCell ref="P1:P4"/>
    <mergeCell ref="W3:W4"/>
    <mergeCell ref="X3:X4"/>
    <mergeCell ref="Y3:Y4"/>
    <mergeCell ref="Q1:Q4"/>
    <mergeCell ref="R1:R4"/>
    <mergeCell ref="S1:S3"/>
    <mergeCell ref="T1:V2"/>
    <mergeCell ref="AF3:AF4"/>
    <mergeCell ref="AG3:AG4"/>
    <mergeCell ref="AA3:AA4"/>
    <mergeCell ref="AB3:AB4"/>
    <mergeCell ref="AC3:AC4"/>
    <mergeCell ref="AD3:AD4"/>
    <mergeCell ref="AE3:AE4"/>
    <mergeCell ref="E49:G49"/>
    <mergeCell ref="T38:V38"/>
    <mergeCell ref="T39:V39"/>
    <mergeCell ref="T40:V40"/>
    <mergeCell ref="U41:X41"/>
    <mergeCell ref="H49:I49"/>
    <mergeCell ref="H43:I43"/>
    <mergeCell ref="W1:AG2"/>
    <mergeCell ref="E52:G52"/>
    <mergeCell ref="H52:I52"/>
    <mergeCell ref="E47:G47"/>
    <mergeCell ref="H47:I47"/>
    <mergeCell ref="H44:I44"/>
    <mergeCell ref="E51:G51"/>
    <mergeCell ref="H51:I51"/>
    <mergeCell ref="E46:G46"/>
    <mergeCell ref="H46:I46"/>
    <mergeCell ref="H48:I48"/>
    <mergeCell ref="H50:I50"/>
    <mergeCell ref="E48:G48"/>
    <mergeCell ref="E50:G50"/>
    <mergeCell ref="H45:I45"/>
    <mergeCell ref="E43:G45"/>
  </mergeCells>
  <pageMargins left="0.7" right="0.17" top="0.72" bottom="0.34" header="0.77" footer="0.3"/>
  <pageSetup paperSize="9" scale="63" fitToWidth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workbookViewId="0">
      <pane ySplit="4" topLeftCell="A17" activePane="bottomLeft" state="frozen"/>
      <selection pane="bottomLeft" activeCell="U25" sqref="U25"/>
    </sheetView>
  </sheetViews>
  <sheetFormatPr defaultColWidth="9.109375" defaultRowHeight="14.4" outlineLevelRow="1" outlineLevelCol="1" x14ac:dyDescent="0.3"/>
  <cols>
    <col min="1" max="1" width="7.33203125" style="2" customWidth="1"/>
    <col min="2" max="2" width="6.33203125" style="2" customWidth="1"/>
    <col min="3" max="3" width="5.6640625" style="2" customWidth="1"/>
    <col min="4" max="4" width="8.109375" style="2" customWidth="1"/>
    <col min="5" max="5" width="6.6640625" style="35" customWidth="1"/>
    <col min="6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6.554687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1" width="11.5546875" style="20" customWidth="1"/>
    <col min="22" max="22" width="12.6640625" style="20" hidden="1" customWidth="1"/>
    <col min="23" max="23" width="11.6640625" style="20" hidden="1" customWidth="1"/>
    <col min="24" max="24" width="10.6640625" style="20" hidden="1" customWidth="1"/>
    <col min="25" max="25" width="12.6640625" style="20" hidden="1" customWidth="1"/>
    <col min="26" max="26" width="16.88671875" style="20" customWidth="1"/>
    <col min="27" max="29" width="9.6640625" style="2" hidden="1" customWidth="1"/>
    <col min="30" max="31" width="10.6640625" style="2" hidden="1" customWidth="1"/>
    <col min="32" max="32" width="0.109375" style="2" hidden="1" customWidth="1"/>
    <col min="33" max="33" width="1" style="2" hidden="1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253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45</v>
      </c>
      <c r="Y3" s="567"/>
      <c r="Z3" s="567" t="s">
        <v>160</v>
      </c>
      <c r="AA3" s="599" t="s">
        <v>30</v>
      </c>
      <c r="AB3" s="599" t="s">
        <v>37</v>
      </c>
      <c r="AC3" s="567"/>
      <c r="AD3" s="601" t="s">
        <v>14</v>
      </c>
      <c r="AE3" s="597" t="s">
        <v>63</v>
      </c>
      <c r="AF3" s="604" t="s">
        <v>16</v>
      </c>
      <c r="AG3" s="597" t="s">
        <v>19</v>
      </c>
    </row>
    <row r="4" spans="1:40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335" t="s">
        <v>10</v>
      </c>
      <c r="K4" s="336" t="s">
        <v>2</v>
      </c>
      <c r="L4" s="337" t="s">
        <v>9</v>
      </c>
      <c r="M4" s="335" t="s">
        <v>10</v>
      </c>
      <c r="N4" s="336" t="s">
        <v>2</v>
      </c>
      <c r="O4" s="337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45078</v>
      </c>
      <c r="B5" s="28">
        <v>20.18</v>
      </c>
      <c r="C5" s="30">
        <v>4.17</v>
      </c>
      <c r="D5" s="22"/>
      <c r="E5" s="42">
        <f>'05.2023'!E35-B5-C5+D5</f>
        <v>309.71800000000019</v>
      </c>
      <c r="F5" s="51">
        <f>C5</f>
        <v>4.17</v>
      </c>
      <c r="G5" s="9">
        <f>1.73</f>
        <v>1.73</v>
      </c>
      <c r="H5" s="10"/>
      <c r="I5" s="161">
        <f>'05.2023'!I35+F5-G5-H5</f>
        <v>7.4499999999999993</v>
      </c>
      <c r="J5" s="8"/>
      <c r="K5" s="11"/>
      <c r="L5" s="25"/>
      <c r="M5" s="51">
        <f t="shared" ref="M5:M35" si="0">H5</f>
        <v>0</v>
      </c>
      <c r="N5" s="24">
        <v>0.40699999999999997</v>
      </c>
      <c r="O5" s="47">
        <f>'05.2023'!O35+M5-N5</f>
        <v>1.5509999999999979</v>
      </c>
      <c r="P5" s="46">
        <v>0</v>
      </c>
      <c r="Q5" s="45">
        <f t="shared" ref="Q5:Q35" si="1">E5+I5+L5+O5</f>
        <v>318.71900000000016</v>
      </c>
      <c r="R5" s="165">
        <f>B5+G5+H5+J5</f>
        <v>21.91</v>
      </c>
      <c r="S5" s="159">
        <f>'05.2023'!S35</f>
        <v>164.46899999999999</v>
      </c>
      <c r="T5" s="58">
        <f>'05.2023'!T35</f>
        <v>1071798.3</v>
      </c>
      <c r="U5" s="58">
        <f>'05.2023'!U35</f>
        <v>2205308.7849999997</v>
      </c>
      <c r="V5" s="58">
        <f>'05.2023'!V35</f>
        <v>0</v>
      </c>
      <c r="W5" s="58">
        <f>'05.2023'!W35</f>
        <v>0</v>
      </c>
      <c r="X5" s="58">
        <f>'05.2023'!X35</f>
        <v>0</v>
      </c>
      <c r="Y5" s="58">
        <f>'05.2023'!Y35</f>
        <v>0</v>
      </c>
      <c r="Z5" s="58">
        <f>'05.2023'!Z35</f>
        <v>1524651.4009999998</v>
      </c>
      <c r="AA5" s="58" t="e">
        <f>#REF!</f>
        <v>#REF!</v>
      </c>
      <c r="AB5" s="58" t="e">
        <f>#REF!</f>
        <v>#REF!</v>
      </c>
      <c r="AC5" s="58" t="e">
        <f>#REF!</f>
        <v>#REF!</v>
      </c>
      <c r="AD5" s="58" t="e">
        <f>#REF!</f>
        <v>#REF!</v>
      </c>
      <c r="AE5" s="58" t="e">
        <f>#REF!</f>
        <v>#REF!</v>
      </c>
      <c r="AF5" s="58" t="e">
        <f>#REF!</f>
        <v>#REF!</v>
      </c>
      <c r="AG5" s="58"/>
      <c r="AH5" s="128" t="s">
        <v>48</v>
      </c>
      <c r="AI5" s="120">
        <f>34.082+31.103</f>
        <v>65.185000000000002</v>
      </c>
      <c r="AJ5" s="349" t="s">
        <v>254</v>
      </c>
      <c r="AK5" s="229" t="s">
        <v>255</v>
      </c>
      <c r="AL5" s="21"/>
      <c r="AM5" s="21"/>
    </row>
    <row r="6" spans="1:40" ht="13.2" customHeight="1" thickBot="1" x14ac:dyDescent="0.35">
      <c r="A6" s="7">
        <v>45079</v>
      </c>
      <c r="B6" s="28">
        <v>30.05</v>
      </c>
      <c r="C6" s="30">
        <v>1.627</v>
      </c>
      <c r="D6" s="22">
        <f>'05.2023'!AI29</f>
        <v>33.298000000000002</v>
      </c>
      <c r="E6" s="43">
        <f t="shared" ref="E6:E35" si="2">E5+D6-B6-C6</f>
        <v>311.33900000000017</v>
      </c>
      <c r="F6" s="51">
        <f t="shared" ref="F6:F35" si="3">C6</f>
        <v>1.627</v>
      </c>
      <c r="G6" s="9">
        <f>3.517-H6</f>
        <v>2.9619999999999997</v>
      </c>
      <c r="H6" s="10">
        <v>0.55500000000000005</v>
      </c>
      <c r="I6" s="161">
        <f t="shared" ref="I6:I34" si="4">I5+F6-G6-H6</f>
        <v>5.5600000000000005</v>
      </c>
      <c r="J6" s="8"/>
      <c r="K6" s="11"/>
      <c r="L6" s="12"/>
      <c r="M6" s="51">
        <f t="shared" si="0"/>
        <v>0.55500000000000005</v>
      </c>
      <c r="N6" s="24">
        <v>0.42399999999999999</v>
      </c>
      <c r="O6" s="47">
        <f t="shared" ref="O6:O34" si="5">O5+M6-N6</f>
        <v>1.6819999999999982</v>
      </c>
      <c r="P6" s="48"/>
      <c r="Q6" s="47">
        <f t="shared" si="1"/>
        <v>318.58100000000019</v>
      </c>
      <c r="R6" s="165">
        <f t="shared" ref="R6:R35" si="6">B6+G6+H6+J6</f>
        <v>33.567</v>
      </c>
      <c r="S6" s="159">
        <f>'05.2023'!AI30+'05.2023'!AI31+'05.2023'!AI32+AI5+AI6</f>
        <v>228.56399999999999</v>
      </c>
      <c r="T6" s="58">
        <f>T5</f>
        <v>1071798.3</v>
      </c>
      <c r="U6" s="157">
        <f>U5-AI5*M49</f>
        <v>210126.3049999997</v>
      </c>
      <c r="V6" s="58"/>
      <c r="W6" s="87"/>
      <c r="X6" s="58"/>
      <c r="Y6" s="107"/>
      <c r="Z6" s="107">
        <f>Z5-AI6*M47</f>
        <v>539747.17699999991</v>
      </c>
      <c r="AA6" s="58">
        <v>0</v>
      </c>
      <c r="AB6" s="58">
        <v>0</v>
      </c>
      <c r="AC6" s="58">
        <v>0</v>
      </c>
      <c r="AD6" s="58">
        <v>76674</v>
      </c>
      <c r="AE6" s="58">
        <v>0</v>
      </c>
      <c r="AF6" s="58">
        <v>0</v>
      </c>
      <c r="AG6" s="58"/>
      <c r="AH6" s="123" t="s">
        <v>49</v>
      </c>
      <c r="AI6" s="122">
        <v>32.177999999999997</v>
      </c>
      <c r="AJ6" s="349" t="s">
        <v>257</v>
      </c>
      <c r="AK6" s="2">
        <v>50856913</v>
      </c>
      <c r="AM6" s="21"/>
    </row>
    <row r="7" spans="1:40" ht="13.2" customHeight="1" thickBot="1" x14ac:dyDescent="0.35">
      <c r="A7" s="3">
        <v>45080</v>
      </c>
      <c r="B7" s="28"/>
      <c r="C7" s="30"/>
      <c r="D7" s="186"/>
      <c r="E7" s="43">
        <f t="shared" si="2"/>
        <v>311.33900000000017</v>
      </c>
      <c r="F7" s="51">
        <f t="shared" si="3"/>
        <v>0</v>
      </c>
      <c r="G7" s="9"/>
      <c r="H7" s="10"/>
      <c r="I7" s="161">
        <f t="shared" si="4"/>
        <v>5.5600000000000005</v>
      </c>
      <c r="J7" s="8"/>
      <c r="K7" s="11"/>
      <c r="L7" s="12"/>
      <c r="M7" s="51">
        <f t="shared" si="0"/>
        <v>0</v>
      </c>
      <c r="N7" s="24"/>
      <c r="O7" s="47">
        <f t="shared" si="5"/>
        <v>1.6819999999999982</v>
      </c>
      <c r="P7" s="48"/>
      <c r="Q7" s="47">
        <f t="shared" si="1"/>
        <v>318.58100000000019</v>
      </c>
      <c r="R7" s="165">
        <f t="shared" si="6"/>
        <v>0</v>
      </c>
      <c r="S7" s="159">
        <v>228.56399999999999</v>
      </c>
      <c r="T7" s="58">
        <f>T6</f>
        <v>1071798.3</v>
      </c>
      <c r="U7" s="58">
        <f>U6+1409000</f>
        <v>1619126.3049999997</v>
      </c>
      <c r="V7" s="58"/>
      <c r="W7" s="87"/>
      <c r="X7" s="58"/>
      <c r="Y7" s="58"/>
      <c r="Z7" s="87">
        <f>Z6+1042000</f>
        <v>1581747.1769999999</v>
      </c>
      <c r="AA7" s="58">
        <v>0</v>
      </c>
      <c r="AB7" s="58">
        <v>0</v>
      </c>
      <c r="AC7" s="58">
        <v>0</v>
      </c>
      <c r="AD7" s="58">
        <v>76674</v>
      </c>
      <c r="AE7" s="58">
        <v>0</v>
      </c>
      <c r="AF7" s="58">
        <v>0</v>
      </c>
      <c r="AG7" s="58"/>
      <c r="AH7" s="128"/>
      <c r="AI7" s="120"/>
      <c r="AJ7" s="99"/>
      <c r="AL7" s="21"/>
      <c r="AM7" s="21"/>
    </row>
    <row r="8" spans="1:40" ht="12.75" customHeight="1" thickBot="1" x14ac:dyDescent="0.35">
      <c r="A8" s="3">
        <v>45081</v>
      </c>
      <c r="B8" s="28"/>
      <c r="C8" s="30"/>
      <c r="D8" s="186"/>
      <c r="E8" s="43">
        <f t="shared" si="2"/>
        <v>311.33900000000017</v>
      </c>
      <c r="F8" s="51">
        <f t="shared" si="3"/>
        <v>0</v>
      </c>
      <c r="G8" s="9"/>
      <c r="H8" s="10"/>
      <c r="I8" s="161">
        <f t="shared" si="4"/>
        <v>5.5600000000000005</v>
      </c>
      <c r="J8" s="8"/>
      <c r="K8" s="11"/>
      <c r="L8" s="12"/>
      <c r="M8" s="51">
        <f t="shared" si="0"/>
        <v>0</v>
      </c>
      <c r="N8" s="24"/>
      <c r="O8" s="47">
        <f t="shared" si="5"/>
        <v>1.6819999999999982</v>
      </c>
      <c r="P8" s="48"/>
      <c r="Q8" s="47">
        <f t="shared" si="1"/>
        <v>318.58100000000019</v>
      </c>
      <c r="R8" s="165">
        <f t="shared" si="6"/>
        <v>0</v>
      </c>
      <c r="S8" s="159">
        <v>228.56399999999999</v>
      </c>
      <c r="T8" s="58">
        <f>T7</f>
        <v>1071798.3</v>
      </c>
      <c r="U8" s="86">
        <v>1517437.7049999996</v>
      </c>
      <c r="V8" s="86"/>
      <c r="W8" s="87"/>
      <c r="X8" s="58"/>
      <c r="Y8" s="58"/>
      <c r="Z8" s="87">
        <v>1531549.497</v>
      </c>
      <c r="AA8" s="58">
        <v>0</v>
      </c>
      <c r="AB8" s="58">
        <v>0</v>
      </c>
      <c r="AC8" s="58">
        <v>0</v>
      </c>
      <c r="AD8" s="58">
        <v>76674</v>
      </c>
      <c r="AE8" s="58">
        <v>0</v>
      </c>
      <c r="AF8" s="58">
        <v>0</v>
      </c>
      <c r="AG8" s="58"/>
      <c r="AH8" s="127"/>
      <c r="AI8" s="126"/>
      <c r="AJ8" s="99"/>
      <c r="AK8" s="91"/>
      <c r="AL8" s="239"/>
      <c r="AM8" s="21"/>
    </row>
    <row r="9" spans="1:40" ht="13.2" customHeight="1" thickBot="1" x14ac:dyDescent="0.35">
      <c r="A9" s="7">
        <v>45082</v>
      </c>
      <c r="B9" s="28">
        <v>24.49</v>
      </c>
      <c r="C9" s="30">
        <v>4.05</v>
      </c>
      <c r="D9" s="186">
        <f>'05.2023'!AI30</f>
        <v>61.521999999999998</v>
      </c>
      <c r="E9" s="43">
        <f t="shared" si="2"/>
        <v>344.32100000000014</v>
      </c>
      <c r="F9" s="51">
        <f t="shared" si="3"/>
        <v>4.05</v>
      </c>
      <c r="G9" s="9">
        <f>2.97-H9</f>
        <v>2.4300000000000002</v>
      </c>
      <c r="H9" s="10">
        <v>0.54</v>
      </c>
      <c r="I9" s="161">
        <f t="shared" si="4"/>
        <v>6.64</v>
      </c>
      <c r="J9" s="8"/>
      <c r="K9" s="11"/>
      <c r="L9" s="12"/>
      <c r="M9" s="51">
        <f t="shared" si="0"/>
        <v>0.54</v>
      </c>
      <c r="N9" s="24">
        <v>0.22600000000000001</v>
      </c>
      <c r="O9" s="47">
        <f t="shared" si="5"/>
        <v>1.9959999999999982</v>
      </c>
      <c r="P9" s="48"/>
      <c r="Q9" s="47">
        <f t="shared" si="1"/>
        <v>352.95700000000011</v>
      </c>
      <c r="R9" s="165">
        <f t="shared" si="6"/>
        <v>27.459999999999997</v>
      </c>
      <c r="S9" s="159">
        <f>'05.2023'!AI31+'05.2023'!AI32+AI5+AI6</f>
        <v>167.042</v>
      </c>
      <c r="T9" s="58">
        <f>T8+908000</f>
        <v>1979798.3</v>
      </c>
      <c r="U9" s="86">
        <v>1517437.7049999996</v>
      </c>
      <c r="V9" s="86"/>
      <c r="W9" s="87"/>
      <c r="X9" s="58"/>
      <c r="Y9" s="58"/>
      <c r="Z9" s="87">
        <v>1531549.497</v>
      </c>
      <c r="AA9" s="87">
        <v>0</v>
      </c>
      <c r="AB9" s="80">
        <v>0</v>
      </c>
      <c r="AC9" s="230">
        <v>0</v>
      </c>
      <c r="AD9" s="87">
        <v>76674</v>
      </c>
      <c r="AE9" s="55">
        <v>0</v>
      </c>
      <c r="AF9" s="14">
        <v>0</v>
      </c>
      <c r="AG9" s="58"/>
      <c r="AH9" s="128"/>
      <c r="AI9" s="120"/>
      <c r="AJ9" s="99"/>
      <c r="AK9" s="91"/>
      <c r="AL9" s="99"/>
      <c r="AM9" s="21"/>
      <c r="AN9" s="21"/>
    </row>
    <row r="10" spans="1:40" s="1" customFormat="1" ht="13.2" customHeight="1" thickBot="1" x14ac:dyDescent="0.35">
      <c r="A10" s="7">
        <v>45083</v>
      </c>
      <c r="B10" s="28">
        <v>15.57</v>
      </c>
      <c r="C10" s="30">
        <v>0.90200000000000002</v>
      </c>
      <c r="D10" s="186">
        <f>'05.2023'!AI32</f>
        <v>36.747999999999998</v>
      </c>
      <c r="E10" s="43">
        <f t="shared" si="2"/>
        <v>364.59700000000015</v>
      </c>
      <c r="F10" s="51">
        <f t="shared" si="3"/>
        <v>0.90200000000000002</v>
      </c>
      <c r="G10" s="30">
        <f>0.542</f>
        <v>0.54200000000000004</v>
      </c>
      <c r="H10" s="10"/>
      <c r="I10" s="161">
        <f t="shared" si="4"/>
        <v>7</v>
      </c>
      <c r="J10" s="8"/>
      <c r="K10" s="11"/>
      <c r="L10" s="12"/>
      <c r="M10" s="51">
        <f t="shared" si="0"/>
        <v>0</v>
      </c>
      <c r="N10" s="24">
        <v>0.25600000000000001</v>
      </c>
      <c r="O10" s="47">
        <f t="shared" si="5"/>
        <v>1.7399999999999982</v>
      </c>
      <c r="P10" s="48"/>
      <c r="Q10" s="47">
        <f t="shared" si="1"/>
        <v>373.33700000000016</v>
      </c>
      <c r="R10" s="165">
        <f t="shared" si="6"/>
        <v>16.112000000000002</v>
      </c>
      <c r="S10" s="159">
        <f>'05.2023'!AI31+'06.2023'!AI5+'06.2023'!AI6+AI10</f>
        <v>161.34399999999999</v>
      </c>
      <c r="T10" s="88">
        <f>T9-AI10*M43</f>
        <v>1027991.6</v>
      </c>
      <c r="U10" s="86">
        <v>1517437.7049999996</v>
      </c>
      <c r="V10" s="212"/>
      <c r="W10" s="87"/>
      <c r="X10" s="79"/>
      <c r="Y10" s="58"/>
      <c r="Z10" s="87">
        <v>1531549.497</v>
      </c>
      <c r="AA10" s="87"/>
      <c r="AB10" s="80"/>
      <c r="AC10" s="187"/>
      <c r="AD10" s="87">
        <v>0</v>
      </c>
      <c r="AE10" s="55"/>
      <c r="AF10" s="136"/>
      <c r="AG10" s="58">
        <v>0</v>
      </c>
      <c r="AH10" s="127" t="s">
        <v>43</v>
      </c>
      <c r="AI10" s="126">
        <v>31.05</v>
      </c>
      <c r="AJ10" s="349" t="s">
        <v>258</v>
      </c>
      <c r="AK10" s="91">
        <v>57898587</v>
      </c>
      <c r="AL10" s="239"/>
      <c r="AM10" s="27"/>
      <c r="AN10" s="27"/>
    </row>
    <row r="11" spans="1:40" ht="13.2" customHeight="1" thickBot="1" x14ac:dyDescent="0.35">
      <c r="A11" s="7">
        <v>45084</v>
      </c>
      <c r="B11" s="28">
        <v>26.14</v>
      </c>
      <c r="C11" s="30">
        <v>1.02</v>
      </c>
      <c r="D11" s="186"/>
      <c r="E11" s="43">
        <f>E10+D11-B11-C11</f>
        <v>337.43700000000018</v>
      </c>
      <c r="F11" s="51">
        <f t="shared" si="3"/>
        <v>1.02</v>
      </c>
      <c r="G11" s="9">
        <f>2.44-H11</f>
        <v>1.92</v>
      </c>
      <c r="H11" s="10">
        <v>0.52</v>
      </c>
      <c r="I11" s="161">
        <f t="shared" si="4"/>
        <v>5.58</v>
      </c>
      <c r="J11" s="8"/>
      <c r="K11" s="11"/>
      <c r="L11" s="12"/>
      <c r="M11" s="51">
        <f t="shared" si="0"/>
        <v>0.52</v>
      </c>
      <c r="N11" s="24">
        <v>0.255</v>
      </c>
      <c r="O11" s="47">
        <f t="shared" si="5"/>
        <v>2.0049999999999981</v>
      </c>
      <c r="P11" s="48"/>
      <c r="Q11" s="47">
        <f t="shared" si="1"/>
        <v>345.02200000000016</v>
      </c>
      <c r="R11" s="165">
        <f>B11+G11+H11+J11</f>
        <v>28.580000000000002</v>
      </c>
      <c r="S11" s="160">
        <v>161.34399999999999</v>
      </c>
      <c r="T11" s="86">
        <v>1027991.6</v>
      </c>
      <c r="U11" s="86">
        <v>1517437.7049999996</v>
      </c>
      <c r="V11" s="212"/>
      <c r="W11" s="87"/>
      <c r="X11" s="79"/>
      <c r="Y11" s="58"/>
      <c r="Z11" s="87">
        <v>1531549.497</v>
      </c>
      <c r="AA11" s="87"/>
      <c r="AB11" s="80"/>
      <c r="AC11" s="230"/>
      <c r="AD11" s="87">
        <v>0</v>
      </c>
      <c r="AE11" s="55"/>
      <c r="AF11" s="14"/>
      <c r="AG11" s="86">
        <v>0</v>
      </c>
      <c r="AH11" s="127" t="s">
        <v>43</v>
      </c>
      <c r="AI11" s="126">
        <v>34.1</v>
      </c>
      <c r="AJ11" s="103" t="s">
        <v>263</v>
      </c>
      <c r="AK11" s="91">
        <v>58224254</v>
      </c>
      <c r="AL11" s="21"/>
      <c r="AM11" s="21"/>
      <c r="AN11" s="21"/>
    </row>
    <row r="12" spans="1:40" ht="13.2" customHeight="1" thickBot="1" x14ac:dyDescent="0.35">
      <c r="A12" s="7">
        <v>45085</v>
      </c>
      <c r="B12" s="28">
        <v>14.05</v>
      </c>
      <c r="C12" s="30">
        <v>1.8360000000000001</v>
      </c>
      <c r="D12" s="186"/>
      <c r="E12" s="43">
        <f>E11+D12-B12-C12</f>
        <v>321.55100000000016</v>
      </c>
      <c r="F12" s="51">
        <f t="shared" si="3"/>
        <v>1.8360000000000001</v>
      </c>
      <c r="G12" s="30">
        <f>0.326</f>
        <v>0.32600000000000001</v>
      </c>
      <c r="H12" s="24"/>
      <c r="I12" s="161">
        <f t="shared" si="4"/>
        <v>7.0900000000000007</v>
      </c>
      <c r="J12" s="8"/>
      <c r="K12" s="11"/>
      <c r="L12" s="12"/>
      <c r="M12" s="51">
        <f t="shared" si="0"/>
        <v>0</v>
      </c>
      <c r="N12" s="24">
        <v>0.28599999999999998</v>
      </c>
      <c r="O12" s="47">
        <f t="shared" si="5"/>
        <v>1.7189999999999981</v>
      </c>
      <c r="P12" s="48"/>
      <c r="Q12" s="47">
        <f t="shared" si="1"/>
        <v>330.36000000000013</v>
      </c>
      <c r="R12" s="165">
        <f>B12+G12+H12+J12</f>
        <v>14.376000000000001</v>
      </c>
      <c r="S12" s="160">
        <v>161.34399999999999</v>
      </c>
      <c r="T12" s="86">
        <v>1027991.6</v>
      </c>
      <c r="U12" s="86">
        <v>1517437.7049999996</v>
      </c>
      <c r="V12" s="212"/>
      <c r="W12" s="87"/>
      <c r="X12" s="79"/>
      <c r="Y12" s="58"/>
      <c r="Z12" s="87">
        <v>1531549.497</v>
      </c>
      <c r="AA12" s="86"/>
      <c r="AB12" s="80"/>
      <c r="AC12" s="187"/>
      <c r="AD12" s="87">
        <v>0</v>
      </c>
      <c r="AE12" s="55"/>
      <c r="AF12" s="14"/>
      <c r="AG12" s="86">
        <v>0</v>
      </c>
      <c r="AH12" s="123" t="s">
        <v>49</v>
      </c>
      <c r="AI12" s="122">
        <v>32.497</v>
      </c>
      <c r="AJ12" s="103" t="s">
        <v>264</v>
      </c>
      <c r="AK12" s="117">
        <v>50854967</v>
      </c>
      <c r="AL12" s="21"/>
      <c r="AM12" s="21"/>
      <c r="AN12" s="21"/>
    </row>
    <row r="13" spans="1:40" ht="13.2" customHeight="1" thickBot="1" x14ac:dyDescent="0.35">
      <c r="A13" s="7">
        <v>45086</v>
      </c>
      <c r="B13" s="28">
        <v>38.020000000000003</v>
      </c>
      <c r="C13" s="30">
        <v>2.355</v>
      </c>
      <c r="D13" s="186"/>
      <c r="E13" s="43">
        <f t="shared" si="2"/>
        <v>281.17600000000016</v>
      </c>
      <c r="F13" s="51">
        <f t="shared" si="3"/>
        <v>2.355</v>
      </c>
      <c r="G13" s="9">
        <f>4.405-H13</f>
        <v>3.9600000000000004</v>
      </c>
      <c r="H13" s="10">
        <v>0.44500000000000001</v>
      </c>
      <c r="I13" s="161">
        <f t="shared" si="4"/>
        <v>5.0399999999999991</v>
      </c>
      <c r="J13" s="8"/>
      <c r="K13" s="26"/>
      <c r="L13" s="12"/>
      <c r="M13" s="51">
        <f t="shared" si="0"/>
        <v>0.44500000000000001</v>
      </c>
      <c r="N13" s="24">
        <v>0.25700000000000001</v>
      </c>
      <c r="O13" s="47">
        <f t="shared" si="5"/>
        <v>1.9069999999999978</v>
      </c>
      <c r="P13" s="48"/>
      <c r="Q13" s="47">
        <f t="shared" si="1"/>
        <v>288.12300000000016</v>
      </c>
      <c r="R13" s="165">
        <f t="shared" si="6"/>
        <v>42.425000000000004</v>
      </c>
      <c r="S13" s="160">
        <f>S12</f>
        <v>161.34399999999999</v>
      </c>
      <c r="T13" s="86">
        <v>1027991.6</v>
      </c>
      <c r="U13" s="86">
        <v>1517437.71</v>
      </c>
      <c r="V13" s="212"/>
      <c r="W13" s="87"/>
      <c r="X13" s="79"/>
      <c r="Y13" s="58"/>
      <c r="Z13" s="87">
        <v>1531549.5</v>
      </c>
      <c r="AA13" s="86"/>
      <c r="AB13" s="80"/>
      <c r="AC13" s="187"/>
      <c r="AD13" s="87">
        <v>0</v>
      </c>
      <c r="AE13" s="55"/>
      <c r="AF13" s="14"/>
      <c r="AG13" s="86">
        <v>0</v>
      </c>
      <c r="AH13" s="128" t="s">
        <v>48</v>
      </c>
      <c r="AI13" s="120">
        <v>62.905999999999999</v>
      </c>
      <c r="AJ13" s="103" t="s">
        <v>265</v>
      </c>
      <c r="AK13" s="91" t="s">
        <v>266</v>
      </c>
      <c r="AL13" s="135"/>
      <c r="AM13" s="21"/>
      <c r="AN13" s="21"/>
    </row>
    <row r="14" spans="1:40" ht="13.2" customHeight="1" thickBot="1" x14ac:dyDescent="0.35">
      <c r="A14" s="3">
        <v>45087</v>
      </c>
      <c r="B14" s="28"/>
      <c r="C14" s="30"/>
      <c r="D14" s="186"/>
      <c r="E14" s="43">
        <f t="shared" si="2"/>
        <v>281.17600000000016</v>
      </c>
      <c r="F14" s="51">
        <f t="shared" si="3"/>
        <v>0</v>
      </c>
      <c r="G14" s="30"/>
      <c r="H14" s="24"/>
      <c r="I14" s="161">
        <f t="shared" si="4"/>
        <v>5.0399999999999991</v>
      </c>
      <c r="J14" s="8"/>
      <c r="K14" s="11"/>
      <c r="L14" s="12"/>
      <c r="M14" s="51">
        <f t="shared" si="0"/>
        <v>0</v>
      </c>
      <c r="N14" s="24"/>
      <c r="O14" s="47">
        <f t="shared" si="5"/>
        <v>1.9069999999999978</v>
      </c>
      <c r="P14" s="48"/>
      <c r="Q14" s="47">
        <f t="shared" si="1"/>
        <v>288.12300000000016</v>
      </c>
      <c r="R14" s="165">
        <f t="shared" si="6"/>
        <v>0</v>
      </c>
      <c r="S14" s="160">
        <f>S13</f>
        <v>161.34399999999999</v>
      </c>
      <c r="T14" s="86">
        <v>1027991.6</v>
      </c>
      <c r="U14" s="86">
        <v>1517437.71</v>
      </c>
      <c r="V14" s="212"/>
      <c r="W14" s="87"/>
      <c r="X14" s="79"/>
      <c r="Y14" s="58"/>
      <c r="Z14" s="87">
        <v>1531549.5</v>
      </c>
      <c r="AA14" s="86"/>
      <c r="AB14" s="80"/>
      <c r="AC14" s="190"/>
      <c r="AD14" s="87">
        <v>0</v>
      </c>
      <c r="AE14" s="55"/>
      <c r="AF14" s="14"/>
      <c r="AG14" s="86">
        <v>0</v>
      </c>
      <c r="AH14" s="123" t="s">
        <v>49</v>
      </c>
      <c r="AI14" s="122">
        <v>33.994</v>
      </c>
      <c r="AJ14" s="208" t="s">
        <v>267</v>
      </c>
      <c r="AK14" s="91">
        <v>50893882</v>
      </c>
      <c r="AL14" s="239"/>
      <c r="AM14" s="21"/>
      <c r="AN14" s="21"/>
    </row>
    <row r="15" spans="1:40" ht="13.2" customHeight="1" thickBot="1" x14ac:dyDescent="0.35">
      <c r="A15" s="3">
        <v>45088</v>
      </c>
      <c r="B15" s="28"/>
      <c r="C15" s="30"/>
      <c r="D15" s="353">
        <v>98.116</v>
      </c>
      <c r="E15" s="43">
        <f t="shared" si="2"/>
        <v>379.29200000000014</v>
      </c>
      <c r="F15" s="51">
        <f t="shared" si="3"/>
        <v>0</v>
      </c>
      <c r="G15" s="9"/>
      <c r="H15" s="10"/>
      <c r="I15" s="161">
        <f t="shared" si="4"/>
        <v>5.0399999999999991</v>
      </c>
      <c r="J15" s="8"/>
      <c r="K15" s="11"/>
      <c r="L15" s="12"/>
      <c r="M15" s="51">
        <f>H15</f>
        <v>0</v>
      </c>
      <c r="N15" s="24"/>
      <c r="O15" s="47">
        <f t="shared" si="5"/>
        <v>1.9069999999999978</v>
      </c>
      <c r="P15" s="48"/>
      <c r="Q15" s="47">
        <f t="shared" si="1"/>
        <v>386.23900000000015</v>
      </c>
      <c r="R15" s="165">
        <f t="shared" si="6"/>
        <v>0</v>
      </c>
      <c r="S15" s="354">
        <f>S13-D15+32.497</f>
        <v>95.724999999999994</v>
      </c>
      <c r="T15" s="86">
        <v>1027991.6</v>
      </c>
      <c r="U15" s="86">
        <v>1517437.71</v>
      </c>
      <c r="V15" s="212"/>
      <c r="W15" s="87"/>
      <c r="X15" s="79"/>
      <c r="Y15" s="58"/>
      <c r="Z15" s="87">
        <f>Z14-AI12*M47</f>
        <v>536881.32400000002</v>
      </c>
      <c r="AA15" s="86"/>
      <c r="AB15" s="80"/>
      <c r="AC15" s="79"/>
      <c r="AD15" s="87">
        <v>0</v>
      </c>
      <c r="AE15" s="55"/>
      <c r="AF15" s="14"/>
      <c r="AG15" s="86">
        <v>0</v>
      </c>
      <c r="AH15" s="127" t="s">
        <v>43</v>
      </c>
      <c r="AI15" s="126">
        <v>37.25</v>
      </c>
      <c r="AJ15" s="103" t="s">
        <v>268</v>
      </c>
      <c r="AK15" s="91">
        <v>57752008</v>
      </c>
      <c r="AL15" s="239"/>
      <c r="AM15" s="21"/>
      <c r="AN15" s="21"/>
    </row>
    <row r="16" spans="1:40" ht="13.2" customHeight="1" thickBot="1" x14ac:dyDescent="0.35">
      <c r="A16" s="3">
        <v>45089</v>
      </c>
      <c r="B16" s="28"/>
      <c r="C16" s="30"/>
      <c r="D16" s="186"/>
      <c r="E16" s="43">
        <f t="shared" si="2"/>
        <v>379.29200000000014</v>
      </c>
      <c r="F16" s="51">
        <f t="shared" si="3"/>
        <v>0</v>
      </c>
      <c r="G16" s="9"/>
      <c r="H16" s="10"/>
      <c r="I16" s="161">
        <f t="shared" si="4"/>
        <v>5.0399999999999991</v>
      </c>
      <c r="J16" s="8"/>
      <c r="K16" s="11"/>
      <c r="L16" s="12"/>
      <c r="M16" s="51">
        <f t="shared" si="0"/>
        <v>0</v>
      </c>
      <c r="N16" s="24"/>
      <c r="O16" s="47">
        <f t="shared" si="5"/>
        <v>1.9069999999999978</v>
      </c>
      <c r="P16" s="48"/>
      <c r="Q16" s="47">
        <f t="shared" si="1"/>
        <v>386.23900000000015</v>
      </c>
      <c r="R16" s="165">
        <f t="shared" si="6"/>
        <v>0</v>
      </c>
      <c r="S16" s="160">
        <f>95.725+AI11</f>
        <v>129.82499999999999</v>
      </c>
      <c r="T16" s="88">
        <f>T10-AI11*M44</f>
        <v>19518.199999999953</v>
      </c>
      <c r="U16" s="86">
        <v>1517437.71</v>
      </c>
      <c r="V16" s="80"/>
      <c r="W16" s="87"/>
      <c r="X16" s="85"/>
      <c r="Y16" s="58"/>
      <c r="Z16" s="87">
        <v>536881.31999999995</v>
      </c>
      <c r="AA16" s="86"/>
      <c r="AB16" s="80"/>
      <c r="AC16" s="230"/>
      <c r="AD16" s="87">
        <v>0</v>
      </c>
      <c r="AE16" s="55"/>
      <c r="AF16" s="14"/>
      <c r="AG16" s="86">
        <v>0</v>
      </c>
      <c r="AH16" s="128" t="s">
        <v>48</v>
      </c>
      <c r="AI16" s="120">
        <v>31.748000000000001</v>
      </c>
      <c r="AJ16" s="103" t="s">
        <v>269</v>
      </c>
      <c r="AK16" s="91">
        <v>50886720</v>
      </c>
      <c r="AL16" s="239"/>
      <c r="AM16" s="21"/>
      <c r="AN16" s="21"/>
    </row>
    <row r="17" spans="1:40" s="1" customFormat="1" ht="13.2" customHeight="1" thickBot="1" x14ac:dyDescent="0.35">
      <c r="A17" s="7">
        <v>45090</v>
      </c>
      <c r="B17" s="28">
        <v>30.55</v>
      </c>
      <c r="C17" s="30">
        <v>2.3319999999999999</v>
      </c>
      <c r="D17" s="186">
        <v>32.177999999999997</v>
      </c>
      <c r="E17" s="43">
        <f t="shared" si="2"/>
        <v>378.58800000000014</v>
      </c>
      <c r="F17" s="51">
        <f t="shared" si="3"/>
        <v>2.3319999999999999</v>
      </c>
      <c r="G17" s="9">
        <f>1.222-H17</f>
        <v>0.81200000000000006</v>
      </c>
      <c r="H17" s="10">
        <v>0.41</v>
      </c>
      <c r="I17" s="161">
        <f t="shared" si="4"/>
        <v>6.1499999999999986</v>
      </c>
      <c r="J17" s="4"/>
      <c r="K17" s="5"/>
      <c r="L17" s="6"/>
      <c r="M17" s="51">
        <v>0.41</v>
      </c>
      <c r="N17" s="24">
        <v>0.56999999999999995</v>
      </c>
      <c r="O17" s="47">
        <f t="shared" si="5"/>
        <v>1.7469999999999981</v>
      </c>
      <c r="P17" s="49"/>
      <c r="Q17" s="47">
        <f t="shared" si="1"/>
        <v>386.48500000000013</v>
      </c>
      <c r="R17" s="165">
        <f t="shared" si="6"/>
        <v>31.772000000000002</v>
      </c>
      <c r="S17" s="160">
        <f>129.825-D17+AI13</f>
        <v>160.553</v>
      </c>
      <c r="T17" s="86">
        <f>T16+996000</f>
        <v>1015518.2</v>
      </c>
      <c r="U17" s="86">
        <f>1517437.71-AI13*M49+1513000</f>
        <v>1105010.862</v>
      </c>
      <c r="V17" s="80"/>
      <c r="W17" s="87"/>
      <c r="X17" s="289"/>
      <c r="Y17" s="290"/>
      <c r="Z17" s="87">
        <f>536881.32+566000</f>
        <v>1102881.3199999998</v>
      </c>
      <c r="AA17" s="86"/>
      <c r="AB17" s="80"/>
      <c r="AC17" s="187"/>
      <c r="AD17" s="87">
        <v>0</v>
      </c>
      <c r="AE17" s="55"/>
      <c r="AF17" s="14"/>
      <c r="AG17" s="86">
        <v>0</v>
      </c>
      <c r="AH17" s="123"/>
      <c r="AI17" s="122"/>
      <c r="AJ17" s="21"/>
      <c r="AK17" s="91"/>
      <c r="AL17" s="130"/>
      <c r="AM17" s="99"/>
      <c r="AN17" s="27"/>
    </row>
    <row r="18" spans="1:40" ht="13.2" customHeight="1" thickBot="1" x14ac:dyDescent="0.35">
      <c r="A18" s="7">
        <v>45091</v>
      </c>
      <c r="B18" s="28">
        <v>8.5299999999999994</v>
      </c>
      <c r="C18" s="30">
        <v>4.0590000000000002</v>
      </c>
      <c r="D18" s="186"/>
      <c r="E18" s="43">
        <f t="shared" si="2"/>
        <v>365.99900000000014</v>
      </c>
      <c r="F18" s="51">
        <f t="shared" si="3"/>
        <v>4.0590000000000002</v>
      </c>
      <c r="G18" s="9">
        <f>2.859-0.464</f>
        <v>2.395</v>
      </c>
      <c r="H18" s="10">
        <v>0.46400000000000002</v>
      </c>
      <c r="I18" s="161">
        <f t="shared" si="4"/>
        <v>7.35</v>
      </c>
      <c r="J18" s="8"/>
      <c r="K18" s="11"/>
      <c r="L18" s="12"/>
      <c r="M18" s="51">
        <f t="shared" si="0"/>
        <v>0.46400000000000002</v>
      </c>
      <c r="N18" s="24">
        <v>0.376</v>
      </c>
      <c r="O18" s="47">
        <f t="shared" si="5"/>
        <v>1.8349999999999982</v>
      </c>
      <c r="P18" s="48"/>
      <c r="Q18" s="47">
        <f t="shared" si="1"/>
        <v>375.18400000000014</v>
      </c>
      <c r="R18" s="165">
        <f t="shared" si="6"/>
        <v>11.388999999999999</v>
      </c>
      <c r="S18" s="160">
        <v>160.553</v>
      </c>
      <c r="T18" s="86">
        <v>1015518.2</v>
      </c>
      <c r="U18" s="86">
        <v>1105010.8600000001</v>
      </c>
      <c r="V18" s="80"/>
      <c r="W18" s="87"/>
      <c r="X18" s="289"/>
      <c r="Y18" s="290"/>
      <c r="Z18" s="87">
        <v>1102881.32</v>
      </c>
      <c r="AA18" s="86"/>
      <c r="AB18" s="80"/>
      <c r="AC18" s="187"/>
      <c r="AD18" s="87">
        <v>0</v>
      </c>
      <c r="AE18" s="55"/>
      <c r="AF18" s="14"/>
      <c r="AG18" s="86">
        <v>0</v>
      </c>
      <c r="AH18" s="128"/>
      <c r="AI18" s="120"/>
      <c r="AJ18" s="99"/>
      <c r="AK18" s="91"/>
      <c r="AL18" s="239"/>
      <c r="AM18" s="21"/>
      <c r="AN18" s="21"/>
    </row>
    <row r="19" spans="1:40" ht="13.2" customHeight="1" thickBot="1" x14ac:dyDescent="0.35">
      <c r="A19" s="7">
        <v>45092</v>
      </c>
      <c r="B19" s="28">
        <v>7.26</v>
      </c>
      <c r="C19" s="30">
        <v>6.52</v>
      </c>
      <c r="D19" s="186"/>
      <c r="E19" s="43">
        <f t="shared" si="2"/>
        <v>352.21900000000016</v>
      </c>
      <c r="F19" s="51">
        <f t="shared" si="3"/>
        <v>6.52</v>
      </c>
      <c r="G19" s="9">
        <v>7.97</v>
      </c>
      <c r="H19" s="10">
        <v>0</v>
      </c>
      <c r="I19" s="161">
        <f t="shared" si="4"/>
        <v>5.8999999999999995</v>
      </c>
      <c r="J19" s="8"/>
      <c r="K19" s="11"/>
      <c r="L19" s="12"/>
      <c r="M19" s="51">
        <f t="shared" si="0"/>
        <v>0</v>
      </c>
      <c r="N19" s="24">
        <v>0.318</v>
      </c>
      <c r="O19" s="47">
        <f t="shared" si="5"/>
        <v>1.5169999999999981</v>
      </c>
      <c r="P19" s="48"/>
      <c r="Q19" s="47">
        <f t="shared" si="1"/>
        <v>359.63600000000014</v>
      </c>
      <c r="R19" s="165">
        <f t="shared" si="6"/>
        <v>15.23</v>
      </c>
      <c r="S19" s="160">
        <v>160.553</v>
      </c>
      <c r="T19" s="86">
        <v>1015518.2</v>
      </c>
      <c r="U19" s="86">
        <v>1105010.8600000001</v>
      </c>
      <c r="V19" s="288"/>
      <c r="W19" s="87"/>
      <c r="X19" s="289"/>
      <c r="Y19" s="290"/>
      <c r="Z19" s="87">
        <v>1102881.32</v>
      </c>
      <c r="AA19" s="86"/>
      <c r="AB19" s="80"/>
      <c r="AC19" s="79"/>
      <c r="AD19" s="87">
        <v>0</v>
      </c>
      <c r="AE19" s="55"/>
      <c r="AF19" s="14"/>
      <c r="AG19" s="86">
        <v>0</v>
      </c>
      <c r="AH19" s="128"/>
      <c r="AI19" s="120"/>
      <c r="AJ19" s="103"/>
      <c r="AK19" s="91"/>
      <c r="AL19" s="239"/>
      <c r="AM19" s="21"/>
      <c r="AN19" s="21"/>
    </row>
    <row r="20" spans="1:40" ht="13.2" customHeight="1" thickBot="1" x14ac:dyDescent="0.35">
      <c r="A20" s="7">
        <v>45093</v>
      </c>
      <c r="B20" s="28">
        <v>27.88</v>
      </c>
      <c r="C20" s="30">
        <v>2.0569999999999999</v>
      </c>
      <c r="D20" s="186">
        <v>31.05</v>
      </c>
      <c r="E20" s="43">
        <f t="shared" si="2"/>
        <v>353.33200000000016</v>
      </c>
      <c r="F20" s="51">
        <f t="shared" si="3"/>
        <v>2.0569999999999999</v>
      </c>
      <c r="G20" s="9">
        <f>1.707-H20</f>
        <v>0.9900000000000001</v>
      </c>
      <c r="H20" s="10">
        <v>0.71699999999999997</v>
      </c>
      <c r="I20" s="161">
        <f t="shared" si="4"/>
        <v>6.2499999999999991</v>
      </c>
      <c r="J20" s="8"/>
      <c r="K20" s="11"/>
      <c r="L20" s="12"/>
      <c r="M20" s="51">
        <f t="shared" si="0"/>
        <v>0.71699999999999997</v>
      </c>
      <c r="N20" s="24">
        <v>0.63400000000000001</v>
      </c>
      <c r="O20" s="47">
        <f t="shared" si="5"/>
        <v>1.5999999999999983</v>
      </c>
      <c r="P20" s="48"/>
      <c r="Q20" s="47">
        <f t="shared" si="1"/>
        <v>361.18200000000019</v>
      </c>
      <c r="R20" s="165">
        <f t="shared" si="6"/>
        <v>29.586999999999996</v>
      </c>
      <c r="S20" s="160">
        <v>160.553</v>
      </c>
      <c r="T20" s="86">
        <v>1015518.2</v>
      </c>
      <c r="U20" s="86">
        <v>1105010.8600000001</v>
      </c>
      <c r="V20" s="288"/>
      <c r="W20" s="87"/>
      <c r="X20" s="289"/>
      <c r="Y20" s="290"/>
      <c r="Z20" s="87">
        <v>1102881.32</v>
      </c>
      <c r="AA20" s="86"/>
      <c r="AB20" s="80"/>
      <c r="AC20" s="79"/>
      <c r="AD20" s="87">
        <v>0</v>
      </c>
      <c r="AE20" s="55"/>
      <c r="AF20" s="14"/>
      <c r="AG20" s="86">
        <v>0</v>
      </c>
      <c r="AH20" s="128"/>
      <c r="AI20" s="120"/>
      <c r="AJ20" s="103"/>
      <c r="AK20" s="91"/>
      <c r="AL20" s="21"/>
      <c r="AM20" s="21"/>
      <c r="AN20" s="21"/>
    </row>
    <row r="21" spans="1:40" ht="13.2" customHeight="1" thickBot="1" x14ac:dyDescent="0.35">
      <c r="A21" s="3">
        <v>45094</v>
      </c>
      <c r="B21" s="28"/>
      <c r="C21" s="28"/>
      <c r="D21" s="186"/>
      <c r="E21" s="43">
        <f t="shared" si="2"/>
        <v>353.33200000000016</v>
      </c>
      <c r="F21" s="51">
        <f t="shared" si="3"/>
        <v>0</v>
      </c>
      <c r="G21" s="9"/>
      <c r="H21" s="10"/>
      <c r="I21" s="161">
        <f t="shared" si="4"/>
        <v>6.2499999999999991</v>
      </c>
      <c r="J21" s="8"/>
      <c r="K21" s="11"/>
      <c r="L21" s="12"/>
      <c r="M21" s="51">
        <f t="shared" si="0"/>
        <v>0</v>
      </c>
      <c r="N21" s="24"/>
      <c r="O21" s="47">
        <f t="shared" si="5"/>
        <v>1.5999999999999983</v>
      </c>
      <c r="P21" s="48"/>
      <c r="Q21" s="47">
        <f t="shared" si="1"/>
        <v>361.18200000000019</v>
      </c>
      <c r="R21" s="165">
        <f t="shared" si="6"/>
        <v>0</v>
      </c>
      <c r="S21" s="160">
        <f>S19-D20</f>
        <v>129.50299999999999</v>
      </c>
      <c r="T21" s="86">
        <v>1015518.2</v>
      </c>
      <c r="U21" s="86">
        <v>1105010.8600000001</v>
      </c>
      <c r="V21" s="288"/>
      <c r="W21" s="314"/>
      <c r="X21" s="289"/>
      <c r="Y21" s="290"/>
      <c r="Z21" s="87">
        <v>1102881.32</v>
      </c>
      <c r="AA21" s="86"/>
      <c r="AB21" s="80"/>
      <c r="AC21" s="79"/>
      <c r="AD21" s="87">
        <v>0</v>
      </c>
      <c r="AE21" s="55"/>
      <c r="AF21" s="14"/>
      <c r="AG21" s="86">
        <v>0</v>
      </c>
      <c r="AH21" s="128"/>
      <c r="AI21" s="120"/>
      <c r="AJ21" s="103"/>
      <c r="AK21" s="91"/>
      <c r="AL21" s="21"/>
      <c r="AM21" s="21"/>
      <c r="AN21" s="21"/>
    </row>
    <row r="22" spans="1:40" ht="13.2" customHeight="1" thickBot="1" x14ac:dyDescent="0.35">
      <c r="A22" s="3">
        <v>45095</v>
      </c>
      <c r="B22" s="28">
        <v>8.2100000000000009</v>
      </c>
      <c r="C22" s="146"/>
      <c r="D22" s="186"/>
      <c r="E22" s="43">
        <f t="shared" si="2"/>
        <v>345.12200000000018</v>
      </c>
      <c r="F22" s="51">
        <f t="shared" si="3"/>
        <v>0</v>
      </c>
      <c r="G22" s="9"/>
      <c r="H22" s="10"/>
      <c r="I22" s="161">
        <f t="shared" si="4"/>
        <v>6.2499999999999991</v>
      </c>
      <c r="J22" s="8"/>
      <c r="K22" s="11"/>
      <c r="L22" s="12"/>
      <c r="M22" s="51">
        <f t="shared" si="0"/>
        <v>0</v>
      </c>
      <c r="N22" s="24"/>
      <c r="O22" s="47">
        <f t="shared" si="5"/>
        <v>1.5999999999999983</v>
      </c>
      <c r="P22" s="48"/>
      <c r="Q22" s="47">
        <f t="shared" si="1"/>
        <v>352.97200000000021</v>
      </c>
      <c r="R22" s="165">
        <f t="shared" si="6"/>
        <v>8.2100000000000009</v>
      </c>
      <c r="S22" s="160">
        <f>129.503+AI14</f>
        <v>163.49699999999999</v>
      </c>
      <c r="T22" s="86">
        <v>1015518.2</v>
      </c>
      <c r="U22" s="86">
        <v>1105010.8600000001</v>
      </c>
      <c r="V22" s="86"/>
      <c r="W22" s="87"/>
      <c r="X22" s="94"/>
      <c r="Y22" s="58"/>
      <c r="Z22" s="87">
        <f>1102881.32-AI14*M47</f>
        <v>62392.96800000011</v>
      </c>
      <c r="AA22" s="86"/>
      <c r="AB22" s="80"/>
      <c r="AC22" s="79"/>
      <c r="AD22" s="87">
        <v>0</v>
      </c>
      <c r="AE22" s="55"/>
      <c r="AF22" s="14"/>
      <c r="AG22" s="86">
        <v>0</v>
      </c>
      <c r="AH22" s="128"/>
      <c r="AI22" s="120"/>
      <c r="AJ22" s="103"/>
      <c r="AK22" s="91"/>
      <c r="AL22" s="21"/>
      <c r="AM22" s="21"/>
      <c r="AN22" s="21"/>
    </row>
    <row r="23" spans="1:40" ht="13.2" customHeight="1" thickBot="1" x14ac:dyDescent="0.35">
      <c r="A23" s="7">
        <v>45096</v>
      </c>
      <c r="B23" s="28">
        <v>20.65</v>
      </c>
      <c r="C23" s="30">
        <v>3.081</v>
      </c>
      <c r="D23" s="186"/>
      <c r="E23" s="43">
        <f t="shared" si="2"/>
        <v>321.39100000000019</v>
      </c>
      <c r="F23" s="51">
        <f t="shared" si="3"/>
        <v>3.081</v>
      </c>
      <c r="G23" s="9">
        <f>3.051-H23</f>
        <v>2.5420000000000003</v>
      </c>
      <c r="H23" s="10">
        <v>0.50900000000000001</v>
      </c>
      <c r="I23" s="161">
        <f t="shared" si="4"/>
        <v>6.2799999999999994</v>
      </c>
      <c r="J23" s="8"/>
      <c r="K23" s="11"/>
      <c r="L23" s="12"/>
      <c r="M23" s="51">
        <f t="shared" si="0"/>
        <v>0.50900000000000001</v>
      </c>
      <c r="N23" s="24">
        <v>0.29699999999999999</v>
      </c>
      <c r="O23" s="47">
        <f t="shared" si="5"/>
        <v>1.8119999999999983</v>
      </c>
      <c r="P23" s="48"/>
      <c r="Q23" s="47">
        <f t="shared" si="1"/>
        <v>329.48300000000017</v>
      </c>
      <c r="R23" s="165">
        <f t="shared" si="6"/>
        <v>23.701000000000001</v>
      </c>
      <c r="S23" s="160">
        <f>163.497+AI15</f>
        <v>200.74700000000001</v>
      </c>
      <c r="T23" s="88">
        <f>T17-AI15*M44</f>
        <v>-86113.300000000047</v>
      </c>
      <c r="U23" s="86">
        <v>1105010.8600000001</v>
      </c>
      <c r="V23" s="86"/>
      <c r="W23" s="87"/>
      <c r="X23" s="94"/>
      <c r="Y23" s="58"/>
      <c r="Z23" s="87">
        <v>62392.97</v>
      </c>
      <c r="AA23" s="86"/>
      <c r="AB23" s="80"/>
      <c r="AC23" s="79"/>
      <c r="AD23" s="87">
        <v>0</v>
      </c>
      <c r="AE23" s="55"/>
      <c r="AF23" s="14"/>
      <c r="AG23" s="86">
        <v>0</v>
      </c>
      <c r="AH23" s="128"/>
      <c r="AI23" s="120"/>
      <c r="AJ23" s="99"/>
      <c r="AK23" s="21"/>
      <c r="AL23" s="91"/>
      <c r="AM23" s="21"/>
      <c r="AN23" s="21"/>
    </row>
    <row r="24" spans="1:40" ht="13.2" customHeight="1" thickBot="1" x14ac:dyDescent="0.35">
      <c r="A24" s="7">
        <v>45097</v>
      </c>
      <c r="B24" s="28">
        <v>7.89</v>
      </c>
      <c r="C24" s="30">
        <v>2.52</v>
      </c>
      <c r="D24" s="186">
        <v>62.905999999999999</v>
      </c>
      <c r="E24" s="43">
        <f t="shared" si="2"/>
        <v>373.88700000000023</v>
      </c>
      <c r="F24" s="51">
        <f t="shared" si="3"/>
        <v>2.52</v>
      </c>
      <c r="G24" s="9">
        <v>2.56</v>
      </c>
      <c r="H24" s="10">
        <v>0</v>
      </c>
      <c r="I24" s="161">
        <f t="shared" si="4"/>
        <v>6.2399999999999984</v>
      </c>
      <c r="J24" s="8"/>
      <c r="K24" s="11"/>
      <c r="L24" s="12"/>
      <c r="M24" s="51">
        <f t="shared" si="0"/>
        <v>0</v>
      </c>
      <c r="N24" s="24">
        <v>0.25</v>
      </c>
      <c r="O24" s="47">
        <f t="shared" si="5"/>
        <v>1.5619999999999983</v>
      </c>
      <c r="P24" s="48"/>
      <c r="Q24" s="47">
        <f t="shared" si="1"/>
        <v>381.68900000000025</v>
      </c>
      <c r="R24" s="165">
        <f t="shared" si="6"/>
        <v>10.45</v>
      </c>
      <c r="S24" s="160">
        <f>200.747-D24</f>
        <v>137.84100000000001</v>
      </c>
      <c r="T24" s="86">
        <v>-86113.300000000047</v>
      </c>
      <c r="U24" s="86">
        <v>1105010.8600000001</v>
      </c>
      <c r="V24" s="86"/>
      <c r="W24" s="66"/>
      <c r="X24" s="94"/>
      <c r="Y24" s="58"/>
      <c r="Z24" s="87">
        <v>62392.97</v>
      </c>
      <c r="AA24" s="86"/>
      <c r="AB24" s="80"/>
      <c r="AC24" s="79"/>
      <c r="AD24" s="87">
        <v>0</v>
      </c>
      <c r="AE24" s="55"/>
      <c r="AF24" s="14"/>
      <c r="AG24" s="86">
        <v>0</v>
      </c>
      <c r="AH24" s="128"/>
      <c r="AI24" s="120"/>
      <c r="AJ24" s="356"/>
      <c r="AK24" s="91"/>
      <c r="AL24" s="21"/>
      <c r="AM24" s="21"/>
      <c r="AN24" s="21"/>
    </row>
    <row r="25" spans="1:40" ht="13.2" customHeight="1" thickBot="1" x14ac:dyDescent="0.35">
      <c r="A25" s="7">
        <v>45098</v>
      </c>
      <c r="B25" s="28">
        <v>20.92</v>
      </c>
      <c r="C25" s="30">
        <v>2.1819999999999999</v>
      </c>
      <c r="D25" s="186"/>
      <c r="E25" s="43">
        <f t="shared" si="2"/>
        <v>350.7850000000002</v>
      </c>
      <c r="F25" s="51">
        <f t="shared" si="3"/>
        <v>2.1819999999999999</v>
      </c>
      <c r="G25" s="219">
        <f>2.492-H25</f>
        <v>1.92</v>
      </c>
      <c r="H25" s="10">
        <v>0.57199999999999995</v>
      </c>
      <c r="I25" s="161">
        <f t="shared" si="4"/>
        <v>5.9299999999999988</v>
      </c>
      <c r="J25" s="8"/>
      <c r="K25" s="11"/>
      <c r="L25" s="12"/>
      <c r="M25" s="51">
        <f t="shared" si="0"/>
        <v>0.57199999999999995</v>
      </c>
      <c r="N25" s="24">
        <v>0.33300000000000002</v>
      </c>
      <c r="O25" s="47">
        <f t="shared" si="5"/>
        <v>1.8009999999999982</v>
      </c>
      <c r="P25" s="48"/>
      <c r="Q25" s="47">
        <f t="shared" si="1"/>
        <v>358.51600000000019</v>
      </c>
      <c r="R25" s="165">
        <f t="shared" si="6"/>
        <v>23.412000000000003</v>
      </c>
      <c r="S25" s="160">
        <f>137.841+AI16</f>
        <v>169.589</v>
      </c>
      <c r="T25" s="86">
        <f>T23+87000</f>
        <v>886.69999999995343</v>
      </c>
      <c r="U25" s="157">
        <f>1105010.86-AI16*M49</f>
        <v>133268.07600000012</v>
      </c>
      <c r="V25" s="86"/>
      <c r="W25" s="66"/>
      <c r="X25" s="94"/>
      <c r="Y25" s="58"/>
      <c r="Z25" s="87">
        <v>62392.97</v>
      </c>
      <c r="AA25" s="58"/>
      <c r="AB25" s="86">
        <v>1047098.06</v>
      </c>
      <c r="AC25" s="79"/>
      <c r="AD25" s="87">
        <v>0</v>
      </c>
      <c r="AE25" s="55"/>
      <c r="AF25" s="14"/>
      <c r="AG25" s="86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7">
        <v>45099</v>
      </c>
      <c r="B26" s="28">
        <v>7.82</v>
      </c>
      <c r="C26" s="30">
        <v>1.57</v>
      </c>
      <c r="D26" s="186"/>
      <c r="E26" s="43">
        <f>E25+D26-B26-C26</f>
        <v>341.39500000000021</v>
      </c>
      <c r="F26" s="51">
        <f t="shared" si="3"/>
        <v>1.57</v>
      </c>
      <c r="G26" s="9">
        <v>1.25</v>
      </c>
      <c r="H26" s="10">
        <v>0</v>
      </c>
      <c r="I26" s="161">
        <f t="shared" si="4"/>
        <v>6.2499999999999991</v>
      </c>
      <c r="J26" s="8"/>
      <c r="K26" s="11"/>
      <c r="L26" s="12"/>
      <c r="M26" s="51">
        <f t="shared" si="0"/>
        <v>0</v>
      </c>
      <c r="N26" s="24">
        <v>0.23799999999999999</v>
      </c>
      <c r="O26" s="47">
        <f t="shared" si="5"/>
        <v>1.5629999999999982</v>
      </c>
      <c r="P26" s="48"/>
      <c r="Q26" s="47">
        <f t="shared" si="1"/>
        <v>349.2080000000002</v>
      </c>
      <c r="R26" s="165">
        <f t="shared" si="6"/>
        <v>9.07</v>
      </c>
      <c r="S26" s="160">
        <v>169.589</v>
      </c>
      <c r="T26" s="86">
        <v>886.7</v>
      </c>
      <c r="U26" s="86">
        <f>133268.08+1790000</f>
        <v>1923268.08</v>
      </c>
      <c r="V26" s="86"/>
      <c r="W26" s="153"/>
      <c r="X26" s="94"/>
      <c r="Y26" s="58"/>
      <c r="Z26" s="87">
        <f>62392.97+1169000</f>
        <v>1231392.97</v>
      </c>
      <c r="AA26" s="86"/>
      <c r="AB26" s="80"/>
      <c r="AC26" s="79"/>
      <c r="AD26" s="87">
        <v>0</v>
      </c>
      <c r="AE26" s="55"/>
      <c r="AF26" s="14"/>
      <c r="AG26" s="86">
        <v>0</v>
      </c>
      <c r="AH26" s="127"/>
      <c r="AI26" s="126"/>
      <c r="AJ26" s="208"/>
      <c r="AK26" s="91"/>
      <c r="AL26" s="21"/>
      <c r="AM26" s="21"/>
      <c r="AN26" s="21"/>
    </row>
    <row r="27" spans="1:40" ht="13.2" customHeight="1" thickBot="1" x14ac:dyDescent="0.35">
      <c r="A27" s="7">
        <v>45100</v>
      </c>
      <c r="B27" s="28">
        <v>33.909999999999997</v>
      </c>
      <c r="C27" s="28">
        <v>1.851</v>
      </c>
      <c r="D27" s="186">
        <v>34.1</v>
      </c>
      <c r="E27" s="43">
        <f>E26+D27-B27-C27</f>
        <v>339.73400000000026</v>
      </c>
      <c r="F27" s="51">
        <f t="shared" si="3"/>
        <v>1.851</v>
      </c>
      <c r="G27" s="9">
        <f>0.901-H27</f>
        <v>0.41000000000000003</v>
      </c>
      <c r="H27" s="10">
        <v>0.49099999999999999</v>
      </c>
      <c r="I27" s="161">
        <f t="shared" si="4"/>
        <v>7.1999999999999993</v>
      </c>
      <c r="J27" s="8"/>
      <c r="K27" s="11"/>
      <c r="L27" s="12"/>
      <c r="M27" s="51">
        <f t="shared" si="0"/>
        <v>0.49099999999999999</v>
      </c>
      <c r="N27" s="24">
        <v>0.222</v>
      </c>
      <c r="O27" s="47">
        <f t="shared" si="5"/>
        <v>1.8319999999999981</v>
      </c>
      <c r="P27" s="48"/>
      <c r="Q27" s="47">
        <f t="shared" si="1"/>
        <v>348.76600000000025</v>
      </c>
      <c r="R27" s="165">
        <f t="shared" si="6"/>
        <v>34.810999999999993</v>
      </c>
      <c r="S27" s="160">
        <f>169.589-D27</f>
        <v>135.489</v>
      </c>
      <c r="T27" s="86">
        <f>T25+1035000</f>
        <v>1035886.7</v>
      </c>
      <c r="U27" s="86">
        <v>1923268.08</v>
      </c>
      <c r="V27" s="87"/>
      <c r="W27" s="66"/>
      <c r="X27" s="94"/>
      <c r="Y27" s="58"/>
      <c r="Z27" s="87">
        <v>1232392.97</v>
      </c>
      <c r="AA27" s="86"/>
      <c r="AB27" s="129"/>
      <c r="AC27" s="79"/>
      <c r="AD27" s="87">
        <v>0</v>
      </c>
      <c r="AE27" s="55"/>
      <c r="AF27" s="14"/>
      <c r="AG27" s="86">
        <v>0</v>
      </c>
      <c r="AH27" s="127"/>
      <c r="AI27" s="126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3">
        <v>45101</v>
      </c>
      <c r="B28" s="28"/>
      <c r="C28" s="30"/>
      <c r="D28" s="186"/>
      <c r="E28" s="43">
        <f t="shared" si="2"/>
        <v>339.73400000000026</v>
      </c>
      <c r="F28" s="51">
        <f t="shared" si="3"/>
        <v>0</v>
      </c>
      <c r="G28" s="9"/>
      <c r="H28" s="10"/>
      <c r="I28" s="161">
        <f t="shared" si="4"/>
        <v>7.1999999999999993</v>
      </c>
      <c r="J28" s="8"/>
      <c r="K28" s="11"/>
      <c r="L28" s="12"/>
      <c r="M28" s="51">
        <f t="shared" si="0"/>
        <v>0</v>
      </c>
      <c r="N28" s="24"/>
      <c r="O28" s="47">
        <f t="shared" si="5"/>
        <v>1.8319999999999981</v>
      </c>
      <c r="P28" s="48"/>
      <c r="Q28" s="47">
        <f t="shared" si="1"/>
        <v>348.76600000000025</v>
      </c>
      <c r="R28" s="165">
        <f t="shared" si="6"/>
        <v>0</v>
      </c>
      <c r="S28" s="160">
        <v>135.489</v>
      </c>
      <c r="T28" s="86">
        <v>1035886.7</v>
      </c>
      <c r="U28" s="86">
        <v>1923268.08</v>
      </c>
      <c r="V28" s="87"/>
      <c r="W28" s="66"/>
      <c r="X28" s="94"/>
      <c r="Y28" s="58"/>
      <c r="Z28" s="87">
        <v>1232392.97</v>
      </c>
      <c r="AA28" s="93"/>
      <c r="AB28" s="93"/>
      <c r="AC28" s="93"/>
      <c r="AD28" s="87">
        <v>0</v>
      </c>
      <c r="AE28" s="55"/>
      <c r="AF28" s="93"/>
      <c r="AG28" s="86">
        <v>0</v>
      </c>
      <c r="AH28" s="123"/>
      <c r="AI28" s="122"/>
      <c r="AJ28" s="99"/>
      <c r="AK28" s="91"/>
      <c r="AL28" s="21"/>
      <c r="AM28" s="21"/>
      <c r="AN28" s="21"/>
    </row>
    <row r="29" spans="1:40" ht="13.2" customHeight="1" outlineLevel="1" thickBot="1" x14ac:dyDescent="0.35">
      <c r="A29" s="3">
        <v>45102</v>
      </c>
      <c r="B29" s="28"/>
      <c r="C29" s="30"/>
      <c r="D29" s="186"/>
      <c r="E29" s="43">
        <f t="shared" si="2"/>
        <v>339.73400000000026</v>
      </c>
      <c r="F29" s="51">
        <f t="shared" si="3"/>
        <v>0</v>
      </c>
      <c r="G29" s="9"/>
      <c r="H29" s="10"/>
      <c r="I29" s="161">
        <f t="shared" si="4"/>
        <v>7.1999999999999993</v>
      </c>
      <c r="J29" s="8"/>
      <c r="K29" s="11"/>
      <c r="L29" s="12"/>
      <c r="M29" s="51">
        <f t="shared" si="0"/>
        <v>0</v>
      </c>
      <c r="N29" s="24"/>
      <c r="O29" s="47">
        <f t="shared" si="5"/>
        <v>1.8319999999999981</v>
      </c>
      <c r="P29" s="48"/>
      <c r="Q29" s="47">
        <f t="shared" si="1"/>
        <v>348.76600000000025</v>
      </c>
      <c r="R29" s="165">
        <f t="shared" si="6"/>
        <v>0</v>
      </c>
      <c r="S29" s="160">
        <v>135.489</v>
      </c>
      <c r="T29" s="86">
        <v>1035886.7</v>
      </c>
      <c r="U29" s="86">
        <v>1923268.08</v>
      </c>
      <c r="V29" s="294"/>
      <c r="W29" s="66"/>
      <c r="X29" s="189"/>
      <c r="Y29" s="295"/>
      <c r="Z29" s="87">
        <v>1232392.97</v>
      </c>
      <c r="AA29" s="86"/>
      <c r="AB29" s="129"/>
      <c r="AC29" s="79"/>
      <c r="AD29" s="87">
        <v>0</v>
      </c>
      <c r="AE29" s="56"/>
      <c r="AF29" s="14"/>
      <c r="AG29" s="86">
        <v>0</v>
      </c>
      <c r="AH29" s="123"/>
      <c r="AI29" s="122"/>
      <c r="AJ29" s="103"/>
      <c r="AK29" s="118"/>
      <c r="AL29" s="21"/>
      <c r="AM29" s="21"/>
      <c r="AN29" s="21"/>
    </row>
    <row r="30" spans="1:40" s="21" customFormat="1" ht="13.2" customHeight="1" outlineLevel="1" thickBot="1" x14ac:dyDescent="0.35">
      <c r="A30" s="7">
        <v>45103</v>
      </c>
      <c r="B30" s="28">
        <f>35.11+11.58</f>
        <v>46.69</v>
      </c>
      <c r="C30" s="146">
        <v>2.6920000000000002</v>
      </c>
      <c r="D30" s="186">
        <f>AI15+AI14</f>
        <v>71.244</v>
      </c>
      <c r="E30" s="43">
        <f t="shared" si="2"/>
        <v>361.59600000000029</v>
      </c>
      <c r="F30" s="51">
        <f t="shared" si="3"/>
        <v>2.6920000000000002</v>
      </c>
      <c r="G30" s="30">
        <f>3.352-H30</f>
        <v>2.8540000000000001</v>
      </c>
      <c r="H30" s="24">
        <v>0.498</v>
      </c>
      <c r="I30" s="161">
        <f t="shared" si="4"/>
        <v>6.5399999999999991</v>
      </c>
      <c r="J30" s="28"/>
      <c r="K30" s="26"/>
      <c r="L30" s="53"/>
      <c r="M30" s="51">
        <f t="shared" si="0"/>
        <v>0.498</v>
      </c>
      <c r="N30" s="24">
        <v>0.441</v>
      </c>
      <c r="O30" s="47">
        <f t="shared" si="5"/>
        <v>1.8889999999999982</v>
      </c>
      <c r="P30" s="54"/>
      <c r="Q30" s="47">
        <f t="shared" si="1"/>
        <v>370.02500000000032</v>
      </c>
      <c r="R30" s="165">
        <f t="shared" si="6"/>
        <v>50.041999999999994</v>
      </c>
      <c r="S30" s="160">
        <f>S28-D30</f>
        <v>64.245000000000005</v>
      </c>
      <c r="T30" s="86">
        <f>T27+1035000</f>
        <v>2070886.7</v>
      </c>
      <c r="U30" s="86">
        <v>1923268.08</v>
      </c>
      <c r="V30" s="87"/>
      <c r="W30" s="153"/>
      <c r="X30" s="94"/>
      <c r="Y30" s="58"/>
      <c r="Z30" s="87">
        <v>1232392.97</v>
      </c>
      <c r="AA30" s="86"/>
      <c r="AB30" s="129"/>
      <c r="AC30" s="79"/>
      <c r="AD30" s="87">
        <v>0</v>
      </c>
      <c r="AE30" s="191"/>
      <c r="AF30" s="14"/>
      <c r="AG30" s="86">
        <v>0</v>
      </c>
      <c r="AH30" s="128"/>
      <c r="AI30" s="120"/>
      <c r="AJ30" s="103"/>
      <c r="AK30" s="91"/>
    </row>
    <row r="31" spans="1:40" s="21" customFormat="1" ht="13.2" customHeight="1" outlineLevel="1" thickBot="1" x14ac:dyDescent="0.35">
      <c r="A31" s="7">
        <v>45104</v>
      </c>
      <c r="B31" s="28">
        <v>8.36</v>
      </c>
      <c r="C31" s="30">
        <v>1.38</v>
      </c>
      <c r="D31" s="186"/>
      <c r="E31" s="43">
        <f t="shared" si="2"/>
        <v>351.85600000000028</v>
      </c>
      <c r="F31" s="51">
        <f t="shared" si="3"/>
        <v>1.38</v>
      </c>
      <c r="G31" s="68">
        <v>2.5299999999999998</v>
      </c>
      <c r="H31" s="69"/>
      <c r="I31" s="161">
        <f t="shared" si="4"/>
        <v>5.3899999999999988</v>
      </c>
      <c r="J31" s="67"/>
      <c r="K31" s="70"/>
      <c r="L31" s="71"/>
      <c r="M31" s="51">
        <f t="shared" si="0"/>
        <v>0</v>
      </c>
      <c r="N31" s="24">
        <v>0.505</v>
      </c>
      <c r="O31" s="47">
        <f t="shared" si="5"/>
        <v>1.3839999999999981</v>
      </c>
      <c r="P31" s="72"/>
      <c r="Q31" s="47">
        <f t="shared" si="1"/>
        <v>358.63000000000028</v>
      </c>
      <c r="R31" s="165">
        <f t="shared" si="6"/>
        <v>10.889999999999999</v>
      </c>
      <c r="S31" s="160">
        <v>64.245000000000005</v>
      </c>
      <c r="T31" s="86">
        <v>2070886.7</v>
      </c>
      <c r="U31" s="86">
        <v>1923268.08</v>
      </c>
      <c r="V31" s="87"/>
      <c r="W31" s="153"/>
      <c r="X31" s="94"/>
      <c r="Y31" s="58"/>
      <c r="Z31" s="87">
        <v>1232392.97</v>
      </c>
      <c r="AA31" s="86"/>
      <c r="AB31" s="129"/>
      <c r="AC31" s="79"/>
      <c r="AD31" s="87"/>
      <c r="AE31" s="57"/>
      <c r="AF31" s="131"/>
      <c r="AG31" s="133"/>
      <c r="AH31" s="123"/>
      <c r="AI31" s="122"/>
      <c r="AJ31" s="103"/>
      <c r="AK31" s="102"/>
    </row>
    <row r="32" spans="1:40" ht="13.2" customHeight="1" outlineLevel="1" thickBot="1" x14ac:dyDescent="0.35">
      <c r="A32" s="7">
        <v>45105</v>
      </c>
      <c r="B32" s="28">
        <v>15.18</v>
      </c>
      <c r="C32" s="30">
        <v>2.2349999999999999</v>
      </c>
      <c r="D32" s="186"/>
      <c r="E32" s="43">
        <f t="shared" si="2"/>
        <v>334.44100000000026</v>
      </c>
      <c r="F32" s="51">
        <f t="shared" si="3"/>
        <v>2.2349999999999999</v>
      </c>
      <c r="G32" s="62">
        <f>1.405-H32</f>
        <v>0.71000000000000008</v>
      </c>
      <c r="H32" s="62">
        <v>0.69499999999999995</v>
      </c>
      <c r="I32" s="161">
        <f t="shared" si="4"/>
        <v>6.219999999999998</v>
      </c>
      <c r="J32" s="62"/>
      <c r="K32" s="64"/>
      <c r="L32" s="13"/>
      <c r="M32" s="51">
        <f t="shared" si="0"/>
        <v>0.69499999999999995</v>
      </c>
      <c r="N32" s="24">
        <v>0.27400000000000002</v>
      </c>
      <c r="O32" s="47">
        <f t="shared" si="5"/>
        <v>1.8049999999999979</v>
      </c>
      <c r="P32" s="65"/>
      <c r="Q32" s="47">
        <f t="shared" si="1"/>
        <v>342.46600000000024</v>
      </c>
      <c r="R32" s="165">
        <f t="shared" si="6"/>
        <v>16.585000000000001</v>
      </c>
      <c r="S32" s="160">
        <f>AI12+AI16</f>
        <v>64.245000000000005</v>
      </c>
      <c r="T32" s="86">
        <v>2070886.7</v>
      </c>
      <c r="U32" s="86">
        <v>1923268.08</v>
      </c>
      <c r="V32" s="87"/>
      <c r="W32" s="153"/>
      <c r="X32" s="94"/>
      <c r="Y32" s="58"/>
      <c r="Z32" s="87">
        <v>1232392.97</v>
      </c>
      <c r="AA32" s="86"/>
      <c r="AB32" s="129"/>
      <c r="AC32" s="79"/>
      <c r="AD32" s="87"/>
      <c r="AE32" s="57"/>
      <c r="AF32" s="131"/>
      <c r="AG32" s="133"/>
      <c r="AH32" s="127" t="s">
        <v>43</v>
      </c>
      <c r="AI32" s="126">
        <v>33.15</v>
      </c>
      <c r="AJ32" s="103" t="s">
        <v>281</v>
      </c>
      <c r="AK32" s="358">
        <v>58247958</v>
      </c>
      <c r="AL32" s="21"/>
    </row>
    <row r="33" spans="1:38" ht="13.2" customHeight="1" outlineLevel="1" thickBot="1" x14ac:dyDescent="0.35">
      <c r="A33" s="7">
        <v>45106</v>
      </c>
      <c r="B33" s="28">
        <v>14.49</v>
      </c>
      <c r="C33" s="9">
        <v>1.17</v>
      </c>
      <c r="D33" s="186"/>
      <c r="E33" s="43">
        <f t="shared" si="2"/>
        <v>318.78100000000023</v>
      </c>
      <c r="F33" s="51">
        <f t="shared" si="3"/>
        <v>1.17</v>
      </c>
      <c r="G33" s="62">
        <v>2</v>
      </c>
      <c r="H33" s="62"/>
      <c r="I33" s="161">
        <f t="shared" si="4"/>
        <v>5.3899999999999979</v>
      </c>
      <c r="J33" s="62"/>
      <c r="K33" s="64"/>
      <c r="L33" s="13"/>
      <c r="M33" s="51">
        <f t="shared" si="0"/>
        <v>0</v>
      </c>
      <c r="N33" s="24">
        <v>0.25600000000000001</v>
      </c>
      <c r="O33" s="47">
        <f t="shared" si="5"/>
        <v>1.5489999999999979</v>
      </c>
      <c r="P33" s="65"/>
      <c r="Q33" s="47">
        <f t="shared" si="1"/>
        <v>325.7200000000002</v>
      </c>
      <c r="R33" s="165">
        <f>B33+G33+H33+J33</f>
        <v>16.490000000000002</v>
      </c>
      <c r="S33" s="160">
        <f>AI12+AI16+AI32</f>
        <v>97.39500000000001</v>
      </c>
      <c r="T33" s="88">
        <f>T30-AI32*M45</f>
        <v>1199903.6000000001</v>
      </c>
      <c r="U33" s="86">
        <v>1923268.08</v>
      </c>
      <c r="V33" s="87"/>
      <c r="W33" s="153"/>
      <c r="X33" s="94"/>
      <c r="Y33" s="58"/>
      <c r="Z33" s="87">
        <v>1232392.97</v>
      </c>
      <c r="AA33" s="86"/>
      <c r="AB33" s="80"/>
      <c r="AC33" s="79"/>
      <c r="AD33" s="87"/>
      <c r="AE33" s="57"/>
      <c r="AF33" s="131"/>
      <c r="AG33" s="133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7">
        <v>45107</v>
      </c>
      <c r="B34" s="62">
        <v>25.75</v>
      </c>
      <c r="C34" s="30">
        <v>2.9060000000000001</v>
      </c>
      <c r="D34" s="92">
        <f>AI16</f>
        <v>31.748000000000001</v>
      </c>
      <c r="E34" s="43">
        <f t="shared" si="2"/>
        <v>321.87300000000022</v>
      </c>
      <c r="F34" s="51">
        <f t="shared" si="3"/>
        <v>2.9060000000000001</v>
      </c>
      <c r="G34" s="62">
        <f>2.646-H34</f>
        <v>1.9819999999999998</v>
      </c>
      <c r="H34" s="62">
        <v>0.66400000000000003</v>
      </c>
      <c r="I34" s="161">
        <f t="shared" si="4"/>
        <v>5.6499999999999986</v>
      </c>
      <c r="J34" s="44"/>
      <c r="K34" s="44"/>
      <c r="L34" s="44"/>
      <c r="M34" s="63">
        <f t="shared" si="0"/>
        <v>0.66400000000000003</v>
      </c>
      <c r="N34" s="24">
        <v>0.312</v>
      </c>
      <c r="O34" s="47">
        <f t="shared" si="5"/>
        <v>1.9009999999999978</v>
      </c>
      <c r="P34" s="65">
        <v>0</v>
      </c>
      <c r="Q34" s="47">
        <f t="shared" si="1"/>
        <v>329.42400000000021</v>
      </c>
      <c r="R34" s="165">
        <f t="shared" si="6"/>
        <v>28.396000000000001</v>
      </c>
      <c r="S34" s="160">
        <f>AI32+AI12</f>
        <v>65.646999999999991</v>
      </c>
      <c r="T34" s="86">
        <v>1199903.6000000001</v>
      </c>
      <c r="U34" s="86">
        <v>1923268.08</v>
      </c>
      <c r="V34" s="87"/>
      <c r="W34" s="153"/>
      <c r="X34" s="94"/>
      <c r="Y34" s="58"/>
      <c r="Z34" s="86">
        <v>1232392.97</v>
      </c>
      <c r="AA34" s="86"/>
      <c r="AB34" s="80"/>
      <c r="AC34" s="79"/>
      <c r="AD34" s="87"/>
      <c r="AE34" s="57"/>
      <c r="AF34" s="131"/>
      <c r="AG34" s="133"/>
      <c r="AH34" s="127"/>
      <c r="AI34" s="21"/>
      <c r="AJ34" s="103"/>
      <c r="AL34" s="21"/>
    </row>
    <row r="35" spans="1:38" ht="13.2" customHeight="1" outlineLevel="1" thickBot="1" x14ac:dyDescent="0.35">
      <c r="A35" s="7"/>
      <c r="B35" s="108"/>
      <c r="C35" s="19"/>
      <c r="D35" s="92"/>
      <c r="E35" s="73">
        <f t="shared" si="2"/>
        <v>321.87300000000022</v>
      </c>
      <c r="F35" s="100">
        <f t="shared" si="3"/>
        <v>0</v>
      </c>
      <c r="G35" s="108"/>
      <c r="H35" s="108"/>
      <c r="I35" s="161">
        <f>I34+F35-G35-H35+0.06</f>
        <v>5.7099999999999982</v>
      </c>
      <c r="J35" s="18"/>
      <c r="K35" s="74"/>
      <c r="L35" s="75"/>
      <c r="M35" s="109">
        <f t="shared" si="0"/>
        <v>0</v>
      </c>
      <c r="N35" s="24"/>
      <c r="O35" s="50">
        <f>O34+M35-N35</f>
        <v>1.9009999999999978</v>
      </c>
      <c r="P35" s="76"/>
      <c r="Q35" s="50">
        <f t="shared" si="1"/>
        <v>329.48400000000021</v>
      </c>
      <c r="R35" s="166">
        <f t="shared" si="6"/>
        <v>0</v>
      </c>
      <c r="S35" s="160"/>
      <c r="T35" s="86"/>
      <c r="U35" s="86"/>
      <c r="V35" s="87"/>
      <c r="W35" s="153"/>
      <c r="X35" s="94"/>
      <c r="Y35" s="58"/>
      <c r="Z35" s="86"/>
      <c r="AA35" s="86"/>
      <c r="AB35" s="80"/>
      <c r="AC35" s="79"/>
      <c r="AD35" s="87"/>
      <c r="AE35" s="57"/>
      <c r="AF35" s="131"/>
      <c r="AG35" s="133"/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452.59000000000003</v>
      </c>
      <c r="C36" s="37">
        <f>SUM(C5:C35)</f>
        <v>52.515000000000008</v>
      </c>
      <c r="D36" s="37">
        <f>SUM(D5:D35)</f>
        <v>492.91</v>
      </c>
      <c r="E36" s="115">
        <f>INDEX(E5:E35,COUNTA(E5:E35))-15</f>
        <v>306.87300000000022</v>
      </c>
      <c r="F36" s="37">
        <f>SUM(F5:F35)</f>
        <v>52.515000000000008</v>
      </c>
      <c r="G36" s="37">
        <f>SUM(G5:G35)</f>
        <v>44.794999999999995</v>
      </c>
      <c r="H36" s="37">
        <f>SUM(H5:H35)</f>
        <v>7.08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7.08</v>
      </c>
      <c r="N36" s="37">
        <f>SUM(N5:N35)</f>
        <v>7.1370000000000013</v>
      </c>
      <c r="O36" s="41"/>
      <c r="P36" s="40">
        <f>B36+G36+H36+J36</f>
        <v>504.46500000000003</v>
      </c>
      <c r="Q36" s="41"/>
      <c r="R36" s="167">
        <f>SUM(R5:R35)</f>
        <v>504.46499999999992</v>
      </c>
      <c r="S36" s="114">
        <f>INDEX(S5:S35,COUNTA(S5:S35))</f>
        <v>65.646999999999991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306.87300000000022</v>
      </c>
      <c r="AA38" s="111"/>
      <c r="AB38" s="111"/>
      <c r="AC38" s="111"/>
      <c r="AD38" s="112"/>
      <c r="AH38" s="113"/>
      <c r="AK38" s="33">
        <f>33</f>
        <v>33</v>
      </c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65.646999999999991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N51</f>
        <v>155.42082697311156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52" t="s">
        <v>35</v>
      </c>
      <c r="V41" s="652"/>
      <c r="W41" s="653"/>
      <c r="X41" s="654"/>
      <c r="Y41" s="173"/>
      <c r="Z41" s="144">
        <f>Z38+Z39+Z40</f>
        <v>527.94082697311183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s="315" customFormat="1" x14ac:dyDescent="0.3">
      <c r="C43" s="338"/>
      <c r="D43" s="98"/>
      <c r="E43" s="688" t="s">
        <v>18</v>
      </c>
      <c r="F43" s="689"/>
      <c r="G43" s="690"/>
      <c r="H43" s="650" t="s">
        <v>262</v>
      </c>
      <c r="I43" s="651"/>
      <c r="J43" s="339"/>
      <c r="K43" s="340"/>
      <c r="L43" s="341"/>
      <c r="M43" s="240">
        <v>30654</v>
      </c>
      <c r="N43" s="342"/>
      <c r="O43" s="687" t="s">
        <v>201</v>
      </c>
      <c r="P43" s="138"/>
      <c r="Q43" s="307" t="s">
        <v>259</v>
      </c>
      <c r="U43" s="319"/>
      <c r="V43" s="320"/>
      <c r="W43" s="321"/>
      <c r="X43" s="322"/>
      <c r="Y43" s="322"/>
      <c r="Z43" s="323"/>
      <c r="AA43" s="324"/>
      <c r="AB43" s="324"/>
      <c r="AC43" s="324"/>
      <c r="AD43" s="324"/>
      <c r="AG43" s="325"/>
      <c r="AH43" s="326"/>
      <c r="AI43" s="325"/>
      <c r="AJ43" s="325"/>
      <c r="AK43" s="325"/>
      <c r="AL43" s="324"/>
    </row>
    <row r="44" spans="1:38" s="315" customFormat="1" x14ac:dyDescent="0.3">
      <c r="C44" s="338"/>
      <c r="D44" s="98"/>
      <c r="E44" s="688" t="s">
        <v>18</v>
      </c>
      <c r="F44" s="689"/>
      <c r="G44" s="690"/>
      <c r="H44" s="650" t="s">
        <v>270</v>
      </c>
      <c r="I44" s="651"/>
      <c r="J44" s="339"/>
      <c r="K44" s="340"/>
      <c r="L44" s="341"/>
      <c r="M44" s="240">
        <v>29574</v>
      </c>
      <c r="N44" s="147"/>
      <c r="O44" s="687"/>
      <c r="P44" s="138"/>
      <c r="Q44" s="307"/>
      <c r="R44" s="355" t="s">
        <v>233</v>
      </c>
      <c r="S44" s="355" t="s">
        <v>234</v>
      </c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8" s="315" customFormat="1" x14ac:dyDescent="0.3">
      <c r="C45" s="338"/>
      <c r="D45" s="98"/>
      <c r="E45" s="688" t="s">
        <v>18</v>
      </c>
      <c r="F45" s="689"/>
      <c r="G45" s="690"/>
      <c r="H45" s="650" t="s">
        <v>271</v>
      </c>
      <c r="I45" s="651"/>
      <c r="J45" s="339"/>
      <c r="K45" s="340"/>
      <c r="L45" s="341"/>
      <c r="M45" s="240">
        <v>26274</v>
      </c>
      <c r="N45" s="147"/>
      <c r="O45" s="687"/>
      <c r="P45" s="138"/>
      <c r="Q45" s="307"/>
      <c r="R45" s="355"/>
      <c r="S45" s="355" t="s">
        <v>235</v>
      </c>
      <c r="T45" s="343"/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8" s="315" customFormat="1" x14ac:dyDescent="0.3">
      <c r="C46" s="338"/>
      <c r="D46" s="98"/>
      <c r="E46" s="672" t="s">
        <v>18</v>
      </c>
      <c r="F46" s="673"/>
      <c r="G46" s="674"/>
      <c r="H46" s="643" t="s">
        <v>260</v>
      </c>
      <c r="I46" s="675"/>
      <c r="J46" s="316"/>
      <c r="K46" s="317"/>
      <c r="L46" s="318"/>
      <c r="M46" s="344">
        <v>26874</v>
      </c>
      <c r="N46" s="247">
        <f>T33/M46</f>
        <v>44.649237180918362</v>
      </c>
      <c r="O46" s="248"/>
      <c r="P46" s="249"/>
      <c r="Q46" s="319" t="s">
        <v>272</v>
      </c>
      <c r="R46" s="319" t="s">
        <v>273</v>
      </c>
      <c r="S46" s="319" t="s">
        <v>274</v>
      </c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8" s="315" customFormat="1" x14ac:dyDescent="0.3">
      <c r="C47" s="338"/>
      <c r="D47" s="211" t="s">
        <v>28</v>
      </c>
      <c r="E47" s="611" t="s">
        <v>60</v>
      </c>
      <c r="F47" s="611"/>
      <c r="G47" s="611"/>
      <c r="H47" s="650" t="s">
        <v>231</v>
      </c>
      <c r="I47" s="651"/>
      <c r="J47" s="339"/>
      <c r="K47" s="340"/>
      <c r="L47" s="341"/>
      <c r="M47" s="240">
        <f>21619+8989</f>
        <v>30608</v>
      </c>
      <c r="N47" s="241"/>
      <c r="O47" s="238" t="s">
        <v>29</v>
      </c>
      <c r="P47" s="138"/>
      <c r="Q47" s="307" t="s">
        <v>232</v>
      </c>
      <c r="R47" s="355" t="s">
        <v>233</v>
      </c>
      <c r="S47" s="355" t="s">
        <v>243</v>
      </c>
      <c r="T47" s="343"/>
      <c r="U47" s="330"/>
      <c r="V47" s="320"/>
      <c r="W47" s="321"/>
      <c r="X47" s="322"/>
      <c r="Y47" s="322"/>
      <c r="Z47" s="323"/>
      <c r="AA47" s="324"/>
      <c r="AB47" s="324"/>
      <c r="AC47" s="324"/>
      <c r="AD47" s="324"/>
      <c r="AH47" s="326"/>
      <c r="AI47" s="325"/>
      <c r="AJ47" s="325"/>
      <c r="AK47" s="325"/>
      <c r="AL47" s="324"/>
    </row>
    <row r="48" spans="1:38" s="315" customFormat="1" x14ac:dyDescent="0.3">
      <c r="C48" s="338"/>
      <c r="D48" s="211" t="s">
        <v>28</v>
      </c>
      <c r="E48" s="676" t="s">
        <v>60</v>
      </c>
      <c r="F48" s="676"/>
      <c r="G48" s="676"/>
      <c r="H48" s="643" t="s">
        <v>260</v>
      </c>
      <c r="I48" s="675"/>
      <c r="J48" s="316"/>
      <c r="K48" s="317"/>
      <c r="L48" s="318"/>
      <c r="M48" s="284">
        <v>28488</v>
      </c>
      <c r="N48" s="357">
        <f>Z27/M48</f>
        <v>43.26007336422353</v>
      </c>
      <c r="O48" s="248"/>
      <c r="P48" s="249"/>
      <c r="Q48" s="319" t="s">
        <v>275</v>
      </c>
      <c r="R48" s="319" t="s">
        <v>276</v>
      </c>
      <c r="S48" s="319" t="s">
        <v>277</v>
      </c>
      <c r="T48" s="343"/>
      <c r="U48" s="330"/>
      <c r="V48" s="320"/>
      <c r="W48" s="321"/>
      <c r="X48" s="322"/>
      <c r="Y48" s="322"/>
      <c r="Z48" s="323"/>
      <c r="AA48" s="324"/>
      <c r="AB48" s="324"/>
      <c r="AC48" s="324"/>
      <c r="AD48" s="324"/>
      <c r="AH48" s="326"/>
      <c r="AI48" s="325"/>
      <c r="AJ48" s="325"/>
      <c r="AK48" s="325"/>
      <c r="AL48" s="324"/>
    </row>
    <row r="49" spans="3:38" s="315" customFormat="1" x14ac:dyDescent="0.3">
      <c r="C49" s="338"/>
      <c r="D49" s="211" t="s">
        <v>21</v>
      </c>
      <c r="E49" s="611" t="s">
        <v>60</v>
      </c>
      <c r="F49" s="611"/>
      <c r="G49" s="611"/>
      <c r="H49" s="650" t="s">
        <v>231</v>
      </c>
      <c r="I49" s="651"/>
      <c r="J49" s="346"/>
      <c r="K49" s="340"/>
      <c r="L49" s="341"/>
      <c r="M49" s="240">
        <f>21619+8989</f>
        <v>30608</v>
      </c>
      <c r="N49" s="241"/>
      <c r="O49" s="238" t="s">
        <v>40</v>
      </c>
      <c r="P49" s="138"/>
      <c r="Q49" s="307" t="s">
        <v>240</v>
      </c>
      <c r="R49" s="355" t="s">
        <v>242</v>
      </c>
      <c r="S49" s="355" t="s">
        <v>241</v>
      </c>
      <c r="T49" s="347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H49" s="326"/>
      <c r="AI49" s="325"/>
      <c r="AJ49" s="334"/>
      <c r="AK49" s="334"/>
      <c r="AL49" s="324"/>
    </row>
    <row r="50" spans="3:38" s="315" customFormat="1" x14ac:dyDescent="0.3">
      <c r="C50" s="338"/>
      <c r="D50" s="211" t="s">
        <v>21</v>
      </c>
      <c r="E50" s="676" t="s">
        <v>60</v>
      </c>
      <c r="F50" s="676"/>
      <c r="G50" s="676"/>
      <c r="H50" s="643" t="s">
        <v>260</v>
      </c>
      <c r="I50" s="675"/>
      <c r="J50" s="331"/>
      <c r="K50" s="317"/>
      <c r="L50" s="318"/>
      <c r="M50" s="284">
        <v>28488</v>
      </c>
      <c r="N50" s="357">
        <f>U27/M50</f>
        <v>67.511516427969667</v>
      </c>
      <c r="O50" s="248"/>
      <c r="P50" s="249"/>
      <c r="Q50" s="319" t="s">
        <v>278</v>
      </c>
      <c r="R50" s="319" t="s">
        <v>279</v>
      </c>
      <c r="S50" s="319" t="s">
        <v>280</v>
      </c>
      <c r="T50" s="347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H50" s="326"/>
      <c r="AI50" s="325"/>
      <c r="AJ50" s="334"/>
      <c r="AK50" s="334"/>
      <c r="AL50" s="324"/>
    </row>
    <row r="51" spans="3:38" ht="13.95" customHeight="1" thickBot="1" x14ac:dyDescent="0.35">
      <c r="E51" s="634"/>
      <c r="F51" s="635"/>
      <c r="G51" s="636"/>
      <c r="H51" s="637"/>
      <c r="I51" s="638"/>
      <c r="J51" s="141"/>
      <c r="K51" s="141"/>
      <c r="L51" s="142"/>
      <c r="M51" s="270" t="s">
        <v>33</v>
      </c>
      <c r="N51" s="348">
        <f>SUBTOTAL(109,N43:N50)</f>
        <v>155.42082697311156</v>
      </c>
      <c r="O51" s="150"/>
      <c r="T51" s="181"/>
      <c r="U51" s="181"/>
      <c r="V51" s="177"/>
      <c r="W51" s="178"/>
      <c r="X51" s="178"/>
      <c r="Y51" s="178"/>
      <c r="Z51" s="180"/>
      <c r="AA51" s="90"/>
      <c r="AB51" s="90"/>
      <c r="AC51" s="21"/>
      <c r="AD51" s="21"/>
    </row>
    <row r="52" spans="3:38" x14ac:dyDescent="0.3">
      <c r="E52" s="1" t="s">
        <v>116</v>
      </c>
      <c r="O52" s="139"/>
      <c r="V52" s="178"/>
      <c r="W52" s="178"/>
      <c r="X52" s="178"/>
      <c r="Y52" s="178"/>
      <c r="Z52" s="180"/>
      <c r="AA52" s="21"/>
      <c r="AB52" s="21"/>
      <c r="AC52" s="21"/>
      <c r="AD52" s="21"/>
    </row>
    <row r="53" spans="3:38" x14ac:dyDescent="0.3">
      <c r="E53" s="1" t="s">
        <v>57</v>
      </c>
      <c r="O53" s="1"/>
      <c r="P53" s="1"/>
      <c r="Q53" s="1"/>
      <c r="R53" s="224"/>
      <c r="V53" s="178"/>
      <c r="W53" s="178"/>
      <c r="X53" s="178"/>
      <c r="Y53" s="178"/>
      <c r="Z53" s="178"/>
      <c r="AA53" s="21"/>
      <c r="AB53" s="21"/>
      <c r="AC53" s="21"/>
      <c r="AD53" s="21"/>
    </row>
    <row r="54" spans="3:38" x14ac:dyDescent="0.3">
      <c r="E54" s="1" t="s">
        <v>64</v>
      </c>
    </row>
    <row r="55" spans="3:38" x14ac:dyDescent="0.3">
      <c r="E55" s="1" t="s">
        <v>58</v>
      </c>
      <c r="V55" s="175"/>
      <c r="W55" s="175"/>
      <c r="X55" s="175"/>
      <c r="Y55" s="175"/>
      <c r="Z55" s="175"/>
      <c r="AA55" s="21"/>
      <c r="AB55" s="21"/>
      <c r="AC55" s="21"/>
      <c r="AD55" s="21"/>
    </row>
    <row r="56" spans="3:38" x14ac:dyDescent="0.3">
      <c r="E56" s="1" t="s">
        <v>59</v>
      </c>
    </row>
    <row r="57" spans="3:38" x14ac:dyDescent="0.3">
      <c r="E57" s="1" t="s">
        <v>61</v>
      </c>
    </row>
  </sheetData>
  <mergeCells count="54">
    <mergeCell ref="H44:I44"/>
    <mergeCell ref="E49:G49"/>
    <mergeCell ref="H49:I49"/>
    <mergeCell ref="E51:G51"/>
    <mergeCell ref="H51:I51"/>
    <mergeCell ref="E47:G47"/>
    <mergeCell ref="H47:I47"/>
    <mergeCell ref="E48:G48"/>
    <mergeCell ref="E50:G50"/>
    <mergeCell ref="H48:I48"/>
    <mergeCell ref="H50:I50"/>
    <mergeCell ref="E45:G45"/>
    <mergeCell ref="H45:I45"/>
    <mergeCell ref="E46:G46"/>
    <mergeCell ref="H46:I46"/>
    <mergeCell ref="T38:V38"/>
    <mergeCell ref="T39:V39"/>
    <mergeCell ref="T40:V40"/>
    <mergeCell ref="U41:X41"/>
    <mergeCell ref="Z3:Z4"/>
    <mergeCell ref="T3:T4"/>
    <mergeCell ref="U3:U4"/>
    <mergeCell ref="V3:V4"/>
    <mergeCell ref="W3:W4"/>
    <mergeCell ref="X3:X4"/>
    <mergeCell ref="Y3:Y4"/>
    <mergeCell ref="Q1:Q4"/>
    <mergeCell ref="R1:R4"/>
    <mergeCell ref="S1:S3"/>
    <mergeCell ref="T1:V2"/>
    <mergeCell ref="W1:AG2"/>
    <mergeCell ref="AF3:AF4"/>
    <mergeCell ref="AG3:AG4"/>
    <mergeCell ref="AA3:AA4"/>
    <mergeCell ref="AB3:AB4"/>
    <mergeCell ref="AC3:AC4"/>
    <mergeCell ref="AD3:AD4"/>
    <mergeCell ref="AE3:AE4"/>
    <mergeCell ref="O43:O45"/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E43:G43"/>
    <mergeCell ref="H43:I43"/>
    <mergeCell ref="E44:G44"/>
  </mergeCells>
  <phoneticPr fontId="5" type="noConversion"/>
  <pageMargins left="0.7" right="0.17" top="0.72" bottom="0.34" header="0.77" footer="0.3"/>
  <pageSetup paperSize="9" scale="66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1"/>
  <sheetViews>
    <sheetView workbookViewId="0">
      <pane ySplit="4" topLeftCell="A14" activePane="bottomLeft" state="frozen"/>
      <selection pane="bottomLeft" activeCell="D8" sqref="D8"/>
    </sheetView>
  </sheetViews>
  <sheetFormatPr defaultColWidth="9.109375" defaultRowHeight="14.4" outlineLevelRow="1" outlineLevelCol="1" x14ac:dyDescent="0.3"/>
  <cols>
    <col min="1" max="1" width="7.33203125" style="2" customWidth="1"/>
    <col min="2" max="2" width="6.33203125" style="2" customWidth="1"/>
    <col min="3" max="3" width="5.6640625" style="2" customWidth="1"/>
    <col min="4" max="4" width="8.109375" style="2" customWidth="1"/>
    <col min="5" max="5" width="6.6640625" style="35" customWidth="1"/>
    <col min="6" max="7" width="6.33203125" style="2" customWidth="1"/>
    <col min="8" max="8" width="8.332031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6.554687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0" width="11.109375" style="20" customWidth="1"/>
    <col min="21" max="21" width="11.5546875" style="20" customWidth="1"/>
    <col min="22" max="22" width="12.6640625" style="20" hidden="1" customWidth="1"/>
    <col min="23" max="23" width="11.6640625" style="20" hidden="1" customWidth="1"/>
    <col min="24" max="24" width="10.6640625" style="20" hidden="1" customWidth="1"/>
    <col min="25" max="25" width="12.6640625" style="20" hidden="1" customWidth="1"/>
    <col min="26" max="26" width="14.33203125" style="20" customWidth="1"/>
    <col min="27" max="28" width="9.6640625" style="2" hidden="1" customWidth="1"/>
    <col min="29" max="29" width="9.6640625" style="2" customWidth="1"/>
    <col min="30" max="30" width="10.6640625" style="2" customWidth="1"/>
    <col min="31" max="31" width="10.6640625" style="2" hidden="1" customWidth="1"/>
    <col min="32" max="32" width="0.109375" style="2" customWidth="1"/>
    <col min="33" max="33" width="11.33203125" style="2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556" t="s">
        <v>261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557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557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45</v>
      </c>
      <c r="Y3" s="567"/>
      <c r="Z3" s="567" t="s">
        <v>160</v>
      </c>
      <c r="AA3" s="599" t="s">
        <v>30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558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350" t="s">
        <v>10</v>
      </c>
      <c r="K4" s="351" t="s">
        <v>2</v>
      </c>
      <c r="L4" s="352" t="s">
        <v>9</v>
      </c>
      <c r="M4" s="350" t="s">
        <v>10</v>
      </c>
      <c r="N4" s="351" t="s">
        <v>2</v>
      </c>
      <c r="O4" s="352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3">
        <v>45108</v>
      </c>
      <c r="B5" s="28"/>
      <c r="C5" s="30"/>
      <c r="D5" s="22"/>
      <c r="E5" s="42">
        <f>'06.2023'!E35-B5-C5+D5</f>
        <v>321.87300000000022</v>
      </c>
      <c r="F5" s="51">
        <f>C5</f>
        <v>0</v>
      </c>
      <c r="G5" s="9"/>
      <c r="H5" s="10"/>
      <c r="I5" s="161">
        <f>'06.2023'!I35+F5-G5-H5</f>
        <v>5.7099999999999982</v>
      </c>
      <c r="J5" s="8"/>
      <c r="K5" s="11"/>
      <c r="L5" s="25"/>
      <c r="M5" s="51">
        <f t="shared" ref="M5:M35" si="0">H5</f>
        <v>0</v>
      </c>
      <c r="N5" s="24"/>
      <c r="O5" s="47">
        <f>'06.2023'!O35+M5-N5</f>
        <v>1.9009999999999978</v>
      </c>
      <c r="P5" s="46">
        <v>0</v>
      </c>
      <c r="Q5" s="45">
        <f t="shared" ref="Q5:Q35" si="1">E5+I5+L5+O5</f>
        <v>329.48400000000021</v>
      </c>
      <c r="R5" s="165">
        <f>B5+G5+H5+J5</f>
        <v>0</v>
      </c>
      <c r="S5" s="159">
        <f>'06.2023'!S34</f>
        <v>65.646999999999991</v>
      </c>
      <c r="T5" s="58">
        <f>'06.2023'!T34</f>
        <v>1199903.6000000001</v>
      </c>
      <c r="U5" s="58">
        <f>'06.2023'!U34</f>
        <v>1923268.08</v>
      </c>
      <c r="V5" s="58">
        <f>'06.2023'!V34</f>
        <v>0</v>
      </c>
      <c r="W5" s="58">
        <f>'06.2023'!W34</f>
        <v>0</v>
      </c>
      <c r="X5" s="58">
        <f>'06.2023'!X34</f>
        <v>0</v>
      </c>
      <c r="Y5" s="58">
        <f>'06.2023'!Y34</f>
        <v>0</v>
      </c>
      <c r="Z5" s="58">
        <f>'06.2023'!Z34</f>
        <v>1232392.97</v>
      </c>
      <c r="AA5" s="58" t="e">
        <f>#REF!</f>
        <v>#REF!</v>
      </c>
      <c r="AB5" s="58" t="e">
        <f>#REF!</f>
        <v>#REF!</v>
      </c>
      <c r="AC5" s="58"/>
      <c r="AD5" s="87"/>
      <c r="AE5" s="58"/>
      <c r="AF5" s="58" t="e">
        <f>#REF!</f>
        <v>#REF!</v>
      </c>
      <c r="AG5" s="58"/>
      <c r="AH5" s="127" t="s">
        <v>43</v>
      </c>
      <c r="AI5" s="126">
        <v>33</v>
      </c>
      <c r="AJ5" s="103" t="s">
        <v>282</v>
      </c>
      <c r="AK5" s="229">
        <v>50514314</v>
      </c>
      <c r="AL5" s="21"/>
      <c r="AM5" s="21"/>
    </row>
    <row r="6" spans="1:40" ht="13.2" customHeight="1" thickBot="1" x14ac:dyDescent="0.35">
      <c r="A6" s="3">
        <v>45109</v>
      </c>
      <c r="B6" s="28"/>
      <c r="C6" s="30"/>
      <c r="D6" s="22"/>
      <c r="E6" s="43">
        <f t="shared" ref="E6:E35" si="2">E5+D6-B6-C6</f>
        <v>321.87300000000022</v>
      </c>
      <c r="F6" s="51">
        <f t="shared" ref="F6:F35" si="3">C6</f>
        <v>0</v>
      </c>
      <c r="G6" s="9"/>
      <c r="H6" s="10"/>
      <c r="I6" s="161">
        <f t="shared" ref="I6:I35" si="4">I5+F6-G6-H6</f>
        <v>5.7099999999999982</v>
      </c>
      <c r="J6" s="8"/>
      <c r="K6" s="11"/>
      <c r="L6" s="12"/>
      <c r="M6" s="51">
        <f t="shared" si="0"/>
        <v>0</v>
      </c>
      <c r="N6" s="24"/>
      <c r="O6" s="47">
        <f t="shared" ref="O6:O34" si="5">O5+M6-N6</f>
        <v>1.9009999999999978</v>
      </c>
      <c r="P6" s="48"/>
      <c r="Q6" s="47">
        <f t="shared" si="1"/>
        <v>329.48400000000021</v>
      </c>
      <c r="R6" s="165">
        <f t="shared" ref="R6:R35" si="6">B6+G6+H6+J6</f>
        <v>0</v>
      </c>
      <c r="S6" s="159">
        <v>65.646999999999991</v>
      </c>
      <c r="T6" s="58">
        <v>1199903.6000000001</v>
      </c>
      <c r="U6" s="58">
        <v>1923268.08</v>
      </c>
      <c r="V6" s="58">
        <v>0</v>
      </c>
      <c r="W6" s="87">
        <v>0</v>
      </c>
      <c r="X6" s="58">
        <v>0</v>
      </c>
      <c r="Y6" s="107">
        <v>0</v>
      </c>
      <c r="Z6" s="58">
        <v>1232392.97</v>
      </c>
      <c r="AA6" s="58">
        <v>0</v>
      </c>
      <c r="AB6" s="58">
        <v>0</v>
      </c>
      <c r="AC6" s="58"/>
      <c r="AD6" s="87"/>
      <c r="AE6" s="58"/>
      <c r="AF6" s="58">
        <v>0</v>
      </c>
      <c r="AG6" s="58"/>
      <c r="AH6" s="123"/>
      <c r="AI6" s="122"/>
      <c r="AJ6" s="349"/>
      <c r="AM6" s="21"/>
    </row>
    <row r="7" spans="1:40" ht="13.2" customHeight="1" thickBot="1" x14ac:dyDescent="0.35">
      <c r="A7" s="7">
        <v>45110</v>
      </c>
      <c r="B7" s="28">
        <v>20.73</v>
      </c>
      <c r="C7" s="30">
        <v>1.8320000000000001</v>
      </c>
      <c r="D7" s="22"/>
      <c r="E7" s="43">
        <f t="shared" si="2"/>
        <v>299.31100000000021</v>
      </c>
      <c r="F7" s="51">
        <f t="shared" si="3"/>
        <v>1.8320000000000001</v>
      </c>
      <c r="G7" s="9">
        <f>1.072-H7</f>
        <v>0.8</v>
      </c>
      <c r="H7" s="10">
        <v>0.27200000000000002</v>
      </c>
      <c r="I7" s="161">
        <f t="shared" si="4"/>
        <v>6.469999999999998</v>
      </c>
      <c r="J7" s="8"/>
      <c r="K7" s="11"/>
      <c r="L7" s="12"/>
      <c r="M7" s="51">
        <f t="shared" si="0"/>
        <v>0.27200000000000002</v>
      </c>
      <c r="N7" s="24">
        <v>0.38300000000000001</v>
      </c>
      <c r="O7" s="47">
        <f t="shared" si="5"/>
        <v>1.7899999999999978</v>
      </c>
      <c r="P7" s="48"/>
      <c r="Q7" s="47">
        <f t="shared" si="1"/>
        <v>307.5710000000002</v>
      </c>
      <c r="R7" s="165">
        <f t="shared" si="6"/>
        <v>21.802</v>
      </c>
      <c r="S7" s="159">
        <f>'06.2023'!AI32+AI5+'06.2023'!AI12</f>
        <v>98.647000000000006</v>
      </c>
      <c r="T7" s="59">
        <f>1199903.6-AI5*M43</f>
        <v>313061.60000000009</v>
      </c>
      <c r="U7" s="58">
        <v>1923268.08</v>
      </c>
      <c r="V7" s="58">
        <v>0</v>
      </c>
      <c r="W7" s="87">
        <v>0</v>
      </c>
      <c r="X7" s="58">
        <v>0</v>
      </c>
      <c r="Y7" s="58">
        <v>0</v>
      </c>
      <c r="Z7" s="87">
        <v>1232392.97</v>
      </c>
      <c r="AA7" s="58">
        <v>0</v>
      </c>
      <c r="AB7" s="58">
        <v>0</v>
      </c>
      <c r="AC7" s="58"/>
      <c r="AD7" s="87"/>
      <c r="AE7" s="58"/>
      <c r="AF7" s="58">
        <v>0</v>
      </c>
      <c r="AG7" s="58"/>
      <c r="AH7" s="128"/>
      <c r="AI7" s="120"/>
      <c r="AJ7" s="99"/>
      <c r="AL7" s="21"/>
      <c r="AM7" s="21"/>
    </row>
    <row r="8" spans="1:40" ht="12.75" customHeight="1" thickBot="1" x14ac:dyDescent="0.35">
      <c r="A8" s="7">
        <v>45111</v>
      </c>
      <c r="B8" s="28">
        <v>8.74</v>
      </c>
      <c r="C8" s="30">
        <v>2.2909999999999999</v>
      </c>
      <c r="D8" s="186">
        <f>'06.2023'!AI32+'06.2023'!AI12</f>
        <v>65.646999999999991</v>
      </c>
      <c r="E8" s="43">
        <f t="shared" si="2"/>
        <v>353.92700000000019</v>
      </c>
      <c r="F8" s="51">
        <f t="shared" si="3"/>
        <v>2.2909999999999999</v>
      </c>
      <c r="G8" s="9">
        <f>3.601-H8</f>
        <v>3.07</v>
      </c>
      <c r="H8" s="10">
        <v>0.53100000000000003</v>
      </c>
      <c r="I8" s="161">
        <f t="shared" si="4"/>
        <v>5.1599999999999975</v>
      </c>
      <c r="J8" s="8"/>
      <c r="K8" s="11"/>
      <c r="L8" s="12"/>
      <c r="M8" s="51">
        <f t="shared" si="0"/>
        <v>0.53100000000000003</v>
      </c>
      <c r="N8" s="24">
        <v>0.30599999999999999</v>
      </c>
      <c r="O8" s="47">
        <f t="shared" si="5"/>
        <v>2.0149999999999979</v>
      </c>
      <c r="P8" s="48"/>
      <c r="Q8" s="47">
        <f t="shared" si="1"/>
        <v>361.1020000000002</v>
      </c>
      <c r="R8" s="165">
        <f t="shared" si="6"/>
        <v>12.341000000000001</v>
      </c>
      <c r="S8" s="159">
        <f>AI5</f>
        <v>33</v>
      </c>
      <c r="T8" s="58">
        <f>313061.6+640000</f>
        <v>953061.6</v>
      </c>
      <c r="U8" s="86">
        <f>1923268.08+1382000</f>
        <v>3305268.08</v>
      </c>
      <c r="V8" s="86">
        <v>0</v>
      </c>
      <c r="W8" s="87">
        <v>0</v>
      </c>
      <c r="X8" s="58">
        <v>0</v>
      </c>
      <c r="Y8" s="58">
        <v>0</v>
      </c>
      <c r="Z8" s="87">
        <f>1232392.97+940000</f>
        <v>2172392.9699999997</v>
      </c>
      <c r="AA8" s="58">
        <v>0</v>
      </c>
      <c r="AB8" s="58">
        <v>0</v>
      </c>
      <c r="AC8" s="58"/>
      <c r="AD8" s="87"/>
      <c r="AE8" s="58"/>
      <c r="AF8" s="58">
        <v>0</v>
      </c>
      <c r="AG8" s="58"/>
      <c r="AH8" s="128" t="s">
        <v>48</v>
      </c>
      <c r="AI8" s="120">
        <v>33.847000000000001</v>
      </c>
      <c r="AJ8" s="99" t="s">
        <v>284</v>
      </c>
      <c r="AK8" s="91">
        <v>58221227</v>
      </c>
      <c r="AL8" s="239"/>
      <c r="AM8" s="21"/>
    </row>
    <row r="9" spans="1:40" ht="13.2" customHeight="1" thickBot="1" x14ac:dyDescent="0.35">
      <c r="A9" s="7">
        <v>45112</v>
      </c>
      <c r="B9" s="28">
        <v>38.659999999999997</v>
      </c>
      <c r="C9" s="30">
        <v>7.3070000000000004</v>
      </c>
      <c r="D9" s="186"/>
      <c r="E9" s="43">
        <f t="shared" si="2"/>
        <v>307.96000000000015</v>
      </c>
      <c r="F9" s="51">
        <f t="shared" si="3"/>
        <v>7.3070000000000004</v>
      </c>
      <c r="G9" s="9">
        <f>8.867</f>
        <v>8.8670000000000009</v>
      </c>
      <c r="H9" s="10"/>
      <c r="I9" s="161">
        <f t="shared" si="4"/>
        <v>3.5999999999999979</v>
      </c>
      <c r="J9" s="8"/>
      <c r="K9" s="11"/>
      <c r="L9" s="12"/>
      <c r="M9" s="51">
        <f t="shared" si="0"/>
        <v>0</v>
      </c>
      <c r="N9" s="24">
        <v>0.35399999999999998</v>
      </c>
      <c r="O9" s="47">
        <f t="shared" si="5"/>
        <v>1.6609999999999978</v>
      </c>
      <c r="P9" s="48"/>
      <c r="Q9" s="47">
        <f t="shared" si="1"/>
        <v>313.22100000000017</v>
      </c>
      <c r="R9" s="165">
        <f t="shared" si="6"/>
        <v>47.527000000000001</v>
      </c>
      <c r="S9" s="159">
        <f>AI5+AI8+AI9</f>
        <v>97.735000000000014</v>
      </c>
      <c r="T9" s="58">
        <v>953061.6</v>
      </c>
      <c r="U9" s="157">
        <f>3305268.08-(AI8+AI9)*M52</f>
        <v>1547712.83</v>
      </c>
      <c r="V9" s="86">
        <v>0</v>
      </c>
      <c r="W9" s="87">
        <v>0</v>
      </c>
      <c r="X9" s="58">
        <v>0</v>
      </c>
      <c r="Y9" s="58">
        <v>0</v>
      </c>
      <c r="Z9" s="87">
        <v>2172392.9699999997</v>
      </c>
      <c r="AA9" s="87">
        <v>0</v>
      </c>
      <c r="AB9" s="80">
        <v>0</v>
      </c>
      <c r="AC9" s="58"/>
      <c r="AD9" s="87"/>
      <c r="AE9" s="55"/>
      <c r="AF9" s="14">
        <v>0</v>
      </c>
      <c r="AG9" s="58"/>
      <c r="AH9" s="128" t="s">
        <v>48</v>
      </c>
      <c r="AI9" s="120">
        <v>30.888000000000002</v>
      </c>
      <c r="AJ9" s="99" t="s">
        <v>285</v>
      </c>
      <c r="AK9" s="91">
        <v>50837418</v>
      </c>
      <c r="AL9" s="99"/>
      <c r="AM9" s="21"/>
      <c r="AN9" s="21"/>
    </row>
    <row r="10" spans="1:40" s="1" customFormat="1" ht="13.2" customHeight="1" thickBot="1" x14ac:dyDescent="0.35">
      <c r="A10" s="7">
        <v>45113</v>
      </c>
      <c r="B10" s="28">
        <f>26.38-4.9</f>
        <v>21.479999999999997</v>
      </c>
      <c r="C10" s="30">
        <v>2.7389999999999999</v>
      </c>
      <c r="D10" s="186"/>
      <c r="E10" s="43">
        <f t="shared" si="2"/>
        <v>283.74100000000016</v>
      </c>
      <c r="F10" s="51">
        <f t="shared" si="3"/>
        <v>2.7389999999999999</v>
      </c>
      <c r="G10" s="30">
        <f>0.789-H10</f>
        <v>0.29400000000000004</v>
      </c>
      <c r="H10" s="10">
        <v>0.495</v>
      </c>
      <c r="I10" s="161">
        <f t="shared" si="4"/>
        <v>5.549999999999998</v>
      </c>
      <c r="J10" s="8"/>
      <c r="K10" s="11"/>
      <c r="L10" s="12"/>
      <c r="M10" s="51">
        <f t="shared" si="0"/>
        <v>0.495</v>
      </c>
      <c r="N10" s="24">
        <v>0.316</v>
      </c>
      <c r="O10" s="47">
        <f t="shared" si="5"/>
        <v>1.8399999999999979</v>
      </c>
      <c r="P10" s="48"/>
      <c r="Q10" s="47">
        <f t="shared" si="1"/>
        <v>291.13100000000014</v>
      </c>
      <c r="R10" s="165">
        <f t="shared" si="6"/>
        <v>22.268999999999998</v>
      </c>
      <c r="S10" s="159">
        <v>97.735000000000014</v>
      </c>
      <c r="T10" s="86">
        <v>953061.6</v>
      </c>
      <c r="U10" s="86">
        <v>1547712.83</v>
      </c>
      <c r="V10" s="212">
        <v>0</v>
      </c>
      <c r="W10" s="87">
        <v>0</v>
      </c>
      <c r="X10" s="79">
        <v>0</v>
      </c>
      <c r="Y10" s="58">
        <v>0</v>
      </c>
      <c r="Z10" s="87">
        <v>2172392.9699999997</v>
      </c>
      <c r="AA10" s="87"/>
      <c r="AB10" s="80"/>
      <c r="AC10" s="58"/>
      <c r="AD10" s="87"/>
      <c r="AE10" s="55"/>
      <c r="AF10" s="136"/>
      <c r="AG10" s="58"/>
      <c r="AH10" s="127"/>
      <c r="AI10" s="126"/>
      <c r="AJ10" s="349"/>
      <c r="AK10" s="91"/>
      <c r="AL10" s="239"/>
      <c r="AM10" s="27"/>
      <c r="AN10" s="27"/>
    </row>
    <row r="11" spans="1:40" ht="13.2" customHeight="1" thickBot="1" x14ac:dyDescent="0.35">
      <c r="A11" s="7">
        <v>45114</v>
      </c>
      <c r="B11" s="28">
        <v>25.36</v>
      </c>
      <c r="C11" s="30">
        <v>1.026</v>
      </c>
      <c r="D11" s="186"/>
      <c r="E11" s="43">
        <f>E10+D11-B11-C11</f>
        <v>257.35500000000013</v>
      </c>
      <c r="F11" s="51">
        <f t="shared" si="3"/>
        <v>1.026</v>
      </c>
      <c r="G11" s="9">
        <f>1.986-H11</f>
        <v>1.986</v>
      </c>
      <c r="H11" s="10"/>
      <c r="I11" s="161">
        <f>I10+F11-G11-H11+0.08+0.12</f>
        <v>4.7899999999999983</v>
      </c>
      <c r="J11" s="8"/>
      <c r="K11" s="11"/>
      <c r="L11" s="12"/>
      <c r="M11" s="51">
        <f t="shared" si="0"/>
        <v>0</v>
      </c>
      <c r="N11" s="24">
        <v>0.34499999999999997</v>
      </c>
      <c r="O11" s="47">
        <f t="shared" si="5"/>
        <v>1.4949999999999979</v>
      </c>
      <c r="P11" s="48"/>
      <c r="Q11" s="47">
        <f t="shared" si="1"/>
        <v>263.64000000000016</v>
      </c>
      <c r="R11" s="165">
        <f>B11+G11+H11+J11</f>
        <v>27.346</v>
      </c>
      <c r="S11" s="160">
        <v>97.735000000000014</v>
      </c>
      <c r="T11" s="86">
        <v>953061.6</v>
      </c>
      <c r="U11" s="86">
        <v>1547712.83</v>
      </c>
      <c r="V11" s="212">
        <v>0</v>
      </c>
      <c r="W11" s="87">
        <v>0</v>
      </c>
      <c r="X11" s="79">
        <v>0</v>
      </c>
      <c r="Y11" s="58">
        <v>0</v>
      </c>
      <c r="Z11" s="87">
        <v>2172392.9699999997</v>
      </c>
      <c r="AA11" s="87"/>
      <c r="AB11" s="80"/>
      <c r="AC11" s="58"/>
      <c r="AD11" s="87"/>
      <c r="AE11" s="55"/>
      <c r="AF11" s="14"/>
      <c r="AG11" s="86"/>
      <c r="AI11" s="122"/>
      <c r="AJ11" s="103"/>
      <c r="AK11" s="91"/>
      <c r="AL11" s="21"/>
      <c r="AM11" s="21"/>
      <c r="AN11" s="21"/>
    </row>
    <row r="12" spans="1:40" ht="13.2" customHeight="1" thickBot="1" x14ac:dyDescent="0.35">
      <c r="A12" s="3">
        <v>45115</v>
      </c>
      <c r="B12" s="28"/>
      <c r="C12" s="30"/>
      <c r="D12" s="186"/>
      <c r="E12" s="43">
        <f>E11+D12-B12-C12</f>
        <v>257.35500000000013</v>
      </c>
      <c r="F12" s="51">
        <f t="shared" si="3"/>
        <v>0</v>
      </c>
      <c r="G12" s="30"/>
      <c r="H12" s="24"/>
      <c r="I12" s="161">
        <f t="shared" si="4"/>
        <v>4.7899999999999983</v>
      </c>
      <c r="J12" s="8"/>
      <c r="K12" s="11"/>
      <c r="L12" s="12"/>
      <c r="M12" s="51">
        <f t="shared" si="0"/>
        <v>0</v>
      </c>
      <c r="N12" s="24"/>
      <c r="O12" s="47">
        <f t="shared" si="5"/>
        <v>1.4949999999999979</v>
      </c>
      <c r="P12" s="48"/>
      <c r="Q12" s="47">
        <f t="shared" si="1"/>
        <v>263.64000000000016</v>
      </c>
      <c r="R12" s="165">
        <f>B12+G12+H12+J12</f>
        <v>0</v>
      </c>
      <c r="S12" s="160">
        <v>97.735000000000014</v>
      </c>
      <c r="T12" s="86">
        <v>953061.6</v>
      </c>
      <c r="U12" s="86">
        <v>1547712.83</v>
      </c>
      <c r="V12" s="212">
        <v>0</v>
      </c>
      <c r="W12" s="87">
        <v>0</v>
      </c>
      <c r="X12" s="79">
        <v>0</v>
      </c>
      <c r="Y12" s="58">
        <v>0</v>
      </c>
      <c r="Z12" s="87">
        <v>2172392.9699999997</v>
      </c>
      <c r="AA12" s="86"/>
      <c r="AB12" s="80"/>
      <c r="AC12" s="58"/>
      <c r="AD12" s="87"/>
      <c r="AE12" s="55"/>
      <c r="AF12" s="14"/>
      <c r="AG12" s="86"/>
      <c r="AH12" s="127" t="s">
        <v>43</v>
      </c>
      <c r="AI12" s="126">
        <v>32.799999999999997</v>
      </c>
      <c r="AJ12" s="103" t="s">
        <v>286</v>
      </c>
      <c r="AK12" s="117">
        <v>50820755</v>
      </c>
      <c r="AL12" s="21"/>
      <c r="AM12" s="21"/>
      <c r="AN12" s="21"/>
    </row>
    <row r="13" spans="1:40" ht="13.2" customHeight="1" thickBot="1" x14ac:dyDescent="0.35">
      <c r="A13" s="3">
        <v>45116</v>
      </c>
      <c r="B13" s="28"/>
      <c r="C13" s="30"/>
      <c r="D13" s="186"/>
      <c r="E13" s="43">
        <f t="shared" si="2"/>
        <v>257.35500000000013</v>
      </c>
      <c r="F13" s="51">
        <f t="shared" si="3"/>
        <v>0</v>
      </c>
      <c r="G13" s="9"/>
      <c r="H13" s="10"/>
      <c r="I13" s="161">
        <f t="shared" si="4"/>
        <v>4.7899999999999983</v>
      </c>
      <c r="J13" s="8"/>
      <c r="K13" s="26"/>
      <c r="L13" s="12"/>
      <c r="M13" s="51">
        <f t="shared" si="0"/>
        <v>0</v>
      </c>
      <c r="N13" s="24"/>
      <c r="O13" s="47">
        <f t="shared" si="5"/>
        <v>1.4949999999999979</v>
      </c>
      <c r="P13" s="48"/>
      <c r="Q13" s="47">
        <f t="shared" si="1"/>
        <v>263.64000000000016</v>
      </c>
      <c r="R13" s="165">
        <f t="shared" si="6"/>
        <v>0</v>
      </c>
      <c r="S13" s="160">
        <v>97.735000000000014</v>
      </c>
      <c r="T13" s="86">
        <v>953061.6</v>
      </c>
      <c r="U13" s="86">
        <v>1547712.83</v>
      </c>
      <c r="V13" s="212">
        <v>0</v>
      </c>
      <c r="W13" s="87">
        <v>0</v>
      </c>
      <c r="X13" s="79">
        <v>0</v>
      </c>
      <c r="Y13" s="58">
        <v>0</v>
      </c>
      <c r="Z13" s="87">
        <v>2172392.9699999997</v>
      </c>
      <c r="AA13" s="86"/>
      <c r="AB13" s="80"/>
      <c r="AC13" s="58"/>
      <c r="AD13" s="87"/>
      <c r="AE13" s="55"/>
      <c r="AF13" s="14"/>
      <c r="AG13" s="86"/>
      <c r="AH13" s="127"/>
      <c r="AI13" s="126"/>
      <c r="AJ13" s="99"/>
      <c r="AK13" s="91"/>
      <c r="AL13" s="135"/>
      <c r="AM13" s="21"/>
      <c r="AN13" s="21"/>
    </row>
    <row r="14" spans="1:40" ht="13.2" customHeight="1" thickBot="1" x14ac:dyDescent="0.35">
      <c r="A14" s="7">
        <v>45117</v>
      </c>
      <c r="B14" s="28">
        <v>24.53</v>
      </c>
      <c r="C14" s="30">
        <v>2.5579999999999998</v>
      </c>
      <c r="D14" s="186"/>
      <c r="E14" s="43">
        <f t="shared" si="2"/>
        <v>230.26700000000014</v>
      </c>
      <c r="F14" s="51">
        <f t="shared" si="3"/>
        <v>2.5579999999999998</v>
      </c>
      <c r="G14" s="30">
        <f>1.438-H14</f>
        <v>0.92399999999999993</v>
      </c>
      <c r="H14" s="24">
        <v>0.51400000000000001</v>
      </c>
      <c r="I14" s="161">
        <f t="shared" si="4"/>
        <v>5.9099999999999975</v>
      </c>
      <c r="J14" s="8"/>
      <c r="K14" s="11"/>
      <c r="L14" s="12"/>
      <c r="M14" s="51">
        <f t="shared" si="0"/>
        <v>0.51400000000000001</v>
      </c>
      <c r="N14" s="24">
        <v>0.41599999999999998</v>
      </c>
      <c r="O14" s="47">
        <f t="shared" si="5"/>
        <v>1.5929999999999978</v>
      </c>
      <c r="P14" s="48"/>
      <c r="Q14" s="47">
        <f t="shared" si="1"/>
        <v>237.77000000000012</v>
      </c>
      <c r="R14" s="165">
        <f t="shared" si="6"/>
        <v>25.968</v>
      </c>
      <c r="S14" s="160">
        <f>AI5+AI8+AI9+AI12</f>
        <v>130.53500000000003</v>
      </c>
      <c r="T14" s="59">
        <f>953061.6-AI12*M43</f>
        <v>71594.400000000023</v>
      </c>
      <c r="U14" s="86">
        <v>1547712.83</v>
      </c>
      <c r="V14" s="212">
        <v>0</v>
      </c>
      <c r="W14" s="87">
        <v>0</v>
      </c>
      <c r="X14" s="79">
        <v>0</v>
      </c>
      <c r="Y14" s="58">
        <v>0</v>
      </c>
      <c r="Z14" s="87">
        <v>2172392.9699999997</v>
      </c>
      <c r="AA14" s="86"/>
      <c r="AB14" s="80"/>
      <c r="AC14" s="58"/>
      <c r="AD14" s="87"/>
      <c r="AE14" s="55"/>
      <c r="AF14" s="14"/>
      <c r="AG14" s="86"/>
      <c r="AH14" s="128"/>
      <c r="AI14" s="120"/>
      <c r="AJ14" s="208"/>
      <c r="AK14" s="91"/>
      <c r="AL14" s="239"/>
      <c r="AM14" s="21"/>
      <c r="AN14" s="21"/>
    </row>
    <row r="15" spans="1:40" ht="13.2" customHeight="1" thickBot="1" x14ac:dyDescent="0.35">
      <c r="A15" s="7">
        <v>45118</v>
      </c>
      <c r="B15" s="28">
        <v>8.25</v>
      </c>
      <c r="C15" s="30">
        <v>0.85299999999999998</v>
      </c>
      <c r="D15" s="186"/>
      <c r="E15" s="43">
        <f t="shared" si="2"/>
        <v>221.16400000000013</v>
      </c>
      <c r="F15" s="51">
        <f t="shared" si="3"/>
        <v>0.85299999999999998</v>
      </c>
      <c r="G15" s="9">
        <f>3.073-H15</f>
        <v>2.2000000000000002</v>
      </c>
      <c r="H15" s="10">
        <v>0.873</v>
      </c>
      <c r="I15" s="161">
        <f t="shared" si="4"/>
        <v>3.6899999999999968</v>
      </c>
      <c r="J15" s="8"/>
      <c r="K15" s="11"/>
      <c r="L15" s="12"/>
      <c r="M15" s="51">
        <f>H15</f>
        <v>0.873</v>
      </c>
      <c r="N15" s="24">
        <v>0.432</v>
      </c>
      <c r="O15" s="47">
        <f t="shared" si="5"/>
        <v>2.0339999999999976</v>
      </c>
      <c r="P15" s="48"/>
      <c r="Q15" s="47">
        <f t="shared" si="1"/>
        <v>226.88800000000012</v>
      </c>
      <c r="R15" s="165">
        <f t="shared" si="6"/>
        <v>11.322999999999999</v>
      </c>
      <c r="S15" s="160">
        <v>130.53500000000003</v>
      </c>
      <c r="T15" s="86">
        <v>71594.400000000023</v>
      </c>
      <c r="U15" s="80">
        <v>1547712.83</v>
      </c>
      <c r="V15" s="80">
        <v>0</v>
      </c>
      <c r="W15" s="87">
        <v>0</v>
      </c>
      <c r="X15" s="79">
        <v>0</v>
      </c>
      <c r="Y15" s="58">
        <v>0</v>
      </c>
      <c r="Z15" s="87">
        <v>2172392.9699999997</v>
      </c>
      <c r="AA15" s="86"/>
      <c r="AB15" s="80"/>
      <c r="AC15" s="58"/>
      <c r="AD15" s="87"/>
      <c r="AE15" s="55"/>
      <c r="AF15" s="14"/>
      <c r="AG15" s="86"/>
      <c r="AH15" s="127"/>
      <c r="AI15" s="126"/>
      <c r="AJ15" s="99"/>
      <c r="AK15" s="91"/>
      <c r="AL15" s="239"/>
      <c r="AM15" s="21"/>
      <c r="AN15" s="21"/>
    </row>
    <row r="16" spans="1:40" ht="13.2" customHeight="1" thickBot="1" x14ac:dyDescent="0.35">
      <c r="A16" s="7">
        <v>45119</v>
      </c>
      <c r="B16" s="28">
        <v>25.26</v>
      </c>
      <c r="C16" s="30">
        <v>1.909</v>
      </c>
      <c r="D16" s="186">
        <f>AI5</f>
        <v>33</v>
      </c>
      <c r="E16" s="43">
        <f t="shared" si="2"/>
        <v>226.99500000000015</v>
      </c>
      <c r="F16" s="51">
        <f t="shared" si="3"/>
        <v>1.909</v>
      </c>
      <c r="G16" s="9">
        <f>0.119-H16</f>
        <v>8.199999999999999E-2</v>
      </c>
      <c r="H16" s="10">
        <v>3.6999999999999998E-2</v>
      </c>
      <c r="I16" s="161">
        <f t="shared" si="4"/>
        <v>5.4799999999999969</v>
      </c>
      <c r="J16" s="8"/>
      <c r="K16" s="11"/>
      <c r="L16" s="12"/>
      <c r="M16" s="51">
        <f t="shared" si="0"/>
        <v>3.6999999999999998E-2</v>
      </c>
      <c r="N16" s="24">
        <v>0.29299999999999998</v>
      </c>
      <c r="O16" s="47">
        <f t="shared" si="5"/>
        <v>1.7779999999999976</v>
      </c>
      <c r="P16" s="48"/>
      <c r="Q16" s="47">
        <f t="shared" si="1"/>
        <v>234.25300000000013</v>
      </c>
      <c r="R16" s="165">
        <f t="shared" si="6"/>
        <v>25.379000000000001</v>
      </c>
      <c r="S16" s="160">
        <f>AI8+AI9+AI12</f>
        <v>97.534999999999997</v>
      </c>
      <c r="T16" s="86">
        <v>71594.400000000023</v>
      </c>
      <c r="U16" s="157">
        <f>1547712.83-AI17*M52</f>
        <v>562194.9800000001</v>
      </c>
      <c r="V16" s="80">
        <v>0</v>
      </c>
      <c r="W16" s="87">
        <v>0</v>
      </c>
      <c r="X16" s="85">
        <v>0</v>
      </c>
      <c r="Y16" s="58">
        <v>0</v>
      </c>
      <c r="Z16" s="86">
        <v>2172392.9699999997</v>
      </c>
      <c r="AA16" s="86"/>
      <c r="AB16" s="80"/>
      <c r="AC16" s="58"/>
      <c r="AD16" s="87"/>
      <c r="AE16" s="55"/>
      <c r="AF16" s="14"/>
      <c r="AG16" s="86"/>
      <c r="AH16" s="123" t="s">
        <v>49</v>
      </c>
      <c r="AI16" s="122">
        <v>32.722000000000001</v>
      </c>
      <c r="AJ16" s="103" t="s">
        <v>295</v>
      </c>
      <c r="AK16" s="91">
        <v>50857127</v>
      </c>
      <c r="AL16" s="239"/>
      <c r="AM16" s="21"/>
      <c r="AN16" s="21"/>
    </row>
    <row r="17" spans="1:40" s="1" customFormat="1" ht="13.2" customHeight="1" thickBot="1" x14ac:dyDescent="0.35">
      <c r="A17" s="7">
        <v>45120</v>
      </c>
      <c r="B17" s="28">
        <v>8.06</v>
      </c>
      <c r="C17" s="30">
        <v>1.171</v>
      </c>
      <c r="D17" s="186"/>
      <c r="E17" s="43">
        <f t="shared" si="2"/>
        <v>217.76400000000015</v>
      </c>
      <c r="F17" s="51">
        <f t="shared" si="3"/>
        <v>1.171</v>
      </c>
      <c r="G17" s="9">
        <f>0.501-H17</f>
        <v>8.500000000000002E-2</v>
      </c>
      <c r="H17" s="10">
        <v>0.41599999999999998</v>
      </c>
      <c r="I17" s="161">
        <f t="shared" si="4"/>
        <v>6.1499999999999968</v>
      </c>
      <c r="J17" s="4"/>
      <c r="K17" s="5"/>
      <c r="L17" s="6"/>
      <c r="M17" s="51">
        <f t="shared" si="0"/>
        <v>0.41599999999999998</v>
      </c>
      <c r="N17" s="24">
        <v>0.26100000000000001</v>
      </c>
      <c r="O17" s="47">
        <f t="shared" si="5"/>
        <v>1.9329999999999976</v>
      </c>
      <c r="P17" s="49"/>
      <c r="Q17" s="47">
        <f t="shared" si="1"/>
        <v>225.84700000000015</v>
      </c>
      <c r="R17" s="165">
        <f t="shared" si="6"/>
        <v>8.5610000000000017</v>
      </c>
      <c r="S17" s="160">
        <f>AI8+AI9+AI12+AI16+AI17</f>
        <v>166.55600000000001</v>
      </c>
      <c r="T17" s="86">
        <v>71594.400000000023</v>
      </c>
      <c r="U17" s="80">
        <v>562194.9800000001</v>
      </c>
      <c r="V17" s="80">
        <v>0</v>
      </c>
      <c r="W17" s="87">
        <v>0</v>
      </c>
      <c r="X17" s="289">
        <v>0</v>
      </c>
      <c r="Y17" s="290">
        <v>0</v>
      </c>
      <c r="Z17" s="107">
        <f>2172392.97-AI16*M52</f>
        <v>1283990.6700000002</v>
      </c>
      <c r="AA17" s="86"/>
      <c r="AB17" s="80"/>
      <c r="AC17" s="58"/>
      <c r="AD17" s="87"/>
      <c r="AE17" s="55"/>
      <c r="AF17" s="14"/>
      <c r="AG17" s="86"/>
      <c r="AH17" s="128" t="s">
        <v>308</v>
      </c>
      <c r="AI17" s="120">
        <v>36.298999999999999</v>
      </c>
      <c r="AJ17" s="103" t="s">
        <v>296</v>
      </c>
      <c r="AK17" s="91">
        <v>76645340</v>
      </c>
      <c r="AL17" s="130"/>
      <c r="AM17" s="99"/>
      <c r="AN17" s="27"/>
    </row>
    <row r="18" spans="1:40" ht="13.2" customHeight="1" thickBot="1" x14ac:dyDescent="0.35">
      <c r="A18" s="7">
        <v>45121</v>
      </c>
      <c r="B18" s="28">
        <v>23.79</v>
      </c>
      <c r="C18" s="30">
        <v>0.82</v>
      </c>
      <c r="D18" s="186">
        <f>AI12</f>
        <v>32.799999999999997</v>
      </c>
      <c r="E18" s="43">
        <f t="shared" si="2"/>
        <v>225.95400000000015</v>
      </c>
      <c r="F18" s="51">
        <f t="shared" si="3"/>
        <v>0.82</v>
      </c>
      <c r="G18" s="9">
        <f>3.74-H18</f>
        <v>3.3540000000000001</v>
      </c>
      <c r="H18" s="10">
        <v>0.38600000000000001</v>
      </c>
      <c r="I18" s="161">
        <f t="shared" si="4"/>
        <v>3.2299999999999969</v>
      </c>
      <c r="J18" s="8"/>
      <c r="K18" s="11"/>
      <c r="L18" s="12"/>
      <c r="M18" s="51">
        <f t="shared" si="0"/>
        <v>0.38600000000000001</v>
      </c>
      <c r="N18" s="24">
        <v>0.31</v>
      </c>
      <c r="O18" s="47">
        <f t="shared" si="5"/>
        <v>2.0089999999999977</v>
      </c>
      <c r="P18" s="48"/>
      <c r="Q18" s="47">
        <f t="shared" si="1"/>
        <v>231.19300000000013</v>
      </c>
      <c r="R18" s="165">
        <f t="shared" si="6"/>
        <v>27.529999999999998</v>
      </c>
      <c r="S18" s="160">
        <f>AI8+AI9+AI16+AI17+AI18</f>
        <v>166.73099999999999</v>
      </c>
      <c r="T18" s="86">
        <v>71594.400000000023</v>
      </c>
      <c r="U18" s="80">
        <f>U16+1141000</f>
        <v>1703194.98</v>
      </c>
      <c r="V18" s="80">
        <v>0</v>
      </c>
      <c r="W18" s="87">
        <v>0</v>
      </c>
      <c r="X18" s="289">
        <v>0</v>
      </c>
      <c r="Y18" s="290">
        <v>0</v>
      </c>
      <c r="Z18" s="107">
        <f>Z17+760000-AI18*M51</f>
        <v>1148719.4200000002</v>
      </c>
      <c r="AA18" s="86"/>
      <c r="AB18" s="80"/>
      <c r="AC18" s="58"/>
      <c r="AD18" s="87"/>
      <c r="AE18" s="55"/>
      <c r="AF18" s="14"/>
      <c r="AG18" s="86"/>
      <c r="AH18" s="123" t="s">
        <v>49</v>
      </c>
      <c r="AI18" s="122">
        <v>32.975000000000001</v>
      </c>
      <c r="AJ18" s="103" t="s">
        <v>298</v>
      </c>
      <c r="AK18" s="91">
        <v>58191628</v>
      </c>
      <c r="AL18" s="239"/>
      <c r="AM18" s="21"/>
      <c r="AN18" s="21"/>
    </row>
    <row r="19" spans="1:40" ht="13.2" customHeight="1" thickBot="1" x14ac:dyDescent="0.35">
      <c r="A19" s="3">
        <v>45122</v>
      </c>
      <c r="B19" s="28"/>
      <c r="C19" s="30"/>
      <c r="D19" s="186"/>
      <c r="E19" s="43">
        <f t="shared" si="2"/>
        <v>225.95400000000015</v>
      </c>
      <c r="F19" s="51">
        <f t="shared" si="3"/>
        <v>0</v>
      </c>
      <c r="G19" s="9"/>
      <c r="H19" s="10"/>
      <c r="I19" s="161">
        <f t="shared" si="4"/>
        <v>3.2299999999999969</v>
      </c>
      <c r="J19" s="8"/>
      <c r="K19" s="11"/>
      <c r="L19" s="12"/>
      <c r="M19" s="51">
        <f t="shared" si="0"/>
        <v>0</v>
      </c>
      <c r="N19" s="24"/>
      <c r="O19" s="47">
        <f t="shared" si="5"/>
        <v>2.0089999999999977</v>
      </c>
      <c r="P19" s="48"/>
      <c r="Q19" s="47">
        <f t="shared" si="1"/>
        <v>231.19300000000013</v>
      </c>
      <c r="R19" s="165">
        <f t="shared" si="6"/>
        <v>0</v>
      </c>
      <c r="S19" s="160">
        <v>166.73099999999999</v>
      </c>
      <c r="T19" s="86">
        <v>71594.400000000023</v>
      </c>
      <c r="U19" s="82">
        <v>1703194.98</v>
      </c>
      <c r="V19" s="288">
        <v>0</v>
      </c>
      <c r="W19" s="87">
        <v>0</v>
      </c>
      <c r="X19" s="289">
        <v>0</v>
      </c>
      <c r="Y19" s="290">
        <v>0</v>
      </c>
      <c r="Z19" s="86">
        <v>1148719.4200000002</v>
      </c>
      <c r="AA19" s="86"/>
      <c r="AB19" s="80"/>
      <c r="AC19" s="58"/>
      <c r="AD19" s="87"/>
      <c r="AE19" s="55"/>
      <c r="AF19" s="14"/>
      <c r="AG19" s="86"/>
      <c r="AH19" s="128"/>
      <c r="AI19" s="120"/>
      <c r="AJ19" s="103"/>
      <c r="AK19" s="91"/>
      <c r="AL19" s="239"/>
      <c r="AM19" s="21"/>
      <c r="AN19" s="21"/>
    </row>
    <row r="20" spans="1:40" ht="13.2" customHeight="1" thickBot="1" x14ac:dyDescent="0.35">
      <c r="A20" s="3">
        <v>45123</v>
      </c>
      <c r="B20" s="28"/>
      <c r="C20" s="30"/>
      <c r="D20" s="186"/>
      <c r="E20" s="43">
        <f t="shared" si="2"/>
        <v>225.95400000000015</v>
      </c>
      <c r="F20" s="51">
        <f t="shared" si="3"/>
        <v>0</v>
      </c>
      <c r="G20" s="9"/>
      <c r="H20" s="10"/>
      <c r="I20" s="161">
        <f t="shared" si="4"/>
        <v>3.2299999999999969</v>
      </c>
      <c r="J20" s="8"/>
      <c r="K20" s="11"/>
      <c r="L20" s="12"/>
      <c r="M20" s="51">
        <f t="shared" si="0"/>
        <v>0</v>
      </c>
      <c r="N20" s="24"/>
      <c r="O20" s="47">
        <f t="shared" si="5"/>
        <v>2.0089999999999977</v>
      </c>
      <c r="P20" s="48"/>
      <c r="Q20" s="47">
        <f t="shared" si="1"/>
        <v>231.19300000000013</v>
      </c>
      <c r="R20" s="165">
        <f t="shared" si="6"/>
        <v>0</v>
      </c>
      <c r="S20" s="160">
        <v>166.73099999999999</v>
      </c>
      <c r="T20" s="86">
        <v>71594.400000000023</v>
      </c>
      <c r="U20" s="82">
        <v>1703194.98</v>
      </c>
      <c r="V20" s="288">
        <v>0</v>
      </c>
      <c r="W20" s="87">
        <v>0</v>
      </c>
      <c r="X20" s="289">
        <v>0</v>
      </c>
      <c r="Y20" s="290">
        <v>0</v>
      </c>
      <c r="Z20" s="86">
        <v>1148719.4200000002</v>
      </c>
      <c r="AA20" s="86"/>
      <c r="AB20" s="80"/>
      <c r="AC20" s="58"/>
      <c r="AD20" s="87"/>
      <c r="AE20" s="55"/>
      <c r="AF20" s="14"/>
      <c r="AG20" s="86"/>
      <c r="AH20" s="128"/>
      <c r="AI20" s="120"/>
      <c r="AJ20" s="103"/>
      <c r="AK20" s="91"/>
      <c r="AL20" s="21"/>
      <c r="AM20" s="21"/>
      <c r="AN20" s="21"/>
    </row>
    <row r="21" spans="1:40" ht="13.2" customHeight="1" thickBot="1" x14ac:dyDescent="0.35">
      <c r="A21" s="7">
        <v>45124</v>
      </c>
      <c r="B21" s="28">
        <v>33.909999999999997</v>
      </c>
      <c r="C21" s="28">
        <v>2.77</v>
      </c>
      <c r="D21" s="186"/>
      <c r="E21" s="43">
        <f t="shared" si="2"/>
        <v>189.27400000000014</v>
      </c>
      <c r="F21" s="51">
        <f t="shared" si="3"/>
        <v>2.77</v>
      </c>
      <c r="G21" s="9">
        <f>0.7-H21</f>
        <v>0.7</v>
      </c>
      <c r="H21" s="10"/>
      <c r="I21" s="161">
        <f t="shared" si="4"/>
        <v>5.2999999999999963</v>
      </c>
      <c r="J21" s="8"/>
      <c r="K21" s="11"/>
      <c r="L21" s="12"/>
      <c r="M21" s="51">
        <f t="shared" si="0"/>
        <v>0</v>
      </c>
      <c r="N21" s="24">
        <v>0.497</v>
      </c>
      <c r="O21" s="47">
        <f t="shared" si="5"/>
        <v>1.5119999999999978</v>
      </c>
      <c r="P21" s="48"/>
      <c r="Q21" s="47">
        <f t="shared" si="1"/>
        <v>196.08600000000013</v>
      </c>
      <c r="R21" s="165">
        <f t="shared" si="6"/>
        <v>34.61</v>
      </c>
      <c r="S21" s="160">
        <v>166.73099999999999</v>
      </c>
      <c r="T21" s="86">
        <v>71594.400000000023</v>
      </c>
      <c r="U21" s="82">
        <v>1703194.98</v>
      </c>
      <c r="V21" s="288">
        <v>0</v>
      </c>
      <c r="W21" s="314">
        <v>0</v>
      </c>
      <c r="X21" s="289">
        <v>0</v>
      </c>
      <c r="Y21" s="290">
        <v>0</v>
      </c>
      <c r="Z21" s="86">
        <v>1148719.4200000002</v>
      </c>
      <c r="AA21" s="86"/>
      <c r="AB21" s="80"/>
      <c r="AC21" s="79"/>
      <c r="AD21" s="87"/>
      <c r="AE21" s="55"/>
      <c r="AF21" s="14"/>
      <c r="AG21" s="86"/>
      <c r="AH21" s="128"/>
      <c r="AI21" s="120"/>
      <c r="AJ21" s="103"/>
      <c r="AK21" s="91"/>
      <c r="AL21" s="21"/>
      <c r="AM21" s="21"/>
      <c r="AN21" s="21"/>
    </row>
    <row r="22" spans="1:40" ht="13.2" customHeight="1" thickBot="1" x14ac:dyDescent="0.35">
      <c r="A22" s="7">
        <v>45125</v>
      </c>
      <c r="B22" s="28">
        <v>13.77</v>
      </c>
      <c r="C22" s="146">
        <v>1.506</v>
      </c>
      <c r="D22" s="186">
        <f>AI16</f>
        <v>32.722000000000001</v>
      </c>
      <c r="E22" s="43">
        <f t="shared" si="2"/>
        <v>206.72000000000014</v>
      </c>
      <c r="F22" s="51">
        <f t="shared" si="3"/>
        <v>1.506</v>
      </c>
      <c r="G22" s="9">
        <f>2.636-H22</f>
        <v>2.06</v>
      </c>
      <c r="H22" s="10">
        <v>0.57599999999999996</v>
      </c>
      <c r="I22" s="161">
        <f t="shared" si="4"/>
        <v>4.1699999999999973</v>
      </c>
      <c r="J22" s="8"/>
      <c r="K22" s="11"/>
      <c r="L22" s="12"/>
      <c r="M22" s="51">
        <f t="shared" si="0"/>
        <v>0.57599999999999996</v>
      </c>
      <c r="N22" s="24">
        <v>0.57699999999999996</v>
      </c>
      <c r="O22" s="47">
        <f t="shared" si="5"/>
        <v>1.5109999999999979</v>
      </c>
      <c r="P22" s="48"/>
      <c r="Q22" s="47">
        <f t="shared" si="1"/>
        <v>212.40100000000012</v>
      </c>
      <c r="R22" s="165">
        <f t="shared" si="6"/>
        <v>16.405999999999999</v>
      </c>
      <c r="S22" s="160">
        <f>AI8+AI9+AI17+AI18</f>
        <v>134.00899999999999</v>
      </c>
      <c r="T22" s="86">
        <v>71594.400000000023</v>
      </c>
      <c r="U22" s="82">
        <v>1703194.98</v>
      </c>
      <c r="V22" s="288">
        <v>0</v>
      </c>
      <c r="W22" s="314">
        <v>0</v>
      </c>
      <c r="X22" s="289">
        <v>0</v>
      </c>
      <c r="Y22" s="290">
        <v>0</v>
      </c>
      <c r="Z22" s="86">
        <v>1148719.4200000002</v>
      </c>
      <c r="AA22" s="86"/>
      <c r="AB22" s="80"/>
      <c r="AC22" s="79"/>
      <c r="AD22" s="87"/>
      <c r="AE22" s="55"/>
      <c r="AF22" s="14"/>
      <c r="AG22" s="86"/>
      <c r="AH22" s="128"/>
      <c r="AI22" s="120"/>
      <c r="AJ22" s="103"/>
      <c r="AK22" s="91"/>
      <c r="AL22" s="21"/>
      <c r="AM22" s="21"/>
      <c r="AN22" s="21"/>
    </row>
    <row r="23" spans="1:40" ht="13.2" customHeight="1" thickBot="1" x14ac:dyDescent="0.35">
      <c r="A23" s="7">
        <v>45126</v>
      </c>
      <c r="B23" s="28">
        <f>23.84-0.37</f>
        <v>23.47</v>
      </c>
      <c r="C23" s="30">
        <v>2.2360000000000002</v>
      </c>
      <c r="D23" s="186"/>
      <c r="E23" s="43">
        <f t="shared" si="2"/>
        <v>181.01400000000015</v>
      </c>
      <c r="F23" s="51">
        <f t="shared" si="3"/>
        <v>2.2360000000000002</v>
      </c>
      <c r="G23" s="9">
        <f>2.356-H23</f>
        <v>1.67</v>
      </c>
      <c r="H23" s="10">
        <v>0.68600000000000005</v>
      </c>
      <c r="I23" s="161">
        <f t="shared" si="4"/>
        <v>4.0499999999999972</v>
      </c>
      <c r="J23" s="8"/>
      <c r="K23" s="11"/>
      <c r="L23" s="12"/>
      <c r="M23" s="51">
        <f t="shared" si="0"/>
        <v>0.68600000000000005</v>
      </c>
      <c r="N23" s="24">
        <v>0.27500000000000002</v>
      </c>
      <c r="O23" s="47">
        <f t="shared" si="5"/>
        <v>1.9219999999999979</v>
      </c>
      <c r="P23" s="48"/>
      <c r="Q23" s="47">
        <f t="shared" si="1"/>
        <v>186.98600000000013</v>
      </c>
      <c r="R23" s="165">
        <f t="shared" si="6"/>
        <v>25.826000000000001</v>
      </c>
      <c r="S23" s="160">
        <f>AI8+AI9+AI17+AI18+AI23</f>
        <v>170.273</v>
      </c>
      <c r="T23" s="86">
        <f>71594.4+1726000</f>
        <v>1797594.4</v>
      </c>
      <c r="U23" s="82">
        <v>1703194.98</v>
      </c>
      <c r="V23" s="86">
        <v>0</v>
      </c>
      <c r="W23" s="87">
        <v>0</v>
      </c>
      <c r="X23" s="94">
        <v>0</v>
      </c>
      <c r="Y23" s="58">
        <v>0</v>
      </c>
      <c r="Z23" s="107">
        <f>Z18-AI23*M51</f>
        <v>164151.82000000007</v>
      </c>
      <c r="AA23" s="86"/>
      <c r="AB23" s="80"/>
      <c r="AC23" s="87">
        <v>1800000</v>
      </c>
      <c r="AD23" s="87">
        <v>891000</v>
      </c>
      <c r="AE23" s="55"/>
      <c r="AF23" s="14"/>
      <c r="AG23" s="86"/>
      <c r="AH23" s="123" t="s">
        <v>49</v>
      </c>
      <c r="AI23" s="122">
        <v>36.264000000000003</v>
      </c>
      <c r="AJ23" s="99" t="s">
        <v>306</v>
      </c>
      <c r="AK23" s="21">
        <v>76650753</v>
      </c>
      <c r="AL23" s="91"/>
      <c r="AM23" s="21"/>
      <c r="AN23" s="21"/>
    </row>
    <row r="24" spans="1:40" ht="13.2" customHeight="1" thickBot="1" x14ac:dyDescent="0.35">
      <c r="A24" s="7">
        <v>45127</v>
      </c>
      <c r="B24" s="28">
        <v>12.31</v>
      </c>
      <c r="C24" s="30">
        <v>2.2200000000000002</v>
      </c>
      <c r="D24" s="186"/>
      <c r="E24" s="43">
        <f t="shared" si="2"/>
        <v>166.48400000000015</v>
      </c>
      <c r="F24" s="51">
        <f t="shared" si="3"/>
        <v>2.2200000000000002</v>
      </c>
      <c r="G24" s="9">
        <f>1.88</f>
        <v>1.88</v>
      </c>
      <c r="H24" s="10"/>
      <c r="I24" s="161">
        <f t="shared" si="4"/>
        <v>4.3899999999999979</v>
      </c>
      <c r="J24" s="8"/>
      <c r="K24" s="11"/>
      <c r="L24" s="12"/>
      <c r="M24" s="51">
        <f t="shared" si="0"/>
        <v>0</v>
      </c>
      <c r="N24" s="24">
        <v>0.245</v>
      </c>
      <c r="O24" s="47">
        <f t="shared" si="5"/>
        <v>1.6769999999999978</v>
      </c>
      <c r="P24" s="48"/>
      <c r="Q24" s="47">
        <f t="shared" si="1"/>
        <v>172.55100000000013</v>
      </c>
      <c r="R24" s="165">
        <f t="shared" si="6"/>
        <v>14.190000000000001</v>
      </c>
      <c r="S24" s="160">
        <v>170.273</v>
      </c>
      <c r="T24" s="86">
        <f>71594.4+1726000</f>
        <v>1797594.4</v>
      </c>
      <c r="U24" s="86">
        <v>1703194.98</v>
      </c>
      <c r="V24" s="86">
        <v>0</v>
      </c>
      <c r="W24" s="87">
        <v>0</v>
      </c>
      <c r="X24" s="94">
        <v>0</v>
      </c>
      <c r="Y24" s="58">
        <v>0</v>
      </c>
      <c r="Z24" s="86">
        <v>164151.82000000007</v>
      </c>
      <c r="AA24" s="86"/>
      <c r="AB24" s="80"/>
      <c r="AC24" s="87">
        <v>1800000</v>
      </c>
      <c r="AD24" s="87">
        <v>891000</v>
      </c>
      <c r="AE24" s="55"/>
      <c r="AF24" s="14"/>
      <c r="AG24" s="86"/>
      <c r="AH24" s="128"/>
      <c r="AI24" s="120"/>
      <c r="AJ24" s="99"/>
      <c r="AK24" s="91"/>
      <c r="AL24" s="21"/>
      <c r="AM24" s="21"/>
      <c r="AN24" s="21"/>
    </row>
    <row r="25" spans="1:40" ht="13.2" customHeight="1" thickBot="1" x14ac:dyDescent="0.35">
      <c r="A25" s="7">
        <v>45128</v>
      </c>
      <c r="B25" s="28">
        <v>29.57</v>
      </c>
      <c r="C25" s="30">
        <v>1.161</v>
      </c>
      <c r="D25" s="186"/>
      <c r="E25" s="43">
        <f t="shared" si="2"/>
        <v>135.75300000000016</v>
      </c>
      <c r="F25" s="51">
        <f t="shared" si="3"/>
        <v>1.161</v>
      </c>
      <c r="G25" s="219">
        <f>1.711-H25</f>
        <v>1.0900000000000001</v>
      </c>
      <c r="H25" s="10">
        <v>0.621</v>
      </c>
      <c r="I25" s="161">
        <f t="shared" si="4"/>
        <v>3.8399999999999985</v>
      </c>
      <c r="J25" s="8"/>
      <c r="K25" s="11"/>
      <c r="L25" s="12"/>
      <c r="M25" s="51">
        <f t="shared" si="0"/>
        <v>0.621</v>
      </c>
      <c r="N25" s="24">
        <v>0.57199999999999995</v>
      </c>
      <c r="O25" s="47">
        <f t="shared" si="5"/>
        <v>1.7259999999999978</v>
      </c>
      <c r="P25" s="48"/>
      <c r="Q25" s="47">
        <f t="shared" si="1"/>
        <v>141.31900000000016</v>
      </c>
      <c r="R25" s="165">
        <f t="shared" si="6"/>
        <v>31.280999999999999</v>
      </c>
      <c r="S25" s="160">
        <v>170.273</v>
      </c>
      <c r="T25" s="86">
        <v>1797594.4</v>
      </c>
      <c r="U25" s="86">
        <v>1703194.98</v>
      </c>
      <c r="V25" s="86">
        <v>0</v>
      </c>
      <c r="W25" s="66">
        <v>0</v>
      </c>
      <c r="X25" s="94">
        <v>0</v>
      </c>
      <c r="Y25" s="58">
        <v>0</v>
      </c>
      <c r="Z25" s="86">
        <v>164151.82000000007</v>
      </c>
      <c r="AA25" s="58"/>
      <c r="AB25" s="86"/>
      <c r="AC25" s="79">
        <v>1800000</v>
      </c>
      <c r="AD25" s="87">
        <v>891000</v>
      </c>
      <c r="AE25" s="55"/>
      <c r="AF25" s="14"/>
      <c r="AG25" s="86"/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3">
        <v>45129</v>
      </c>
      <c r="B26" s="28"/>
      <c r="C26" s="30"/>
      <c r="D26" s="186">
        <f>AI17+AI18+AI8+AI9</f>
        <v>134.00900000000001</v>
      </c>
      <c r="E26" s="43">
        <f>E25+D26-B26-C26</f>
        <v>269.76200000000017</v>
      </c>
      <c r="F26" s="51">
        <f t="shared" si="3"/>
        <v>0</v>
      </c>
      <c r="G26" s="9"/>
      <c r="H26" s="10"/>
      <c r="I26" s="161">
        <f t="shared" si="4"/>
        <v>3.8399999999999985</v>
      </c>
      <c r="J26" s="8"/>
      <c r="K26" s="11"/>
      <c r="L26" s="12"/>
      <c r="M26" s="51">
        <f t="shared" si="0"/>
        <v>0</v>
      </c>
      <c r="N26" s="24"/>
      <c r="O26" s="47">
        <f t="shared" si="5"/>
        <v>1.7259999999999978</v>
      </c>
      <c r="P26" s="48"/>
      <c r="Q26" s="47">
        <f t="shared" si="1"/>
        <v>275.32800000000015</v>
      </c>
      <c r="R26" s="165">
        <f t="shared" si="6"/>
        <v>0</v>
      </c>
      <c r="S26" s="160">
        <f>AI23</f>
        <v>36.264000000000003</v>
      </c>
      <c r="T26" s="86">
        <v>1797594.4</v>
      </c>
      <c r="U26" s="86">
        <v>1703194.98</v>
      </c>
      <c r="V26" s="86">
        <v>0</v>
      </c>
      <c r="W26" s="153">
        <v>0</v>
      </c>
      <c r="X26" s="94">
        <v>0</v>
      </c>
      <c r="Y26" s="58">
        <v>0</v>
      </c>
      <c r="Z26" s="86">
        <v>164151.82000000007</v>
      </c>
      <c r="AA26" s="86"/>
      <c r="AB26" s="80"/>
      <c r="AC26" s="79">
        <v>1800000</v>
      </c>
      <c r="AD26" s="87">
        <v>891000</v>
      </c>
      <c r="AE26" s="55"/>
      <c r="AF26" s="14"/>
      <c r="AG26" s="86"/>
      <c r="AH26" s="127"/>
      <c r="AI26" s="126"/>
      <c r="AJ26" s="208"/>
      <c r="AK26" s="91"/>
      <c r="AL26" s="21"/>
      <c r="AM26" s="21"/>
      <c r="AN26" s="21"/>
    </row>
    <row r="27" spans="1:40" ht="13.2" customHeight="1" thickBot="1" x14ac:dyDescent="0.35">
      <c r="A27" s="3">
        <v>45130</v>
      </c>
      <c r="B27" s="28"/>
      <c r="C27" s="28"/>
      <c r="D27" s="186"/>
      <c r="E27" s="43">
        <f>E26+D27-B27-C27</f>
        <v>269.76200000000017</v>
      </c>
      <c r="F27" s="51">
        <f t="shared" si="3"/>
        <v>0</v>
      </c>
      <c r="G27" s="9"/>
      <c r="H27" s="10"/>
      <c r="I27" s="161">
        <f t="shared" si="4"/>
        <v>3.8399999999999985</v>
      </c>
      <c r="J27" s="8"/>
      <c r="K27" s="11"/>
      <c r="L27" s="12"/>
      <c r="M27" s="51">
        <f t="shared" si="0"/>
        <v>0</v>
      </c>
      <c r="N27" s="24"/>
      <c r="O27" s="47">
        <f t="shared" si="5"/>
        <v>1.7259999999999978</v>
      </c>
      <c r="P27" s="48"/>
      <c r="Q27" s="47">
        <f t="shared" si="1"/>
        <v>275.32800000000015</v>
      </c>
      <c r="R27" s="165">
        <f t="shared" si="6"/>
        <v>0</v>
      </c>
      <c r="S27" s="160">
        <f>AI23+AI27</f>
        <v>72.598000000000013</v>
      </c>
      <c r="T27" s="86">
        <v>1797594.4</v>
      </c>
      <c r="U27" s="157">
        <f>U26-AI27*M52</f>
        <v>716726.87999999989</v>
      </c>
      <c r="V27" s="87"/>
      <c r="W27" s="66"/>
      <c r="X27" s="94"/>
      <c r="Y27" s="58"/>
      <c r="Z27" s="86">
        <v>164151.82000000007</v>
      </c>
      <c r="AA27" s="86"/>
      <c r="AB27" s="80"/>
      <c r="AC27" s="79">
        <v>1800000</v>
      </c>
      <c r="AD27" s="87">
        <v>891000</v>
      </c>
      <c r="AE27" s="55"/>
      <c r="AF27" s="14"/>
      <c r="AG27" s="86"/>
      <c r="AH27" s="128" t="s">
        <v>308</v>
      </c>
      <c r="AI27" s="120">
        <v>36.334000000000003</v>
      </c>
      <c r="AJ27" s="21" t="s">
        <v>309</v>
      </c>
      <c r="AK27" s="91">
        <v>57728503</v>
      </c>
      <c r="AL27" s="21"/>
      <c r="AM27" s="21"/>
      <c r="AN27" s="21"/>
    </row>
    <row r="28" spans="1:40" ht="13.2" customHeight="1" outlineLevel="1" thickBot="1" x14ac:dyDescent="0.35">
      <c r="A28" s="7">
        <v>45131</v>
      </c>
      <c r="B28" s="28">
        <v>35.49</v>
      </c>
      <c r="C28" s="30">
        <v>3.29</v>
      </c>
      <c r="D28" s="186">
        <f>AI23</f>
        <v>36.264000000000003</v>
      </c>
      <c r="E28" s="43">
        <f t="shared" si="2"/>
        <v>267.24600000000015</v>
      </c>
      <c r="F28" s="51">
        <f t="shared" si="3"/>
        <v>3.29</v>
      </c>
      <c r="G28" s="9">
        <f>2.63</f>
        <v>2.63</v>
      </c>
      <c r="H28" s="10"/>
      <c r="I28" s="161">
        <f t="shared" si="4"/>
        <v>4.4999999999999991</v>
      </c>
      <c r="J28" s="8"/>
      <c r="K28" s="11"/>
      <c r="L28" s="12"/>
      <c r="M28" s="51">
        <f t="shared" si="0"/>
        <v>0</v>
      </c>
      <c r="N28" s="24">
        <v>0.34399999999999997</v>
      </c>
      <c r="O28" s="47">
        <f t="shared" si="5"/>
        <v>1.3819999999999979</v>
      </c>
      <c r="P28" s="48"/>
      <c r="Q28" s="47">
        <f t="shared" si="1"/>
        <v>273.12800000000016</v>
      </c>
      <c r="R28" s="165">
        <f t="shared" si="6"/>
        <v>38.120000000000005</v>
      </c>
      <c r="S28" s="160">
        <f>AI27+AI28+AI29</f>
        <v>136.79500000000002</v>
      </c>
      <c r="T28" s="88">
        <f>1797594.4-AI29*M44</f>
        <v>37641.699999999953</v>
      </c>
      <c r="U28" s="157">
        <f>U27-AI28*M52+1666000</f>
        <v>1516343.23</v>
      </c>
      <c r="V28" s="86">
        <v>0</v>
      </c>
      <c r="W28" s="153">
        <v>0</v>
      </c>
      <c r="X28" s="94">
        <v>0</v>
      </c>
      <c r="Y28" s="58">
        <v>0</v>
      </c>
      <c r="Z28" s="86">
        <f>164151.82+927000</f>
        <v>1091151.82</v>
      </c>
      <c r="AA28" s="86"/>
      <c r="AB28" s="80"/>
      <c r="AC28" s="79">
        <v>1800000</v>
      </c>
      <c r="AD28" s="87">
        <v>891000</v>
      </c>
      <c r="AE28" s="55"/>
      <c r="AF28" s="93"/>
      <c r="AG28" s="86"/>
      <c r="AH28" s="128" t="s">
        <v>308</v>
      </c>
      <c r="AI28" s="387">
        <v>31.911000000000001</v>
      </c>
      <c r="AJ28" s="99" t="s">
        <v>312</v>
      </c>
      <c r="AK28" s="91">
        <v>50820562</v>
      </c>
      <c r="AL28" s="21"/>
      <c r="AM28" s="21"/>
      <c r="AN28" s="21"/>
    </row>
    <row r="29" spans="1:40" ht="13.2" customHeight="1" outlineLevel="1" thickBot="1" x14ac:dyDescent="0.35">
      <c r="A29" s="7">
        <v>45132</v>
      </c>
      <c r="B29" s="28">
        <v>8.4499999999999993</v>
      </c>
      <c r="C29" s="30">
        <v>2.6680000000000001</v>
      </c>
      <c r="D29" s="186"/>
      <c r="E29" s="43">
        <f t="shared" si="2"/>
        <v>256.12800000000016</v>
      </c>
      <c r="F29" s="51">
        <f t="shared" si="3"/>
        <v>2.6680000000000001</v>
      </c>
      <c r="G29" s="9">
        <f>3.368-H29</f>
        <v>2.54</v>
      </c>
      <c r="H29" s="10">
        <v>0.82799999999999996</v>
      </c>
      <c r="I29" s="161">
        <f t="shared" si="4"/>
        <v>3.7999999999999994</v>
      </c>
      <c r="J29" s="8"/>
      <c r="K29" s="11"/>
      <c r="L29" s="12"/>
      <c r="M29" s="51">
        <f t="shared" si="0"/>
        <v>0.82799999999999996</v>
      </c>
      <c r="N29" s="24">
        <v>0.36899999999999999</v>
      </c>
      <c r="O29" s="47">
        <f t="shared" si="5"/>
        <v>1.8409999999999977</v>
      </c>
      <c r="P29" s="48"/>
      <c r="Q29" s="47">
        <f t="shared" si="1"/>
        <v>261.76900000000018</v>
      </c>
      <c r="R29" s="165">
        <f t="shared" si="6"/>
        <v>11.817999999999998</v>
      </c>
      <c r="S29" s="160">
        <v>136.79500000000002</v>
      </c>
      <c r="T29" s="86">
        <v>37641.699999999953</v>
      </c>
      <c r="U29" s="86">
        <f>1516343.23+150000</f>
        <v>1666343.23</v>
      </c>
      <c r="V29" s="294">
        <v>0</v>
      </c>
      <c r="W29" s="66">
        <v>0</v>
      </c>
      <c r="X29" s="189">
        <v>0</v>
      </c>
      <c r="Y29" s="295">
        <v>0</v>
      </c>
      <c r="Z29" s="86">
        <v>1091151.82</v>
      </c>
      <c r="AA29" s="86"/>
      <c r="AB29" s="129"/>
      <c r="AC29" s="79">
        <v>1800000</v>
      </c>
      <c r="AD29" s="87">
        <v>891000</v>
      </c>
      <c r="AE29" s="56"/>
      <c r="AF29" s="14"/>
      <c r="AG29" s="86"/>
      <c r="AH29" s="127" t="s">
        <v>43</v>
      </c>
      <c r="AI29" s="126">
        <v>68.55</v>
      </c>
      <c r="AJ29" s="103" t="s">
        <v>313</v>
      </c>
      <c r="AK29" s="118">
        <v>76672633</v>
      </c>
      <c r="AL29" s="21"/>
      <c r="AM29" s="21"/>
      <c r="AN29" s="21"/>
    </row>
    <row r="30" spans="1:40" s="21" customFormat="1" ht="13.2" customHeight="1" outlineLevel="1" thickBot="1" x14ac:dyDescent="0.35">
      <c r="A30" s="7">
        <v>45133</v>
      </c>
      <c r="B30" s="28">
        <v>28.61</v>
      </c>
      <c r="C30" s="146">
        <v>1.546</v>
      </c>
      <c r="D30" s="186"/>
      <c r="E30" s="43">
        <f t="shared" si="2"/>
        <v>225.97200000000015</v>
      </c>
      <c r="F30" s="51">
        <f t="shared" si="3"/>
        <v>1.546</v>
      </c>
      <c r="G30" s="30">
        <f>0.696-H30</f>
        <v>0.28599999999999998</v>
      </c>
      <c r="H30" s="24">
        <v>0.41</v>
      </c>
      <c r="I30" s="161">
        <f t="shared" si="4"/>
        <v>4.6499999999999995</v>
      </c>
      <c r="J30" s="28"/>
      <c r="K30" s="26"/>
      <c r="L30" s="53"/>
      <c r="M30" s="51">
        <f t="shared" si="0"/>
        <v>0.41</v>
      </c>
      <c r="N30" s="24">
        <v>0.51700000000000002</v>
      </c>
      <c r="O30" s="47">
        <f t="shared" si="5"/>
        <v>1.7339999999999978</v>
      </c>
      <c r="P30" s="54"/>
      <c r="Q30" s="47">
        <f t="shared" si="1"/>
        <v>232.35600000000017</v>
      </c>
      <c r="R30" s="165">
        <f t="shared" si="6"/>
        <v>29.306000000000001</v>
      </c>
      <c r="S30" s="160">
        <v>136.79500000000002</v>
      </c>
      <c r="T30" s="86">
        <f>37641.7+1798000</f>
        <v>1835641.7</v>
      </c>
      <c r="U30" s="86">
        <f>1516343.23+150000</f>
        <v>1666343.23</v>
      </c>
      <c r="V30" s="87">
        <v>0</v>
      </c>
      <c r="W30" s="153">
        <v>0</v>
      </c>
      <c r="X30" s="94">
        <v>0</v>
      </c>
      <c r="Y30" s="58">
        <v>0</v>
      </c>
      <c r="Z30" s="86">
        <v>1091151.82</v>
      </c>
      <c r="AA30" s="86"/>
      <c r="AB30" s="129"/>
      <c r="AC30" s="79">
        <v>1800000</v>
      </c>
      <c r="AD30" s="87">
        <v>891000</v>
      </c>
      <c r="AE30" s="191"/>
      <c r="AF30" s="14"/>
      <c r="AG30" s="86"/>
      <c r="AH30" s="128"/>
      <c r="AI30" s="120"/>
      <c r="AJ30" s="103"/>
      <c r="AK30" s="91"/>
    </row>
    <row r="31" spans="1:40" s="21" customFormat="1" ht="13.2" customHeight="1" outlineLevel="1" thickBot="1" x14ac:dyDescent="0.35">
      <c r="A31" s="7">
        <v>45134</v>
      </c>
      <c r="B31" s="28">
        <v>19.600000000000001</v>
      </c>
      <c r="C31" s="30">
        <v>0.81799999999999995</v>
      </c>
      <c r="D31" s="186"/>
      <c r="E31" s="43">
        <f t="shared" si="2"/>
        <v>205.55400000000014</v>
      </c>
      <c r="F31" s="51">
        <f t="shared" si="3"/>
        <v>0.81799999999999995</v>
      </c>
      <c r="G31" s="68">
        <f>0.718-H31</f>
        <v>0.14000000000000001</v>
      </c>
      <c r="H31" s="69">
        <v>0.57799999999999996</v>
      </c>
      <c r="I31" s="161">
        <f t="shared" si="4"/>
        <v>4.7499999999999991</v>
      </c>
      <c r="J31" s="67"/>
      <c r="K31" s="70"/>
      <c r="L31" s="71"/>
      <c r="M31" s="51">
        <f t="shared" si="0"/>
        <v>0.57799999999999996</v>
      </c>
      <c r="N31" s="24">
        <v>0.30599999999999999</v>
      </c>
      <c r="O31" s="47">
        <f t="shared" si="5"/>
        <v>2.0059999999999976</v>
      </c>
      <c r="P31" s="72"/>
      <c r="Q31" s="47">
        <f t="shared" si="1"/>
        <v>212.31000000000014</v>
      </c>
      <c r="R31" s="165">
        <f t="shared" si="6"/>
        <v>20.318000000000001</v>
      </c>
      <c r="S31" s="160">
        <v>136.79500000000002</v>
      </c>
      <c r="T31" s="86">
        <f>T30</f>
        <v>1835641.7</v>
      </c>
      <c r="U31" s="86">
        <f>1516343.23+150000</f>
        <v>1666343.23</v>
      </c>
      <c r="V31" s="87">
        <v>0</v>
      </c>
      <c r="W31" s="153">
        <v>0</v>
      </c>
      <c r="X31" s="94">
        <v>0</v>
      </c>
      <c r="Y31" s="58">
        <v>0</v>
      </c>
      <c r="Z31" s="86">
        <v>1091151.82</v>
      </c>
      <c r="AA31" s="86"/>
      <c r="AB31" s="129"/>
      <c r="AC31" s="79">
        <v>1800000</v>
      </c>
      <c r="AD31" s="87">
        <v>891000</v>
      </c>
      <c r="AE31" s="57"/>
      <c r="AF31" s="131"/>
      <c r="AG31" s="133"/>
      <c r="AH31" s="123"/>
      <c r="AI31" s="122"/>
      <c r="AJ31" s="103"/>
      <c r="AK31" s="102"/>
    </row>
    <row r="32" spans="1:40" ht="13.2" customHeight="1" outlineLevel="1" thickBot="1" x14ac:dyDescent="0.35">
      <c r="A32" s="7">
        <v>45135</v>
      </c>
      <c r="B32" s="28">
        <v>42.01</v>
      </c>
      <c r="C32" s="30">
        <v>1.73</v>
      </c>
      <c r="D32" s="186"/>
      <c r="E32" s="43">
        <f t="shared" si="2"/>
        <v>161.81400000000016</v>
      </c>
      <c r="F32" s="51">
        <f t="shared" si="3"/>
        <v>1.73</v>
      </c>
      <c r="G32" s="62">
        <f>1.73-H32</f>
        <v>1.73</v>
      </c>
      <c r="H32" s="62"/>
      <c r="I32" s="161">
        <f t="shared" si="4"/>
        <v>4.7499999999999982</v>
      </c>
      <c r="J32" s="62"/>
      <c r="K32" s="64"/>
      <c r="L32" s="13"/>
      <c r="M32" s="51">
        <f t="shared" si="0"/>
        <v>0</v>
      </c>
      <c r="N32" s="24">
        <v>0.32100000000000001</v>
      </c>
      <c r="O32" s="47">
        <f t="shared" si="5"/>
        <v>1.6849999999999976</v>
      </c>
      <c r="P32" s="65"/>
      <c r="Q32" s="47">
        <f t="shared" si="1"/>
        <v>168.24900000000017</v>
      </c>
      <c r="R32" s="165">
        <f t="shared" si="6"/>
        <v>43.739999999999995</v>
      </c>
      <c r="S32" s="160">
        <v>136.79500000000002</v>
      </c>
      <c r="T32" s="86">
        <v>1835641.7</v>
      </c>
      <c r="U32" s="86">
        <v>1666343.23</v>
      </c>
      <c r="V32" s="87">
        <v>0</v>
      </c>
      <c r="W32" s="153">
        <v>0</v>
      </c>
      <c r="X32" s="94">
        <v>0</v>
      </c>
      <c r="Y32" s="58">
        <v>0</v>
      </c>
      <c r="Z32" s="86">
        <v>1091151.82</v>
      </c>
      <c r="AA32" s="86"/>
      <c r="AB32" s="129"/>
      <c r="AC32" s="79">
        <v>1800000</v>
      </c>
      <c r="AD32" s="87">
        <v>891000</v>
      </c>
      <c r="AE32" s="57"/>
      <c r="AF32" s="87"/>
      <c r="AG32" s="87">
        <v>849600</v>
      </c>
      <c r="AH32" s="123"/>
      <c r="AI32" s="122"/>
      <c r="AJ32" s="103"/>
      <c r="AK32" s="99"/>
      <c r="AL32" s="21"/>
    </row>
    <row r="33" spans="1:38" ht="13.2" customHeight="1" outlineLevel="1" thickBot="1" x14ac:dyDescent="0.35">
      <c r="A33" s="3">
        <v>45136</v>
      </c>
      <c r="B33" s="28"/>
      <c r="C33" s="9"/>
      <c r="D33" s="186"/>
      <c r="E33" s="43">
        <f t="shared" si="2"/>
        <v>161.81400000000016</v>
      </c>
      <c r="F33" s="51">
        <f t="shared" si="3"/>
        <v>0</v>
      </c>
      <c r="G33" s="62"/>
      <c r="H33" s="62"/>
      <c r="I33" s="161">
        <f t="shared" si="4"/>
        <v>4.7499999999999982</v>
      </c>
      <c r="J33" s="62"/>
      <c r="K33" s="64"/>
      <c r="L33" s="13"/>
      <c r="M33" s="51">
        <f t="shared" si="0"/>
        <v>0</v>
      </c>
      <c r="N33" s="24"/>
      <c r="O33" s="47">
        <f t="shared" si="5"/>
        <v>1.6849999999999976</v>
      </c>
      <c r="P33" s="65"/>
      <c r="Q33" s="47">
        <f t="shared" si="1"/>
        <v>168.24900000000017</v>
      </c>
      <c r="R33" s="165">
        <f>B33+G33+H33+J33</f>
        <v>0</v>
      </c>
      <c r="S33" s="160">
        <v>136.79500000000002</v>
      </c>
      <c r="T33" s="86">
        <v>1835641.7</v>
      </c>
      <c r="U33" s="86">
        <v>1666343.23</v>
      </c>
      <c r="V33" s="87">
        <v>0</v>
      </c>
      <c r="W33" s="153">
        <v>0</v>
      </c>
      <c r="X33" s="94">
        <v>0</v>
      </c>
      <c r="Y33" s="58">
        <v>0</v>
      </c>
      <c r="Z33" s="86">
        <v>1091151.82</v>
      </c>
      <c r="AA33" s="86"/>
      <c r="AB33" s="80"/>
      <c r="AC33" s="79">
        <v>1800000</v>
      </c>
      <c r="AD33" s="87">
        <v>891000</v>
      </c>
      <c r="AE33" s="57"/>
      <c r="AF33" s="131"/>
      <c r="AG33" s="133">
        <v>849600</v>
      </c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3">
        <v>45137</v>
      </c>
      <c r="B34" s="62">
        <v>8.01</v>
      </c>
      <c r="C34" s="30"/>
      <c r="D34" s="92"/>
      <c r="E34" s="43">
        <f t="shared" si="2"/>
        <v>153.80400000000017</v>
      </c>
      <c r="F34" s="51">
        <f t="shared" si="3"/>
        <v>0</v>
      </c>
      <c r="G34" s="62"/>
      <c r="H34" s="62"/>
      <c r="I34" s="161">
        <f t="shared" si="4"/>
        <v>4.7499999999999982</v>
      </c>
      <c r="J34" s="44"/>
      <c r="K34" s="44"/>
      <c r="L34" s="44"/>
      <c r="M34" s="63">
        <f t="shared" si="0"/>
        <v>0</v>
      </c>
      <c r="N34" s="24"/>
      <c r="O34" s="47">
        <f t="shared" si="5"/>
        <v>1.6849999999999976</v>
      </c>
      <c r="P34" s="65">
        <v>0</v>
      </c>
      <c r="Q34" s="47">
        <f t="shared" si="1"/>
        <v>160.23900000000017</v>
      </c>
      <c r="R34" s="165">
        <f t="shared" si="6"/>
        <v>8.01</v>
      </c>
      <c r="S34" s="160">
        <v>136.79500000000002</v>
      </c>
      <c r="T34" s="86">
        <v>1835641.7</v>
      </c>
      <c r="U34" s="86">
        <v>1666343.23</v>
      </c>
      <c r="V34" s="87">
        <v>0</v>
      </c>
      <c r="W34" s="153">
        <v>0</v>
      </c>
      <c r="X34" s="94">
        <v>0</v>
      </c>
      <c r="Y34" s="58">
        <v>0</v>
      </c>
      <c r="Z34" s="86">
        <v>1091151.82</v>
      </c>
      <c r="AA34" s="86"/>
      <c r="AB34" s="129"/>
      <c r="AC34" s="79">
        <v>1800000</v>
      </c>
      <c r="AD34" s="87">
        <v>891000</v>
      </c>
      <c r="AE34" s="57"/>
      <c r="AF34" s="87"/>
      <c r="AG34" s="87">
        <v>849600</v>
      </c>
      <c r="AH34" s="127"/>
      <c r="AI34" s="21"/>
      <c r="AJ34" s="103"/>
      <c r="AL34" s="21"/>
    </row>
    <row r="35" spans="1:38" ht="12" customHeight="1" outlineLevel="1" thickBot="1" x14ac:dyDescent="0.35">
      <c r="A35" s="7">
        <v>45138</v>
      </c>
      <c r="B35" s="62">
        <f>35.68-4.59</f>
        <v>31.09</v>
      </c>
      <c r="C35" s="19">
        <v>2.4319999999999999</v>
      </c>
      <c r="D35" s="92">
        <f>AI29+AI27</f>
        <v>104.884</v>
      </c>
      <c r="E35" s="73">
        <f t="shared" si="2"/>
        <v>225.16600000000017</v>
      </c>
      <c r="F35" s="100">
        <f t="shared" si="3"/>
        <v>2.4319999999999999</v>
      </c>
      <c r="G35" s="108">
        <f>3.022-H35</f>
        <v>2.532</v>
      </c>
      <c r="H35" s="108">
        <v>0.49</v>
      </c>
      <c r="I35" s="161">
        <f t="shared" si="4"/>
        <v>4.1599999999999984</v>
      </c>
      <c r="J35" s="18"/>
      <c r="K35" s="74"/>
      <c r="L35" s="75"/>
      <c r="M35" s="109">
        <f t="shared" si="0"/>
        <v>0.49</v>
      </c>
      <c r="N35" s="24">
        <v>0.57599999999999996</v>
      </c>
      <c r="O35" s="50">
        <f>O34+M35-N35</f>
        <v>1.5989999999999975</v>
      </c>
      <c r="P35" s="76"/>
      <c r="Q35" s="50">
        <f t="shared" si="1"/>
        <v>230.92500000000015</v>
      </c>
      <c r="R35" s="166">
        <f t="shared" si="6"/>
        <v>34.112000000000002</v>
      </c>
      <c r="S35" s="160">
        <f>AI28</f>
        <v>31.911000000000001</v>
      </c>
      <c r="T35" s="86">
        <v>1835641.7</v>
      </c>
      <c r="U35" s="86">
        <v>1666343.23</v>
      </c>
      <c r="V35" s="87">
        <v>0</v>
      </c>
      <c r="W35" s="153">
        <v>0</v>
      </c>
      <c r="X35" s="94">
        <v>0</v>
      </c>
      <c r="Y35" s="58">
        <v>0</v>
      </c>
      <c r="Z35" s="86">
        <v>1091151.82</v>
      </c>
      <c r="AA35" s="86"/>
      <c r="AB35" s="129"/>
      <c r="AC35" s="79">
        <v>1800000</v>
      </c>
      <c r="AD35" s="87">
        <v>891000</v>
      </c>
      <c r="AE35" s="57"/>
      <c r="AF35" s="87"/>
      <c r="AG35" s="87">
        <v>849600</v>
      </c>
      <c r="AH35" s="127"/>
      <c r="AI35" s="21"/>
      <c r="AJ35" s="103"/>
      <c r="AL35" s="21"/>
    </row>
    <row r="36" spans="1:38" ht="15" thickBot="1" x14ac:dyDescent="0.35">
      <c r="A36" s="36" t="s">
        <v>12</v>
      </c>
      <c r="B36" s="37">
        <f>SUM(B5:B35)</f>
        <v>491.15</v>
      </c>
      <c r="C36" s="37">
        <f>SUM(C5:C35)</f>
        <v>44.882999999999996</v>
      </c>
      <c r="D36" s="37">
        <f>SUM(D5:D35)</f>
        <v>439.32600000000002</v>
      </c>
      <c r="E36" s="115">
        <f>INDEX(E5:E35,COUNTA(E5:E35))-15</f>
        <v>210.16600000000017</v>
      </c>
      <c r="F36" s="37">
        <f>SUM(F5:F35)</f>
        <v>44.882999999999996</v>
      </c>
      <c r="G36" s="37">
        <f>SUM(G5:G35)</f>
        <v>38.92</v>
      </c>
      <c r="H36" s="37">
        <f>SUM(H5:H35)</f>
        <v>7.713000000000001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7.713000000000001</v>
      </c>
      <c r="N36" s="37">
        <f>SUM(N5:N35)</f>
        <v>8.0150000000000006</v>
      </c>
      <c r="O36" s="41"/>
      <c r="P36" s="40">
        <f>B36+G36+H36+J36</f>
        <v>537.7829999999999</v>
      </c>
      <c r="Q36" s="41"/>
      <c r="R36" s="167">
        <f>SUM(R5:R35)</f>
        <v>537.78300000000002</v>
      </c>
      <c r="S36" s="114">
        <f>INDEX(S5:S35,COUNTA(S5:S35))</f>
        <v>31.911000000000001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134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210.16600000000017</v>
      </c>
      <c r="AA38" s="111"/>
      <c r="AB38" s="111"/>
      <c r="AC38" s="111"/>
      <c r="AD38" s="112"/>
      <c r="AH38" s="113"/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31.911000000000001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N53</f>
        <v>324.77071896101552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52" t="s">
        <v>35</v>
      </c>
      <c r="V41" s="652"/>
      <c r="W41" s="653"/>
      <c r="X41" s="654"/>
      <c r="Y41" s="173"/>
      <c r="Z41" s="144">
        <f>Z38+Z39+Z40</f>
        <v>566.84771896101574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s="315" customFormat="1" x14ac:dyDescent="0.3">
      <c r="C43" s="338"/>
      <c r="D43" s="98"/>
      <c r="E43" s="688" t="s">
        <v>18</v>
      </c>
      <c r="F43" s="689"/>
      <c r="G43" s="690"/>
      <c r="H43" s="650" t="s">
        <v>293</v>
      </c>
      <c r="I43" s="651"/>
      <c r="J43" s="124"/>
      <c r="K43" s="360"/>
      <c r="L43" s="145"/>
      <c r="M43" s="240">
        <v>26874</v>
      </c>
      <c r="N43" s="342"/>
      <c r="O43" s="300" t="s">
        <v>201</v>
      </c>
      <c r="P43" s="138"/>
      <c r="Q43" s="307" t="s">
        <v>272</v>
      </c>
      <c r="R43" s="307" t="s">
        <v>273</v>
      </c>
      <c r="T43" s="343"/>
      <c r="U43" s="319"/>
      <c r="V43" s="320"/>
      <c r="W43" s="321"/>
      <c r="X43" s="322"/>
      <c r="Y43" s="322"/>
      <c r="Z43" s="323"/>
      <c r="AA43" s="324"/>
      <c r="AB43" s="324"/>
      <c r="AC43" s="324"/>
      <c r="AD43" s="324"/>
      <c r="AG43" s="325"/>
      <c r="AH43" s="326"/>
      <c r="AI43" s="325"/>
      <c r="AJ43" s="325"/>
      <c r="AK43" s="325"/>
      <c r="AL43" s="324"/>
    </row>
    <row r="44" spans="1:38" s="315" customFormat="1" x14ac:dyDescent="0.3">
      <c r="C44" s="338"/>
      <c r="D44" s="98"/>
      <c r="E44" s="688" t="s">
        <v>18</v>
      </c>
      <c r="F44" s="689"/>
      <c r="G44" s="690"/>
      <c r="H44" s="650" t="s">
        <v>294</v>
      </c>
      <c r="I44" s="651"/>
      <c r="J44" s="124"/>
      <c r="K44" s="360"/>
      <c r="L44" s="145"/>
      <c r="M44" s="240">
        <v>25674</v>
      </c>
      <c r="N44" s="342"/>
      <c r="O44" s="361"/>
      <c r="P44" s="138"/>
      <c r="Q44" s="307"/>
      <c r="R44" s="307"/>
      <c r="S44" s="307" t="s">
        <v>274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8" s="315" customFormat="1" x14ac:dyDescent="0.3">
      <c r="C45" s="338"/>
      <c r="D45" s="98"/>
      <c r="E45" s="672" t="s">
        <v>18</v>
      </c>
      <c r="F45" s="673"/>
      <c r="G45" s="674"/>
      <c r="H45" s="643" t="s">
        <v>302</v>
      </c>
      <c r="I45" s="675"/>
      <c r="J45" s="243"/>
      <c r="K45" s="244"/>
      <c r="L45" s="245"/>
      <c r="M45" s="240"/>
      <c r="N45" s="370">
        <f>T31/M44</f>
        <v>71.498079769416535</v>
      </c>
      <c r="O45" s="369" t="s">
        <v>201</v>
      </c>
      <c r="P45" s="249"/>
      <c r="Q45" s="319" t="s">
        <v>303</v>
      </c>
      <c r="R45" s="319" t="s">
        <v>305</v>
      </c>
      <c r="S45" s="319" t="s">
        <v>304</v>
      </c>
      <c r="T45" s="343"/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6" spans="1:38" s="315" customFormat="1" x14ac:dyDescent="0.3">
      <c r="C46" s="338"/>
      <c r="D46" s="98"/>
      <c r="E46" s="688" t="s">
        <v>14</v>
      </c>
      <c r="F46" s="689"/>
      <c r="G46" s="690"/>
      <c r="H46" s="650" t="s">
        <v>299</v>
      </c>
      <c r="I46" s="651"/>
      <c r="J46" s="124"/>
      <c r="K46" s="362"/>
      <c r="L46" s="145"/>
      <c r="M46" s="240">
        <v>24750</v>
      </c>
      <c r="N46" s="342">
        <f>AD23/M46</f>
        <v>36</v>
      </c>
      <c r="O46" s="363"/>
      <c r="P46" s="138"/>
      <c r="Q46" s="307"/>
      <c r="R46" s="307"/>
      <c r="S46" s="343"/>
      <c r="T46" s="343"/>
      <c r="U46" s="319"/>
      <c r="V46" s="320"/>
      <c r="W46" s="321"/>
      <c r="X46" s="322"/>
      <c r="Y46" s="322"/>
      <c r="Z46" s="323"/>
      <c r="AA46" s="324"/>
      <c r="AB46" s="324"/>
      <c r="AC46" s="324"/>
      <c r="AD46" s="324"/>
      <c r="AG46" s="325"/>
      <c r="AH46" s="326"/>
      <c r="AI46" s="325"/>
      <c r="AJ46" s="325"/>
      <c r="AK46" s="325"/>
      <c r="AL46" s="324"/>
    </row>
    <row r="47" spans="1:38" s="315" customFormat="1" x14ac:dyDescent="0.3">
      <c r="C47" s="338"/>
      <c r="D47" s="98"/>
      <c r="E47" s="688" t="s">
        <v>301</v>
      </c>
      <c r="F47" s="689"/>
      <c r="G47" s="690"/>
      <c r="H47" s="650" t="s">
        <v>299</v>
      </c>
      <c r="I47" s="651"/>
      <c r="J47" s="124"/>
      <c r="K47" s="364"/>
      <c r="L47" s="145"/>
      <c r="M47" s="240">
        <v>25000</v>
      </c>
      <c r="N47" s="342">
        <f>AC23/M47</f>
        <v>72</v>
      </c>
      <c r="O47" s="365"/>
      <c r="P47" s="138"/>
      <c r="Q47" s="307"/>
      <c r="R47" s="307"/>
      <c r="S47" s="343"/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8" s="315" customFormat="1" x14ac:dyDescent="0.3">
      <c r="C48" s="338"/>
      <c r="D48" s="98"/>
      <c r="E48" s="688" t="s">
        <v>320</v>
      </c>
      <c r="F48" s="689"/>
      <c r="G48" s="690"/>
      <c r="H48" s="650" t="s">
        <v>321</v>
      </c>
      <c r="I48" s="651"/>
      <c r="J48" s="124"/>
      <c r="K48" s="371"/>
      <c r="L48" s="145"/>
      <c r="M48" s="240">
        <v>23600</v>
      </c>
      <c r="N48" s="342">
        <f>AG32/M48</f>
        <v>36</v>
      </c>
      <c r="O48" s="372"/>
      <c r="P48" s="138"/>
      <c r="Q48" s="307"/>
      <c r="R48" s="307"/>
      <c r="S48" s="343"/>
      <c r="T48" s="343"/>
      <c r="U48" s="319"/>
      <c r="V48" s="320"/>
      <c r="W48" s="321"/>
      <c r="X48" s="322"/>
      <c r="Y48" s="322"/>
      <c r="Z48" s="323"/>
      <c r="AA48" s="324"/>
      <c r="AB48" s="324"/>
      <c r="AC48" s="324"/>
      <c r="AD48" s="324"/>
      <c r="AG48" s="325"/>
      <c r="AH48" s="326"/>
      <c r="AI48" s="325"/>
      <c r="AJ48" s="325"/>
      <c r="AK48" s="325"/>
      <c r="AL48" s="324"/>
    </row>
    <row r="49" spans="3:38" s="315" customFormat="1" x14ac:dyDescent="0.3">
      <c r="C49" s="338"/>
      <c r="D49" s="211" t="s">
        <v>28</v>
      </c>
      <c r="E49" s="672" t="s">
        <v>60</v>
      </c>
      <c r="F49" s="673"/>
      <c r="G49" s="674"/>
      <c r="H49" s="643" t="s">
        <v>302</v>
      </c>
      <c r="I49" s="675"/>
      <c r="J49" s="124"/>
      <c r="K49" s="367"/>
      <c r="L49" s="145"/>
      <c r="M49" s="284">
        <f>16246+8989</f>
        <v>25235</v>
      </c>
      <c r="N49" s="370">
        <f>Z28/M49</f>
        <v>43.239620368535768</v>
      </c>
      <c r="O49" s="238" t="s">
        <v>29</v>
      </c>
      <c r="P49" s="138"/>
      <c r="Q49" s="319" t="s">
        <v>314</v>
      </c>
      <c r="R49" s="319" t="s">
        <v>317</v>
      </c>
      <c r="S49" s="319" t="s">
        <v>318</v>
      </c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x14ac:dyDescent="0.3">
      <c r="C50" s="338"/>
      <c r="D50" s="211" t="s">
        <v>21</v>
      </c>
      <c r="E50" s="672" t="s">
        <v>60</v>
      </c>
      <c r="F50" s="673"/>
      <c r="G50" s="674"/>
      <c r="H50" s="643" t="s">
        <v>302</v>
      </c>
      <c r="I50" s="675"/>
      <c r="J50" s="124"/>
      <c r="K50" s="368"/>
      <c r="L50" s="145"/>
      <c r="M50" s="284">
        <f>16246+8989</f>
        <v>25235</v>
      </c>
      <c r="N50" s="370">
        <f>U29/M50</f>
        <v>66.033018823063202</v>
      </c>
      <c r="O50" s="238" t="s">
        <v>40</v>
      </c>
      <c r="P50" s="138"/>
      <c r="Q50" s="319" t="s">
        <v>314</v>
      </c>
      <c r="R50" s="319" t="s">
        <v>315</v>
      </c>
      <c r="S50" s="319" t="s">
        <v>316</v>
      </c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x14ac:dyDescent="0.3">
      <c r="C51" s="338"/>
      <c r="D51" s="211" t="s">
        <v>28</v>
      </c>
      <c r="E51" s="611" t="s">
        <v>60</v>
      </c>
      <c r="F51" s="611"/>
      <c r="G51" s="611"/>
      <c r="H51" s="650" t="s">
        <v>260</v>
      </c>
      <c r="I51" s="651"/>
      <c r="J51" s="124"/>
      <c r="K51" s="360"/>
      <c r="L51" s="145"/>
      <c r="M51" s="240">
        <f>18161+8989</f>
        <v>27150</v>
      </c>
      <c r="N51" s="345"/>
      <c r="O51" s="238" t="s">
        <v>29</v>
      </c>
      <c r="P51" s="138"/>
      <c r="Q51" s="307" t="s">
        <v>297</v>
      </c>
      <c r="R51" s="307" t="s">
        <v>276</v>
      </c>
      <c r="S51" s="307" t="s">
        <v>307</v>
      </c>
      <c r="T51" s="343"/>
      <c r="U51" s="330"/>
      <c r="V51" s="320"/>
      <c r="W51" s="321"/>
      <c r="X51" s="322"/>
      <c r="Y51" s="322"/>
      <c r="Z51" s="323"/>
      <c r="AA51" s="324"/>
      <c r="AB51" s="324"/>
      <c r="AC51" s="324"/>
      <c r="AD51" s="324"/>
      <c r="AH51" s="326"/>
      <c r="AI51" s="325"/>
      <c r="AJ51" s="325"/>
      <c r="AK51" s="325"/>
      <c r="AL51" s="324"/>
    </row>
    <row r="52" spans="3:38" s="315" customFormat="1" ht="15" thickBot="1" x14ac:dyDescent="0.35">
      <c r="C52" s="338"/>
      <c r="D52" s="211" t="s">
        <v>21</v>
      </c>
      <c r="E52" s="611" t="s">
        <v>60</v>
      </c>
      <c r="F52" s="611"/>
      <c r="G52" s="611"/>
      <c r="H52" s="650" t="s">
        <v>260</v>
      </c>
      <c r="I52" s="651"/>
      <c r="J52" s="125"/>
      <c r="K52" s="360"/>
      <c r="L52" s="145"/>
      <c r="M52" s="168">
        <f>18161+8989</f>
        <v>27150</v>
      </c>
      <c r="N52" s="342"/>
      <c r="O52" s="238" t="s">
        <v>40</v>
      </c>
      <c r="P52" s="138"/>
      <c r="Q52" s="307" t="s">
        <v>283</v>
      </c>
      <c r="R52" s="307" t="s">
        <v>297</v>
      </c>
      <c r="S52" s="307" t="s">
        <v>310</v>
      </c>
      <c r="T52" s="307" t="s">
        <v>311</v>
      </c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H52" s="326"/>
      <c r="AI52" s="325"/>
      <c r="AJ52" s="334"/>
      <c r="AK52" s="334"/>
      <c r="AL52" s="324"/>
    </row>
    <row r="53" spans="3:38" ht="13.95" customHeight="1" thickBot="1" x14ac:dyDescent="0.35">
      <c r="E53" s="634"/>
      <c r="F53" s="635"/>
      <c r="G53" s="636"/>
      <c r="H53" s="637"/>
      <c r="I53" s="638"/>
      <c r="J53" s="141"/>
      <c r="K53" s="141"/>
      <c r="L53" s="142"/>
      <c r="M53" s="148" t="s">
        <v>33</v>
      </c>
      <c r="N53" s="366">
        <f>SUBTOTAL(109,N43:N52)</f>
        <v>324.77071896101552</v>
      </c>
      <c r="O53" s="150"/>
      <c r="T53" s="181"/>
      <c r="U53" s="181"/>
      <c r="V53" s="177"/>
      <c r="W53" s="178"/>
      <c r="X53" s="178"/>
      <c r="Y53" s="178"/>
      <c r="Z53" s="180"/>
      <c r="AA53" s="90"/>
      <c r="AB53" s="90"/>
      <c r="AC53" s="21"/>
      <c r="AD53" s="21"/>
    </row>
    <row r="54" spans="3:38" x14ac:dyDescent="0.3">
      <c r="E54" s="359" t="s">
        <v>116</v>
      </c>
      <c r="O54" s="139"/>
      <c r="V54" s="178"/>
      <c r="W54" s="178"/>
      <c r="X54" s="178"/>
      <c r="Y54" s="178"/>
      <c r="Z54" s="180"/>
      <c r="AA54" s="21"/>
      <c r="AB54" s="21"/>
      <c r="AC54" s="21"/>
      <c r="AD54" s="21"/>
    </row>
    <row r="55" spans="3:38" x14ac:dyDescent="0.3">
      <c r="E55" s="1" t="s">
        <v>57</v>
      </c>
      <c r="O55" s="1"/>
      <c r="P55" s="1"/>
      <c r="Q55" s="1"/>
      <c r="R55" s="224"/>
      <c r="V55" s="178"/>
      <c r="W55" s="178"/>
      <c r="X55" s="178"/>
      <c r="Y55" s="178"/>
      <c r="Z55" s="178"/>
      <c r="AA55" s="21"/>
      <c r="AB55" s="21"/>
      <c r="AC55" s="21"/>
      <c r="AD55" s="21"/>
    </row>
    <row r="56" spans="3:38" x14ac:dyDescent="0.3">
      <c r="E56" s="359" t="s">
        <v>288</v>
      </c>
      <c r="O56" s="1"/>
      <c r="P56" s="1"/>
      <c r="Q56" s="1"/>
      <c r="R56" s="224"/>
      <c r="V56" s="178"/>
      <c r="W56" s="178"/>
      <c r="X56" s="178"/>
      <c r="Y56" s="178"/>
      <c r="Z56" s="178"/>
      <c r="AA56" s="21"/>
      <c r="AB56" s="21"/>
      <c r="AC56" s="21"/>
      <c r="AD56" s="21"/>
    </row>
    <row r="57" spans="3:38" x14ac:dyDescent="0.3">
      <c r="E57" s="1" t="s">
        <v>287</v>
      </c>
    </row>
    <row r="58" spans="3:38" x14ac:dyDescent="0.3">
      <c r="E58" s="359" t="s">
        <v>290</v>
      </c>
    </row>
    <row r="59" spans="3:38" x14ac:dyDescent="0.3">
      <c r="E59" s="1" t="s">
        <v>289</v>
      </c>
      <c r="V59" s="175"/>
      <c r="W59" s="175"/>
      <c r="X59" s="175"/>
      <c r="Y59" s="175"/>
      <c r="Z59" s="175"/>
      <c r="AA59" s="21"/>
      <c r="AB59" s="21"/>
      <c r="AC59" s="21"/>
      <c r="AD59" s="21"/>
    </row>
    <row r="60" spans="3:38" x14ac:dyDescent="0.3">
      <c r="E60" s="1" t="s">
        <v>291</v>
      </c>
    </row>
    <row r="61" spans="3:38" x14ac:dyDescent="0.3">
      <c r="E61" s="1" t="s">
        <v>292</v>
      </c>
    </row>
  </sheetData>
  <mergeCells count="57">
    <mergeCell ref="P1:P4"/>
    <mergeCell ref="G3:I3"/>
    <mergeCell ref="A1:A4"/>
    <mergeCell ref="B1:E1"/>
    <mergeCell ref="F1:I2"/>
    <mergeCell ref="J1:L3"/>
    <mergeCell ref="M1:O3"/>
    <mergeCell ref="B2:C2"/>
    <mergeCell ref="D2:D3"/>
    <mergeCell ref="E2:E4"/>
    <mergeCell ref="B3:C3"/>
    <mergeCell ref="F3:F4"/>
    <mergeCell ref="X3:X4"/>
    <mergeCell ref="Y3:Y4"/>
    <mergeCell ref="U41:X41"/>
    <mergeCell ref="T38:V38"/>
    <mergeCell ref="T39:V39"/>
    <mergeCell ref="T40:V40"/>
    <mergeCell ref="T3:T4"/>
    <mergeCell ref="AD3:AD4"/>
    <mergeCell ref="AC3:AC4"/>
    <mergeCell ref="Q1:Q4"/>
    <mergeCell ref="R1:R4"/>
    <mergeCell ref="S1:S3"/>
    <mergeCell ref="T1:V2"/>
    <mergeCell ref="W1:AG2"/>
    <mergeCell ref="AF3:AF4"/>
    <mergeCell ref="AG3:AG4"/>
    <mergeCell ref="Z3:Z4"/>
    <mergeCell ref="AA3:AA4"/>
    <mergeCell ref="AE3:AE4"/>
    <mergeCell ref="AB3:AB4"/>
    <mergeCell ref="U3:U4"/>
    <mergeCell ref="V3:V4"/>
    <mergeCell ref="W3:W4"/>
    <mergeCell ref="E43:G43"/>
    <mergeCell ref="H43:I43"/>
    <mergeCell ref="E51:G51"/>
    <mergeCell ref="H51:I51"/>
    <mergeCell ref="E52:G52"/>
    <mergeCell ref="H52:I52"/>
    <mergeCell ref="E44:G44"/>
    <mergeCell ref="H44:I44"/>
    <mergeCell ref="E46:G46"/>
    <mergeCell ref="H46:I46"/>
    <mergeCell ref="H47:I47"/>
    <mergeCell ref="E47:G47"/>
    <mergeCell ref="H49:I49"/>
    <mergeCell ref="E49:G49"/>
    <mergeCell ref="E45:G45"/>
    <mergeCell ref="H45:I45"/>
    <mergeCell ref="E48:G48"/>
    <mergeCell ref="H48:I48"/>
    <mergeCell ref="E50:G50"/>
    <mergeCell ref="H50:I50"/>
    <mergeCell ref="E53:G53"/>
    <mergeCell ref="H53:I53"/>
  </mergeCells>
  <pageMargins left="0.7" right="0.17" top="0.72" bottom="0.34" header="0.77" footer="0.3"/>
  <pageSetup paperSize="9" scale="61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zoomScaleNormal="100" workbookViewId="0">
      <pane ySplit="4" topLeftCell="A23" activePane="bottomLeft" state="frozen"/>
      <selection pane="bottomLeft" activeCell="O48" sqref="O48:Q48"/>
    </sheetView>
  </sheetViews>
  <sheetFormatPr defaultColWidth="9.109375" defaultRowHeight="14.4" outlineLevelRow="1" outlineLevelCol="1" x14ac:dyDescent="0.3"/>
  <cols>
    <col min="1" max="1" width="6.44140625" style="2" customWidth="1"/>
    <col min="2" max="2" width="6.33203125" style="2" customWidth="1"/>
    <col min="3" max="3" width="5.6640625" style="2" customWidth="1"/>
    <col min="4" max="4" width="7.6640625" style="2" customWidth="1"/>
    <col min="5" max="5" width="6.6640625" style="35" customWidth="1"/>
    <col min="6" max="7" width="6.33203125" style="2" customWidth="1"/>
    <col min="8" max="8" width="7.6640625" style="2" customWidth="1"/>
    <col min="9" max="9" width="7.44140625" style="2" customWidth="1"/>
    <col min="10" max="10" width="7.109375" style="2" hidden="1" customWidth="1"/>
    <col min="11" max="11" width="6.88671875" style="2" hidden="1" customWidth="1"/>
    <col min="12" max="12" width="7.88671875" style="2" hidden="1" customWidth="1"/>
    <col min="13" max="13" width="7.6640625" style="2" customWidth="1"/>
    <col min="14" max="14" width="6.109375" style="2" customWidth="1"/>
    <col min="15" max="15" width="7.6640625" style="2" customWidth="1"/>
    <col min="16" max="16" width="7.33203125" style="2" hidden="1" customWidth="1"/>
    <col min="17" max="17" width="8.44140625" style="2" customWidth="1"/>
    <col min="18" max="19" width="8.109375" style="83" customWidth="1"/>
    <col min="20" max="21" width="10.6640625" style="20" customWidth="1"/>
    <col min="22" max="22" width="12.6640625" style="20" hidden="1" customWidth="1"/>
    <col min="23" max="23" width="9" style="20" customWidth="1"/>
    <col min="24" max="24" width="10.6640625" style="20" hidden="1" customWidth="1"/>
    <col min="25" max="26" width="10.6640625" style="20" customWidth="1"/>
    <col min="27" max="28" width="9.6640625" style="2" hidden="1" customWidth="1"/>
    <col min="29" max="29" width="10.6640625" style="2" customWidth="1"/>
    <col min="30" max="30" width="10.33203125" style="2" customWidth="1"/>
    <col min="31" max="31" width="8" style="2" bestFit="1" customWidth="1"/>
    <col min="32" max="32" width="7.6640625" style="2" hidden="1" customWidth="1"/>
    <col min="33" max="33" width="9" style="2" customWidth="1"/>
    <col min="34" max="34" width="6" style="77" customWidth="1" outlineLevel="1"/>
    <col min="35" max="35" width="8.33203125" style="2" customWidth="1" outlineLevel="1"/>
    <col min="36" max="36" width="10.33203125" style="2" customWidth="1" outlineLevel="1"/>
    <col min="37" max="37" width="13.5546875" style="2" customWidth="1" outlineLevel="1"/>
    <col min="38" max="38" width="12.6640625" style="2" bestFit="1" customWidth="1"/>
    <col min="39" max="16384" width="9.109375" style="2"/>
  </cols>
  <sheetData>
    <row r="1" spans="1:40" ht="13.2" customHeight="1" thickBot="1" x14ac:dyDescent="0.35">
      <c r="A1" s="699" t="s">
        <v>322</v>
      </c>
      <c r="B1" s="559" t="s">
        <v>0</v>
      </c>
      <c r="C1" s="560"/>
      <c r="D1" s="560"/>
      <c r="E1" s="560"/>
      <c r="F1" s="561" t="s">
        <v>23</v>
      </c>
      <c r="G1" s="562"/>
      <c r="H1" s="562"/>
      <c r="I1" s="562"/>
      <c r="J1" s="561" t="s">
        <v>11</v>
      </c>
      <c r="K1" s="619"/>
      <c r="L1" s="620"/>
      <c r="M1" s="624" t="s">
        <v>1</v>
      </c>
      <c r="N1" s="625"/>
      <c r="O1" s="626"/>
      <c r="P1" s="606" t="s">
        <v>13</v>
      </c>
      <c r="Q1" s="569" t="s">
        <v>31</v>
      </c>
      <c r="R1" s="567" t="s">
        <v>20</v>
      </c>
      <c r="S1" s="581" t="s">
        <v>27</v>
      </c>
      <c r="T1" s="583" t="s">
        <v>44</v>
      </c>
      <c r="U1" s="584"/>
      <c r="V1" s="585"/>
      <c r="W1" s="589" t="s">
        <v>256</v>
      </c>
      <c r="X1" s="590"/>
      <c r="Y1" s="590"/>
      <c r="Z1" s="590"/>
      <c r="AA1" s="591"/>
      <c r="AB1" s="591"/>
      <c r="AC1" s="591"/>
      <c r="AD1" s="591"/>
      <c r="AE1" s="591"/>
      <c r="AF1" s="591"/>
      <c r="AG1" s="592"/>
    </row>
    <row r="2" spans="1:40" ht="12" customHeight="1" thickBot="1" x14ac:dyDescent="0.35">
      <c r="A2" s="700"/>
      <c r="B2" s="565" t="s">
        <v>2</v>
      </c>
      <c r="C2" s="566"/>
      <c r="D2" s="567" t="s">
        <v>3</v>
      </c>
      <c r="E2" s="569" t="s">
        <v>32</v>
      </c>
      <c r="F2" s="563"/>
      <c r="G2" s="563"/>
      <c r="H2" s="563"/>
      <c r="I2" s="563"/>
      <c r="J2" s="621"/>
      <c r="K2" s="622"/>
      <c r="L2" s="623"/>
      <c r="M2" s="627"/>
      <c r="N2" s="628"/>
      <c r="O2" s="629"/>
      <c r="P2" s="615"/>
      <c r="Q2" s="570"/>
      <c r="R2" s="580"/>
      <c r="S2" s="582"/>
      <c r="T2" s="586"/>
      <c r="U2" s="587"/>
      <c r="V2" s="588"/>
      <c r="W2" s="593"/>
      <c r="X2" s="594"/>
      <c r="Y2" s="594"/>
      <c r="Z2" s="594"/>
      <c r="AA2" s="595"/>
      <c r="AB2" s="595"/>
      <c r="AC2" s="595"/>
      <c r="AD2" s="595"/>
      <c r="AE2" s="595"/>
      <c r="AF2" s="595"/>
      <c r="AG2" s="596"/>
    </row>
    <row r="3" spans="1:40" ht="10.199999999999999" customHeight="1" thickBot="1" x14ac:dyDescent="0.35">
      <c r="A3" s="700"/>
      <c r="B3" s="571" t="s">
        <v>4</v>
      </c>
      <c r="C3" s="572"/>
      <c r="D3" s="568"/>
      <c r="E3" s="570"/>
      <c r="F3" s="561" t="s">
        <v>8</v>
      </c>
      <c r="G3" s="616" t="s">
        <v>5</v>
      </c>
      <c r="H3" s="617"/>
      <c r="I3" s="618"/>
      <c r="J3" s="621"/>
      <c r="K3" s="622"/>
      <c r="L3" s="623"/>
      <c r="M3" s="630"/>
      <c r="N3" s="631"/>
      <c r="O3" s="632"/>
      <c r="P3" s="615"/>
      <c r="Q3" s="570"/>
      <c r="R3" s="580"/>
      <c r="S3" s="582"/>
      <c r="T3" s="606" t="s">
        <v>15</v>
      </c>
      <c r="U3" s="567" t="s">
        <v>160</v>
      </c>
      <c r="V3" s="608" t="s">
        <v>107</v>
      </c>
      <c r="W3" s="606" t="s">
        <v>62</v>
      </c>
      <c r="X3" s="599" t="s">
        <v>45</v>
      </c>
      <c r="Y3" s="567" t="s">
        <v>19</v>
      </c>
      <c r="Z3" s="567" t="s">
        <v>160</v>
      </c>
      <c r="AA3" s="599" t="s">
        <v>30</v>
      </c>
      <c r="AB3" s="599" t="s">
        <v>37</v>
      </c>
      <c r="AC3" s="567" t="s">
        <v>300</v>
      </c>
      <c r="AD3" s="601" t="s">
        <v>14</v>
      </c>
      <c r="AE3" s="597" t="s">
        <v>63</v>
      </c>
      <c r="AF3" s="604" t="s">
        <v>16</v>
      </c>
      <c r="AG3" s="597" t="s">
        <v>319</v>
      </c>
    </row>
    <row r="4" spans="1:40" ht="35.25" customHeight="1" thickBot="1" x14ac:dyDescent="0.35">
      <c r="A4" s="701"/>
      <c r="B4" s="15" t="s">
        <v>6</v>
      </c>
      <c r="C4" s="236" t="s">
        <v>7</v>
      </c>
      <c r="D4" s="16" t="s">
        <v>4</v>
      </c>
      <c r="E4" s="570"/>
      <c r="F4" s="573"/>
      <c r="G4" s="17" t="s">
        <v>22</v>
      </c>
      <c r="H4" s="29" t="s">
        <v>26</v>
      </c>
      <c r="I4" s="235" t="s">
        <v>9</v>
      </c>
      <c r="J4" s="373" t="s">
        <v>10</v>
      </c>
      <c r="K4" s="374" t="s">
        <v>2</v>
      </c>
      <c r="L4" s="375" t="s">
        <v>9</v>
      </c>
      <c r="M4" s="373" t="s">
        <v>10</v>
      </c>
      <c r="N4" s="374" t="s">
        <v>2</v>
      </c>
      <c r="O4" s="375" t="s">
        <v>9</v>
      </c>
      <c r="P4" s="607"/>
      <c r="Q4" s="579"/>
      <c r="R4" s="576"/>
      <c r="S4" s="231" t="s">
        <v>4</v>
      </c>
      <c r="T4" s="607"/>
      <c r="U4" s="576"/>
      <c r="V4" s="609"/>
      <c r="W4" s="610"/>
      <c r="X4" s="600"/>
      <c r="Y4" s="576"/>
      <c r="Z4" s="576"/>
      <c r="AA4" s="600"/>
      <c r="AB4" s="600"/>
      <c r="AC4" s="568"/>
      <c r="AD4" s="602"/>
      <c r="AE4" s="603"/>
      <c r="AF4" s="605"/>
      <c r="AG4" s="598"/>
      <c r="AH4" s="2"/>
      <c r="AI4" s="84" t="s">
        <v>46</v>
      </c>
      <c r="AJ4" s="2" t="s">
        <v>47</v>
      </c>
      <c r="AK4" s="83" t="s">
        <v>42</v>
      </c>
    </row>
    <row r="5" spans="1:40" ht="13.2" customHeight="1" thickBot="1" x14ac:dyDescent="0.35">
      <c r="A5" s="7">
        <v>45139</v>
      </c>
      <c r="B5" s="28">
        <f>19.07+12.66</f>
        <v>31.73</v>
      </c>
      <c r="C5" s="30">
        <v>7.94</v>
      </c>
      <c r="D5" s="22"/>
      <c r="E5" s="42">
        <f>'07.2023'!E35-B5-C5+D5</f>
        <v>185.49600000000018</v>
      </c>
      <c r="F5" s="51">
        <f>C5</f>
        <v>7.94</v>
      </c>
      <c r="G5" s="9">
        <f>9-H5</f>
        <v>8.8000000000000007</v>
      </c>
      <c r="H5" s="10">
        <v>0.2</v>
      </c>
      <c r="I5" s="161">
        <f>'07.2023'!I35+F5-G5-H5</f>
        <v>3.099999999999997</v>
      </c>
      <c r="J5" s="8"/>
      <c r="K5" s="11"/>
      <c r="L5" s="25"/>
      <c r="M5" s="51">
        <f t="shared" ref="M5:M35" si="0">H5</f>
        <v>0.2</v>
      </c>
      <c r="N5" s="24">
        <v>0.441</v>
      </c>
      <c r="O5" s="47">
        <f>'07.2023'!O35+M5-N5</f>
        <v>1.3579999999999974</v>
      </c>
      <c r="P5" s="46">
        <v>0</v>
      </c>
      <c r="Q5" s="45">
        <f t="shared" ref="Q5:Q35" si="1">E5+I5+L5+O5</f>
        <v>189.95400000000018</v>
      </c>
      <c r="R5" s="165">
        <f>B5+G5+H5+J5</f>
        <v>40.730000000000004</v>
      </c>
      <c r="S5" s="159">
        <f>'07.2023'!AI28+AI5</f>
        <v>64.349000000000004</v>
      </c>
      <c r="T5" s="58">
        <v>1835641.7</v>
      </c>
      <c r="U5" s="58">
        <v>1666343.23</v>
      </c>
      <c r="V5" s="58">
        <v>0</v>
      </c>
      <c r="W5" s="58"/>
      <c r="X5" s="58">
        <v>0</v>
      </c>
      <c r="Y5" s="58">
        <f>N47*M47+N48*M48</f>
        <v>2442600</v>
      </c>
      <c r="Z5" s="107">
        <f>1091151.82-AI5*M60</f>
        <v>308974.326</v>
      </c>
      <c r="AA5" s="58"/>
      <c r="AB5" s="58"/>
      <c r="AC5" s="58">
        <v>1800000</v>
      </c>
      <c r="AD5" s="87">
        <v>891000</v>
      </c>
      <c r="AE5" s="58"/>
      <c r="AF5" s="58"/>
      <c r="AG5" s="58">
        <v>849600</v>
      </c>
      <c r="AH5" s="123" t="s">
        <v>49</v>
      </c>
      <c r="AI5" s="122">
        <v>32.438000000000002</v>
      </c>
      <c r="AJ5" s="103" t="s">
        <v>328</v>
      </c>
      <c r="AK5" s="229">
        <v>50891209</v>
      </c>
      <c r="AL5" s="21"/>
      <c r="AM5" s="21"/>
    </row>
    <row r="6" spans="1:40" ht="13.2" customHeight="1" thickBot="1" x14ac:dyDescent="0.35">
      <c r="A6" s="7">
        <v>45140</v>
      </c>
      <c r="B6" s="28">
        <v>22.04</v>
      </c>
      <c r="C6" s="30">
        <v>4.0629999999999997</v>
      </c>
      <c r="D6" s="22"/>
      <c r="E6" s="43">
        <f t="shared" ref="E6:E34" si="2">E5+D6-B6-C6</f>
        <v>159.3930000000002</v>
      </c>
      <c r="F6" s="51">
        <f t="shared" ref="F6:F35" si="3">C6</f>
        <v>4.0629999999999997</v>
      </c>
      <c r="G6" s="9">
        <f>1.323-H6</f>
        <v>0.55999999999999994</v>
      </c>
      <c r="H6" s="10">
        <v>0.76300000000000001</v>
      </c>
      <c r="I6" s="161">
        <f t="shared" ref="I6:I34" si="4">I5+F6-G6-H6</f>
        <v>5.8399999999999972</v>
      </c>
      <c r="J6" s="8"/>
      <c r="K6" s="11"/>
      <c r="L6" s="12"/>
      <c r="M6" s="51">
        <f t="shared" si="0"/>
        <v>0.76300000000000001</v>
      </c>
      <c r="N6" s="24">
        <v>0.38100000000000001</v>
      </c>
      <c r="O6" s="47">
        <f t="shared" ref="O6:O34" si="5">O5+M6-N6</f>
        <v>1.7399999999999973</v>
      </c>
      <c r="P6" s="48"/>
      <c r="Q6" s="47">
        <f t="shared" si="1"/>
        <v>166.97300000000021</v>
      </c>
      <c r="R6" s="165">
        <f t="shared" ref="R6:R35" si="6">B6+G6+H6+J6</f>
        <v>23.363</v>
      </c>
      <c r="S6" s="159">
        <f>31.911+AI5+AI8</f>
        <v>97.899000000000001</v>
      </c>
      <c r="T6" s="58">
        <v>1835641.7</v>
      </c>
      <c r="U6" s="58">
        <v>1666343.23</v>
      </c>
      <c r="V6" s="58">
        <v>0</v>
      </c>
      <c r="W6" s="87"/>
      <c r="X6" s="58">
        <v>0</v>
      </c>
      <c r="Y6" s="58">
        <v>2442600</v>
      </c>
      <c r="Z6" s="58">
        <f>Z5</f>
        <v>308974.326</v>
      </c>
      <c r="AA6" s="58"/>
      <c r="AB6" s="58"/>
      <c r="AC6" s="58">
        <v>1800000</v>
      </c>
      <c r="AD6" s="87">
        <v>891000</v>
      </c>
      <c r="AE6" s="58"/>
      <c r="AF6" s="58"/>
      <c r="AG6" s="314">
        <f>849600-AI8*M55</f>
        <v>57820.000000000116</v>
      </c>
      <c r="AH6" s="128"/>
      <c r="AI6" s="122"/>
      <c r="AJ6" s="349"/>
      <c r="AM6" s="21"/>
    </row>
    <row r="7" spans="1:40" ht="13.2" customHeight="1" thickBot="1" x14ac:dyDescent="0.35">
      <c r="A7" s="7">
        <v>45141</v>
      </c>
      <c r="B7" s="28">
        <f>9.01+15.02-4.04</f>
        <v>19.990000000000002</v>
      </c>
      <c r="C7" s="30">
        <v>1.9019999999999999</v>
      </c>
      <c r="D7" s="22"/>
      <c r="E7" s="43">
        <f t="shared" si="2"/>
        <v>137.5010000000002</v>
      </c>
      <c r="F7" s="51">
        <f t="shared" si="3"/>
        <v>1.9019999999999999</v>
      </c>
      <c r="G7" s="9">
        <f>2.002-H7</f>
        <v>1.3099999999999998</v>
      </c>
      <c r="H7" s="10">
        <v>0.69199999999999995</v>
      </c>
      <c r="I7" s="161">
        <f t="shared" si="4"/>
        <v>5.7399999999999975</v>
      </c>
      <c r="J7" s="8"/>
      <c r="K7" s="11"/>
      <c r="L7" s="12"/>
      <c r="M7" s="51">
        <f t="shared" si="0"/>
        <v>0.69199999999999995</v>
      </c>
      <c r="N7" s="24">
        <v>0.44800000000000001</v>
      </c>
      <c r="O7" s="47">
        <f t="shared" si="5"/>
        <v>1.9839999999999973</v>
      </c>
      <c r="P7" s="48"/>
      <c r="Q7" s="47">
        <f t="shared" si="1"/>
        <v>145.22500000000022</v>
      </c>
      <c r="R7" s="165">
        <f t="shared" si="6"/>
        <v>21.992000000000001</v>
      </c>
      <c r="S7" s="159">
        <f>AI5+AI7+'07.2023'!AI28+AI8</f>
        <v>167.899</v>
      </c>
      <c r="T7" s="59">
        <f>T6-AI7*M44</f>
        <v>-101818.30000000005</v>
      </c>
      <c r="U7" s="58">
        <f>1666343.23+1250000</f>
        <v>2916343.23</v>
      </c>
      <c r="V7" s="58">
        <v>0</v>
      </c>
      <c r="W7" s="87"/>
      <c r="X7" s="58">
        <v>0</v>
      </c>
      <c r="Y7" s="58">
        <f>2442600+817200</f>
        <v>3259800</v>
      </c>
      <c r="Z7" s="87">
        <f>Z5+817000</f>
        <v>1125974.3259999999</v>
      </c>
      <c r="AA7" s="58"/>
      <c r="AB7" s="58"/>
      <c r="AC7" s="58">
        <v>1800000</v>
      </c>
      <c r="AD7" s="87">
        <v>891000</v>
      </c>
      <c r="AE7" s="58"/>
      <c r="AF7" s="58"/>
      <c r="AG7" s="58">
        <v>57820.000000000116</v>
      </c>
      <c r="AH7" s="127" t="s">
        <v>43</v>
      </c>
      <c r="AI7" s="126">
        <v>70</v>
      </c>
      <c r="AJ7" s="99" t="s">
        <v>330</v>
      </c>
      <c r="AK7" s="2" t="s">
        <v>331</v>
      </c>
      <c r="AL7" s="21"/>
      <c r="AM7" s="21"/>
    </row>
    <row r="8" spans="1:40" ht="12.75" customHeight="1" thickBot="1" x14ac:dyDescent="0.35">
      <c r="A8" s="7">
        <v>45142</v>
      </c>
      <c r="B8" s="28">
        <v>19.68</v>
      </c>
      <c r="C8" s="30">
        <v>1.163</v>
      </c>
      <c r="D8" s="186"/>
      <c r="E8" s="43">
        <f t="shared" si="2"/>
        <v>116.6580000000002</v>
      </c>
      <c r="F8" s="51">
        <f t="shared" si="3"/>
        <v>1.163</v>
      </c>
      <c r="G8" s="9">
        <f>2.063-H8</f>
        <v>1.8240000000000003</v>
      </c>
      <c r="H8" s="10">
        <v>0.23899999999999999</v>
      </c>
      <c r="I8" s="161">
        <f t="shared" si="4"/>
        <v>4.8399999999999972</v>
      </c>
      <c r="J8" s="8"/>
      <c r="K8" s="11"/>
      <c r="L8" s="12"/>
      <c r="M8" s="51">
        <f t="shared" si="0"/>
        <v>0.23899999999999999</v>
      </c>
      <c r="N8" s="24">
        <v>0.40200000000000002</v>
      </c>
      <c r="O8" s="47">
        <f t="shared" si="5"/>
        <v>1.8209999999999971</v>
      </c>
      <c r="P8" s="48"/>
      <c r="Q8" s="47">
        <f t="shared" si="1"/>
        <v>123.3190000000002</v>
      </c>
      <c r="R8" s="165">
        <f t="shared" si="6"/>
        <v>21.743000000000002</v>
      </c>
      <c r="S8" s="159">
        <v>167.899</v>
      </c>
      <c r="T8" s="58">
        <v>164461.69999999995</v>
      </c>
      <c r="U8" s="86">
        <v>2916343.23</v>
      </c>
      <c r="V8" s="86">
        <v>0</v>
      </c>
      <c r="W8" s="87"/>
      <c r="X8" s="58">
        <v>0</v>
      </c>
      <c r="Y8" s="58">
        <f>3259800+36*M50</f>
        <v>4091400</v>
      </c>
      <c r="Z8" s="87">
        <v>1089578.8900000001</v>
      </c>
      <c r="AA8" s="58"/>
      <c r="AB8" s="58"/>
      <c r="AC8" s="58">
        <v>1800000</v>
      </c>
      <c r="AD8" s="87">
        <v>891000</v>
      </c>
      <c r="AE8" s="58"/>
      <c r="AF8" s="58"/>
      <c r="AG8" s="58">
        <v>57820.000000000116</v>
      </c>
      <c r="AH8" s="384" t="s">
        <v>340</v>
      </c>
      <c r="AI8" s="385">
        <v>33.549999999999997</v>
      </c>
      <c r="AJ8" s="99" t="s">
        <v>332</v>
      </c>
      <c r="AK8" s="91">
        <v>50866821</v>
      </c>
      <c r="AL8" s="239"/>
      <c r="AM8" s="21"/>
    </row>
    <row r="9" spans="1:40" ht="13.2" customHeight="1" thickBot="1" x14ac:dyDescent="0.35">
      <c r="A9" s="52">
        <v>45143</v>
      </c>
      <c r="B9" s="28"/>
      <c r="C9" s="30"/>
      <c r="D9" s="186"/>
      <c r="E9" s="43">
        <f t="shared" si="2"/>
        <v>116.6580000000002</v>
      </c>
      <c r="F9" s="51">
        <f t="shared" si="3"/>
        <v>0</v>
      </c>
      <c r="G9" s="9"/>
      <c r="H9" s="10"/>
      <c r="I9" s="161">
        <f t="shared" si="4"/>
        <v>4.8399999999999972</v>
      </c>
      <c r="J9" s="8"/>
      <c r="K9" s="11"/>
      <c r="L9" s="12"/>
      <c r="M9" s="51">
        <f t="shared" si="0"/>
        <v>0</v>
      </c>
      <c r="N9" s="24"/>
      <c r="O9" s="47">
        <f t="shared" si="5"/>
        <v>1.8209999999999971</v>
      </c>
      <c r="P9" s="48"/>
      <c r="Q9" s="47">
        <f t="shared" si="1"/>
        <v>123.3190000000002</v>
      </c>
      <c r="R9" s="165">
        <f t="shared" si="6"/>
        <v>0</v>
      </c>
      <c r="S9" s="159">
        <v>167.899</v>
      </c>
      <c r="T9" s="58">
        <v>164461.69999999995</v>
      </c>
      <c r="U9" s="86">
        <v>2916343.23</v>
      </c>
      <c r="V9" s="86">
        <v>0</v>
      </c>
      <c r="W9" s="87"/>
      <c r="X9" s="58">
        <v>0</v>
      </c>
      <c r="Y9" s="58">
        <v>4091400</v>
      </c>
      <c r="Z9" s="87">
        <v>1089578.8900000001</v>
      </c>
      <c r="AA9" s="87"/>
      <c r="AB9" s="80"/>
      <c r="AC9" s="58">
        <v>1800000</v>
      </c>
      <c r="AD9" s="87">
        <v>891000</v>
      </c>
      <c r="AE9" s="55"/>
      <c r="AF9" s="14"/>
      <c r="AG9" s="58">
        <v>57820.000000000116</v>
      </c>
      <c r="AH9" s="128"/>
      <c r="AI9" s="120"/>
      <c r="AJ9" s="99"/>
      <c r="AK9" s="91"/>
      <c r="AL9" s="99"/>
      <c r="AM9" s="21"/>
      <c r="AN9" s="21"/>
    </row>
    <row r="10" spans="1:40" s="1" customFormat="1" ht="13.2" customHeight="1" thickBot="1" x14ac:dyDescent="0.35">
      <c r="A10" s="52">
        <v>45144</v>
      </c>
      <c r="B10" s="28"/>
      <c r="C10" s="30"/>
      <c r="D10" s="186"/>
      <c r="E10" s="43">
        <f t="shared" si="2"/>
        <v>116.6580000000002</v>
      </c>
      <c r="F10" s="51">
        <f t="shared" si="3"/>
        <v>0</v>
      </c>
      <c r="G10" s="30"/>
      <c r="H10" s="10"/>
      <c r="I10" s="161">
        <f t="shared" si="4"/>
        <v>4.8399999999999972</v>
      </c>
      <c r="J10" s="8"/>
      <c r="K10" s="11"/>
      <c r="L10" s="12"/>
      <c r="M10" s="51">
        <f t="shared" si="0"/>
        <v>0</v>
      </c>
      <c r="N10" s="24"/>
      <c r="O10" s="47">
        <f t="shared" si="5"/>
        <v>1.8209999999999971</v>
      </c>
      <c r="P10" s="48"/>
      <c r="Q10" s="47">
        <f t="shared" si="1"/>
        <v>123.3190000000002</v>
      </c>
      <c r="R10" s="165">
        <f t="shared" si="6"/>
        <v>0</v>
      </c>
      <c r="S10" s="159">
        <f>167.899+AI10</f>
        <v>199.04</v>
      </c>
      <c r="T10" s="58">
        <v>164461.69999999995</v>
      </c>
      <c r="U10" s="157">
        <f>2916343.23-AI10*M60</f>
        <v>2165440.2970000003</v>
      </c>
      <c r="V10" s="86">
        <v>0</v>
      </c>
      <c r="W10" s="87"/>
      <c r="X10" s="58">
        <v>0</v>
      </c>
      <c r="Y10" s="58">
        <v>4091400</v>
      </c>
      <c r="Z10" s="87">
        <v>1089578.8900000001</v>
      </c>
      <c r="AA10" s="87"/>
      <c r="AB10" s="80"/>
      <c r="AC10" s="58">
        <v>1800000</v>
      </c>
      <c r="AD10" s="87">
        <v>891000</v>
      </c>
      <c r="AE10" s="55"/>
      <c r="AF10" s="14"/>
      <c r="AG10" s="58">
        <v>57820.000000000116</v>
      </c>
      <c r="AH10" s="128" t="s">
        <v>48</v>
      </c>
      <c r="AI10" s="120">
        <v>31.140999999999998</v>
      </c>
      <c r="AJ10" s="404" t="s">
        <v>342</v>
      </c>
      <c r="AK10" s="91">
        <v>58266768</v>
      </c>
      <c r="AL10" s="239"/>
      <c r="AM10" s="27"/>
      <c r="AN10" s="27"/>
    </row>
    <row r="11" spans="1:40" ht="13.2" customHeight="1" thickBot="1" x14ac:dyDescent="0.35">
      <c r="A11" s="7">
        <v>45145</v>
      </c>
      <c r="B11" s="28">
        <f>39.61+0.25</f>
        <v>39.86</v>
      </c>
      <c r="C11" s="30">
        <v>2.1190000000000002</v>
      </c>
      <c r="D11" s="186">
        <v>19.46</v>
      </c>
      <c r="E11" s="43">
        <f>E10+D11-B11-C11</f>
        <v>94.139000000000195</v>
      </c>
      <c r="F11" s="51">
        <f t="shared" si="3"/>
        <v>2.1190000000000002</v>
      </c>
      <c r="G11" s="9">
        <f>3.259-H11</f>
        <v>2.4729999999999999</v>
      </c>
      <c r="H11" s="10">
        <v>0.78600000000000003</v>
      </c>
      <c r="I11" s="161">
        <f>I10+F11-G11-H11</f>
        <v>3.699999999999998</v>
      </c>
      <c r="J11" s="8"/>
      <c r="K11" s="11"/>
      <c r="L11" s="12"/>
      <c r="M11" s="51">
        <f t="shared" si="0"/>
        <v>0.78600000000000003</v>
      </c>
      <c r="N11" s="24">
        <v>0.82199999999999995</v>
      </c>
      <c r="O11" s="47">
        <f t="shared" si="5"/>
        <v>1.784999999999997</v>
      </c>
      <c r="P11" s="48"/>
      <c r="Q11" s="47">
        <f t="shared" si="1"/>
        <v>99.624000000000194</v>
      </c>
      <c r="R11" s="165">
        <f>B11+G11+H11+J11</f>
        <v>43.119</v>
      </c>
      <c r="S11" s="160">
        <v>199.04</v>
      </c>
      <c r="T11" s="58">
        <f>164461.7+899000</f>
        <v>1063461.7</v>
      </c>
      <c r="U11" s="86">
        <v>2130500.0949999997</v>
      </c>
      <c r="V11" s="212">
        <v>0</v>
      </c>
      <c r="W11" s="87">
        <f>19.46*M57</f>
        <v>437850</v>
      </c>
      <c r="X11" s="79">
        <v>0</v>
      </c>
      <c r="Y11" s="58">
        <f>4091400+N51*M51</f>
        <v>4091400</v>
      </c>
      <c r="Z11" s="87">
        <v>1089578.8900000001</v>
      </c>
      <c r="AA11" s="87"/>
      <c r="AB11" s="80"/>
      <c r="AC11" s="58">
        <v>1800000</v>
      </c>
      <c r="AD11" s="87">
        <v>891000</v>
      </c>
      <c r="AE11" s="55"/>
      <c r="AF11" s="14"/>
      <c r="AG11" s="58">
        <v>57820.000000000116</v>
      </c>
      <c r="AH11" s="389" t="s">
        <v>43</v>
      </c>
      <c r="AI11" s="126">
        <v>32.700000000000003</v>
      </c>
      <c r="AJ11" s="103" t="s">
        <v>345</v>
      </c>
      <c r="AK11" s="91">
        <v>58188046</v>
      </c>
      <c r="AL11" s="21"/>
      <c r="AM11" s="21"/>
      <c r="AN11" s="21"/>
    </row>
    <row r="12" spans="1:40" ht="13.2" customHeight="1" thickBot="1" x14ac:dyDescent="0.35">
      <c r="A12" s="7">
        <v>45146</v>
      </c>
      <c r="B12" s="28">
        <v>7.73</v>
      </c>
      <c r="C12" s="30">
        <v>4.7539999999999996</v>
      </c>
      <c r="D12" s="186">
        <f>20.2+20.95</f>
        <v>41.15</v>
      </c>
      <c r="E12" s="43">
        <f>E11+D12-B12-C12</f>
        <v>122.80500000000018</v>
      </c>
      <c r="F12" s="51">
        <f t="shared" si="3"/>
        <v>4.7539999999999996</v>
      </c>
      <c r="G12" s="30">
        <f>4.454-H12</f>
        <v>4.18</v>
      </c>
      <c r="H12" s="24">
        <v>0.27400000000000002</v>
      </c>
      <c r="I12" s="161">
        <f t="shared" si="4"/>
        <v>3.9999999999999973</v>
      </c>
      <c r="J12" s="8"/>
      <c r="K12" s="11"/>
      <c r="L12" s="12"/>
      <c r="M12" s="51">
        <f t="shared" si="0"/>
        <v>0.27400000000000002</v>
      </c>
      <c r="N12" s="24">
        <v>0.371</v>
      </c>
      <c r="O12" s="47">
        <f t="shared" si="5"/>
        <v>1.6879999999999971</v>
      </c>
      <c r="P12" s="48"/>
      <c r="Q12" s="47">
        <f t="shared" si="1"/>
        <v>128.49300000000017</v>
      </c>
      <c r="R12" s="165">
        <f>B12+G12+H12+J12</f>
        <v>12.184000000000001</v>
      </c>
      <c r="S12" s="160">
        <v>199.04</v>
      </c>
      <c r="T12" s="86">
        <v>1063461.7</v>
      </c>
      <c r="U12" s="86">
        <v>2130500.0949999997</v>
      </c>
      <c r="V12" s="212">
        <v>0</v>
      </c>
      <c r="W12" s="87">
        <v>0</v>
      </c>
      <c r="X12" s="79">
        <v>0</v>
      </c>
      <c r="Y12" s="58">
        <f>4924800+36*M52</f>
        <v>5758200</v>
      </c>
      <c r="Z12" s="87">
        <v>1089578.8900000001</v>
      </c>
      <c r="AA12" s="86"/>
      <c r="AB12" s="80"/>
      <c r="AC12" s="58">
        <v>1800000</v>
      </c>
      <c r="AD12" s="87">
        <v>891000</v>
      </c>
      <c r="AE12" s="55"/>
      <c r="AF12" s="14"/>
      <c r="AG12" s="58">
        <v>57820.000000000116</v>
      </c>
      <c r="AL12" s="21"/>
      <c r="AM12" s="21"/>
      <c r="AN12" s="21"/>
    </row>
    <row r="13" spans="1:40" ht="13.2" customHeight="1" thickBot="1" x14ac:dyDescent="0.35">
      <c r="A13" s="7">
        <v>45147</v>
      </c>
      <c r="B13" s="28">
        <v>28.41</v>
      </c>
      <c r="C13" s="30">
        <v>3.5</v>
      </c>
      <c r="D13" s="186">
        <f>'07.2023'!AI28+20.68</f>
        <v>52.591000000000001</v>
      </c>
      <c r="E13" s="43">
        <f t="shared" si="2"/>
        <v>143.48600000000019</v>
      </c>
      <c r="F13" s="51">
        <f t="shared" si="3"/>
        <v>3.5</v>
      </c>
      <c r="G13" s="9">
        <f>2.38-H13</f>
        <v>2.38</v>
      </c>
      <c r="H13" s="10"/>
      <c r="I13" s="161">
        <f t="shared" si="4"/>
        <v>5.1199999999999974</v>
      </c>
      <c r="J13" s="8"/>
      <c r="K13" s="26"/>
      <c r="L13" s="12"/>
      <c r="M13" s="51">
        <f t="shared" si="0"/>
        <v>0</v>
      </c>
      <c r="N13" s="24">
        <v>0.501</v>
      </c>
      <c r="O13" s="47">
        <f t="shared" si="5"/>
        <v>1.1869999999999972</v>
      </c>
      <c r="P13" s="48"/>
      <c r="Q13" s="47">
        <f t="shared" si="1"/>
        <v>149.79300000000018</v>
      </c>
      <c r="R13" s="165">
        <f t="shared" si="6"/>
        <v>30.79</v>
      </c>
      <c r="S13" s="160">
        <f>AI5+AI7+AI8+AI10</f>
        <v>167.12899999999999</v>
      </c>
      <c r="T13" s="86">
        <v>1063461.7</v>
      </c>
      <c r="U13" s="86">
        <v>2130500.0949999997</v>
      </c>
      <c r="V13" s="212">
        <v>0</v>
      </c>
      <c r="W13" s="87">
        <v>0</v>
      </c>
      <c r="X13" s="79">
        <v>0</v>
      </c>
      <c r="Y13" s="58">
        <v>5758200</v>
      </c>
      <c r="Z13" s="87">
        <v>1089578.8900000001</v>
      </c>
      <c r="AA13" s="86"/>
      <c r="AB13" s="80"/>
      <c r="AC13" s="58">
        <v>1800000</v>
      </c>
      <c r="AD13" s="87">
        <v>891000</v>
      </c>
      <c r="AE13" s="55" t="e">
        <f>D12*#REF!</f>
        <v>#REF!</v>
      </c>
      <c r="AF13" s="14"/>
      <c r="AG13" s="58">
        <v>57820.000000000116</v>
      </c>
      <c r="AH13" s="389"/>
      <c r="AI13" s="126"/>
      <c r="AJ13" s="27"/>
      <c r="AK13" s="1"/>
      <c r="AL13" s="135"/>
      <c r="AM13" s="21"/>
      <c r="AN13" s="21"/>
    </row>
    <row r="14" spans="1:40" ht="13.2" customHeight="1" thickBot="1" x14ac:dyDescent="0.35">
      <c r="A14" s="7">
        <v>45148</v>
      </c>
      <c r="B14" s="28">
        <v>15.58</v>
      </c>
      <c r="C14" s="30">
        <v>1.129</v>
      </c>
      <c r="D14" s="186">
        <f>AI5+19.55</f>
        <v>51.988</v>
      </c>
      <c r="E14" s="43">
        <f t="shared" si="2"/>
        <v>178.76500000000019</v>
      </c>
      <c r="F14" s="51">
        <f t="shared" si="3"/>
        <v>1.129</v>
      </c>
      <c r="G14" s="30">
        <f>1.099-H14</f>
        <v>0.24</v>
      </c>
      <c r="H14" s="24">
        <v>0.85899999999999999</v>
      </c>
      <c r="I14" s="161">
        <f t="shared" si="4"/>
        <v>5.1499999999999968</v>
      </c>
      <c r="J14" s="8"/>
      <c r="K14" s="11"/>
      <c r="L14" s="12"/>
      <c r="M14" s="51">
        <f t="shared" si="0"/>
        <v>0.85899999999999999</v>
      </c>
      <c r="N14" s="24">
        <v>0.43099999999999999</v>
      </c>
      <c r="O14" s="47">
        <f t="shared" si="5"/>
        <v>1.6149999999999971</v>
      </c>
      <c r="P14" s="48"/>
      <c r="Q14" s="47">
        <f t="shared" si="1"/>
        <v>185.5300000000002</v>
      </c>
      <c r="R14" s="165">
        <f t="shared" si="6"/>
        <v>16.679000000000002</v>
      </c>
      <c r="S14" s="160">
        <f>AI7+AI8+AI10+AI11</f>
        <v>167.39100000000002</v>
      </c>
      <c r="T14" s="58">
        <f>1063461.7-AI11*M44</f>
        <v>158391.09999999986</v>
      </c>
      <c r="U14" s="86">
        <v>2130500.0949999997</v>
      </c>
      <c r="V14" s="212">
        <v>0</v>
      </c>
      <c r="W14" s="388">
        <v>0</v>
      </c>
      <c r="X14" s="79">
        <v>0</v>
      </c>
      <c r="Y14" s="58">
        <v>5758200</v>
      </c>
      <c r="Z14" s="87">
        <v>1089578.8900000001</v>
      </c>
      <c r="AA14" s="86"/>
      <c r="AB14" s="80"/>
      <c r="AC14" s="58">
        <v>1800000</v>
      </c>
      <c r="AD14" s="87">
        <v>891000</v>
      </c>
      <c r="AE14" s="55" t="e">
        <f>481844-19.55*#REF!</f>
        <v>#REF!</v>
      </c>
      <c r="AF14" s="14"/>
      <c r="AG14" s="58">
        <v>57820.000000000116</v>
      </c>
      <c r="AL14" s="239"/>
      <c r="AM14" s="21"/>
      <c r="AN14" s="21"/>
    </row>
    <row r="15" spans="1:40" ht="13.2" customHeight="1" thickBot="1" x14ac:dyDescent="0.35">
      <c r="A15" s="7">
        <v>45149</v>
      </c>
      <c r="B15" s="28">
        <v>31.36</v>
      </c>
      <c r="C15" s="30">
        <v>1.425</v>
      </c>
      <c r="D15" s="186"/>
      <c r="E15" s="43">
        <f t="shared" si="2"/>
        <v>145.98000000000019</v>
      </c>
      <c r="F15" s="51">
        <f t="shared" si="3"/>
        <v>1.425</v>
      </c>
      <c r="G15" s="9">
        <f>2.275-H15</f>
        <v>1.56</v>
      </c>
      <c r="H15" s="10">
        <v>0.71499999999999997</v>
      </c>
      <c r="I15" s="161">
        <f t="shared" si="4"/>
        <v>4.2999999999999972</v>
      </c>
      <c r="J15" s="8"/>
      <c r="K15" s="11"/>
      <c r="L15" s="12"/>
      <c r="M15" s="51">
        <f>H15</f>
        <v>0.71499999999999997</v>
      </c>
      <c r="N15" s="24">
        <v>0.43</v>
      </c>
      <c r="O15" s="47">
        <f t="shared" si="5"/>
        <v>1.899999999999997</v>
      </c>
      <c r="P15" s="48"/>
      <c r="Q15" s="47">
        <f t="shared" si="1"/>
        <v>152.18000000000021</v>
      </c>
      <c r="R15" s="165">
        <f t="shared" si="6"/>
        <v>33.635000000000005</v>
      </c>
      <c r="S15" s="160">
        <v>167.39099999999999</v>
      </c>
      <c r="T15" s="86">
        <v>282781.90000000002</v>
      </c>
      <c r="U15" s="86">
        <v>2130500.0949999997</v>
      </c>
      <c r="V15" s="80"/>
      <c r="W15" s="388">
        <v>0</v>
      </c>
      <c r="X15" s="79"/>
      <c r="Y15" s="58">
        <v>5758200</v>
      </c>
      <c r="Z15" s="87">
        <v>1089578.8900000001</v>
      </c>
      <c r="AA15" s="86"/>
      <c r="AB15" s="80"/>
      <c r="AC15" s="58">
        <v>1800000</v>
      </c>
      <c r="AD15" s="87">
        <v>891000</v>
      </c>
      <c r="AE15" s="271"/>
      <c r="AF15" s="14"/>
      <c r="AG15" s="58">
        <v>57820.000000000116</v>
      </c>
      <c r="AL15" s="239"/>
      <c r="AM15" s="21"/>
      <c r="AN15" s="21"/>
    </row>
    <row r="16" spans="1:40" ht="13.2" customHeight="1" thickBot="1" x14ac:dyDescent="0.35">
      <c r="A16" s="52">
        <v>45150</v>
      </c>
      <c r="B16" s="28"/>
      <c r="C16" s="30"/>
      <c r="D16" s="186"/>
      <c r="E16" s="43">
        <f t="shared" si="2"/>
        <v>145.98000000000019</v>
      </c>
      <c r="F16" s="51">
        <f t="shared" si="3"/>
        <v>0</v>
      </c>
      <c r="G16" s="9"/>
      <c r="H16" s="10"/>
      <c r="I16" s="161">
        <f t="shared" si="4"/>
        <v>4.2999999999999972</v>
      </c>
      <c r="J16" s="8"/>
      <c r="K16" s="11"/>
      <c r="L16" s="12"/>
      <c r="M16" s="51">
        <f t="shared" si="0"/>
        <v>0</v>
      </c>
      <c r="N16" s="24"/>
      <c r="O16" s="47">
        <f t="shared" si="5"/>
        <v>1.899999999999997</v>
      </c>
      <c r="P16" s="48"/>
      <c r="Q16" s="47">
        <f t="shared" si="1"/>
        <v>152.18000000000021</v>
      </c>
      <c r="R16" s="165">
        <f t="shared" si="6"/>
        <v>0</v>
      </c>
      <c r="S16" s="160">
        <v>167.39099999999999</v>
      </c>
      <c r="T16" s="86">
        <v>282781.90000000002</v>
      </c>
      <c r="U16" s="86">
        <v>2130500.0949999997</v>
      </c>
      <c r="V16" s="80"/>
      <c r="W16" s="388">
        <v>0</v>
      </c>
      <c r="X16" s="85"/>
      <c r="Y16" s="58">
        <v>5758200</v>
      </c>
      <c r="Z16" s="87">
        <v>1089578.8900000001</v>
      </c>
      <c r="AA16" s="86"/>
      <c r="AB16" s="80"/>
      <c r="AC16" s="58">
        <v>1800000</v>
      </c>
      <c r="AD16" s="87">
        <v>891000</v>
      </c>
      <c r="AE16" s="55"/>
      <c r="AF16" s="14"/>
      <c r="AG16" s="58">
        <v>57820.000000000116</v>
      </c>
      <c r="AH16" s="123"/>
      <c r="AI16" s="122"/>
      <c r="AJ16" s="103"/>
      <c r="AK16" s="91"/>
      <c r="AL16" s="239"/>
      <c r="AM16" s="21"/>
      <c r="AN16" s="21"/>
    </row>
    <row r="17" spans="1:40" s="1" customFormat="1" ht="13.2" customHeight="1" thickBot="1" x14ac:dyDescent="0.35">
      <c r="A17" s="52">
        <v>45151</v>
      </c>
      <c r="B17" s="28"/>
      <c r="C17" s="30"/>
      <c r="D17" s="186"/>
      <c r="E17" s="43">
        <f t="shared" si="2"/>
        <v>145.98000000000019</v>
      </c>
      <c r="F17" s="51">
        <f t="shared" si="3"/>
        <v>0</v>
      </c>
      <c r="G17" s="9"/>
      <c r="H17" s="10"/>
      <c r="I17" s="161">
        <f t="shared" si="4"/>
        <v>4.2999999999999972</v>
      </c>
      <c r="J17" s="4"/>
      <c r="K17" s="5"/>
      <c r="L17" s="6"/>
      <c r="M17" s="51">
        <f t="shared" si="0"/>
        <v>0</v>
      </c>
      <c r="N17" s="24"/>
      <c r="O17" s="47">
        <f t="shared" si="5"/>
        <v>1.899999999999997</v>
      </c>
      <c r="P17" s="49"/>
      <c r="Q17" s="47">
        <f t="shared" si="1"/>
        <v>152.18000000000021</v>
      </c>
      <c r="R17" s="165">
        <f t="shared" si="6"/>
        <v>0</v>
      </c>
      <c r="S17" s="160">
        <v>167.39099999999999</v>
      </c>
      <c r="T17" s="86">
        <v>282781.90000000002</v>
      </c>
      <c r="U17" s="86">
        <v>2130500.0949999997</v>
      </c>
      <c r="V17" s="80"/>
      <c r="W17" s="388">
        <v>0</v>
      </c>
      <c r="X17" s="289"/>
      <c r="Y17" s="58">
        <v>5758200</v>
      </c>
      <c r="Z17" s="87">
        <v>1089578.8900000001</v>
      </c>
      <c r="AA17" s="86"/>
      <c r="AB17" s="80"/>
      <c r="AC17" s="58">
        <v>1800000</v>
      </c>
      <c r="AD17" s="87">
        <v>891000</v>
      </c>
      <c r="AE17" s="55"/>
      <c r="AF17" s="14"/>
      <c r="AG17" s="58">
        <v>57820.000000000116</v>
      </c>
      <c r="AH17" s="128"/>
      <c r="AI17" s="120"/>
      <c r="AJ17" s="103"/>
      <c r="AK17" s="91"/>
      <c r="AL17" s="130"/>
      <c r="AM17" s="99"/>
      <c r="AN17" s="27"/>
    </row>
    <row r="18" spans="1:40" ht="13.2" customHeight="1" thickBot="1" x14ac:dyDescent="0.35">
      <c r="A18" s="7">
        <v>45152</v>
      </c>
      <c r="B18" s="28">
        <v>28.15</v>
      </c>
      <c r="C18" s="30">
        <v>1.67</v>
      </c>
      <c r="D18" s="186">
        <f>AI7+AI8+AI10+21.98</f>
        <v>156.67099999999999</v>
      </c>
      <c r="E18" s="43">
        <f t="shared" si="2"/>
        <v>272.83100000000019</v>
      </c>
      <c r="F18" s="51">
        <f t="shared" si="3"/>
        <v>1.67</v>
      </c>
      <c r="G18" s="9">
        <f>1.32-H18</f>
        <v>0.76400000000000001</v>
      </c>
      <c r="H18" s="10">
        <v>0.55600000000000005</v>
      </c>
      <c r="I18" s="161">
        <f t="shared" si="4"/>
        <v>4.6499999999999968</v>
      </c>
      <c r="J18" s="8"/>
      <c r="K18" s="11"/>
      <c r="L18" s="12"/>
      <c r="M18" s="51">
        <f t="shared" si="0"/>
        <v>0.55600000000000005</v>
      </c>
      <c r="N18" s="24">
        <v>0.47399999999999998</v>
      </c>
      <c r="O18" s="47">
        <f t="shared" si="5"/>
        <v>1.9819999999999969</v>
      </c>
      <c r="P18" s="48"/>
      <c r="Q18" s="47">
        <f t="shared" si="1"/>
        <v>279.46300000000014</v>
      </c>
      <c r="R18" s="165">
        <f t="shared" si="6"/>
        <v>29.47</v>
      </c>
      <c r="S18" s="160">
        <v>32.700000000000003</v>
      </c>
      <c r="T18" s="86">
        <f>282781.9+542000</f>
        <v>824781.9</v>
      </c>
      <c r="U18" s="86">
        <f>2130500.095+1053000</f>
        <v>3183500.0950000002</v>
      </c>
      <c r="V18" s="80"/>
      <c r="W18" s="388">
        <v>0</v>
      </c>
      <c r="X18" s="289"/>
      <c r="Y18" s="58">
        <v>5758200</v>
      </c>
      <c r="Z18" s="87">
        <f>1089578.89+647000</f>
        <v>1736578.89</v>
      </c>
      <c r="AA18" s="86"/>
      <c r="AB18" s="80"/>
      <c r="AC18" s="58">
        <v>1800000</v>
      </c>
      <c r="AD18" s="87">
        <v>891000</v>
      </c>
      <c r="AE18" s="55"/>
      <c r="AF18" s="14"/>
      <c r="AG18" s="58">
        <v>57820.000000000116</v>
      </c>
      <c r="AH18" s="123"/>
      <c r="AI18" s="122"/>
      <c r="AJ18" s="103"/>
      <c r="AK18" s="91"/>
      <c r="AL18" s="239"/>
      <c r="AM18" s="21"/>
      <c r="AN18" s="21"/>
    </row>
    <row r="19" spans="1:40" ht="13.2" customHeight="1" thickBot="1" x14ac:dyDescent="0.35">
      <c r="A19" s="7">
        <v>45153</v>
      </c>
      <c r="B19" s="28">
        <v>40.520000000000003</v>
      </c>
      <c r="C19" s="30">
        <v>3.028</v>
      </c>
      <c r="D19" s="186">
        <f>21.45+19.58</f>
        <v>41.03</v>
      </c>
      <c r="E19" s="43">
        <f t="shared" si="2"/>
        <v>270.31300000000022</v>
      </c>
      <c r="F19" s="51">
        <f t="shared" si="3"/>
        <v>3.028</v>
      </c>
      <c r="G19" s="9">
        <f>4.228-H19</f>
        <v>3.5</v>
      </c>
      <c r="H19" s="10">
        <v>0.72799999999999998</v>
      </c>
      <c r="I19" s="161">
        <f t="shared" si="4"/>
        <v>3.4499999999999975</v>
      </c>
      <c r="J19" s="8"/>
      <c r="K19" s="11"/>
      <c r="L19" s="12"/>
      <c r="M19" s="51">
        <f t="shared" si="0"/>
        <v>0.72799999999999998</v>
      </c>
      <c r="N19" s="24">
        <v>0.56200000000000006</v>
      </c>
      <c r="O19" s="47">
        <f t="shared" si="5"/>
        <v>2.147999999999997</v>
      </c>
      <c r="P19" s="48"/>
      <c r="Q19" s="47">
        <f t="shared" si="1"/>
        <v>275.91100000000023</v>
      </c>
      <c r="R19" s="165">
        <f t="shared" si="6"/>
        <v>44.748000000000005</v>
      </c>
      <c r="S19" s="160">
        <v>32.700000000000003</v>
      </c>
      <c r="T19" s="86">
        <v>824781.9</v>
      </c>
      <c r="U19" s="86">
        <v>3183500</v>
      </c>
      <c r="V19" s="288"/>
      <c r="W19" s="388">
        <v>0</v>
      </c>
      <c r="X19" s="289"/>
      <c r="Y19" s="58">
        <v>5758200</v>
      </c>
      <c r="Z19" s="87">
        <v>1736578.89</v>
      </c>
      <c r="AA19" s="86"/>
      <c r="AB19" s="80"/>
      <c r="AC19" s="58">
        <v>1800000</v>
      </c>
      <c r="AD19" s="87">
        <v>891000</v>
      </c>
      <c r="AE19" s="55"/>
      <c r="AF19" s="14"/>
      <c r="AG19" s="58">
        <v>57820.000000000116</v>
      </c>
      <c r="AH19" s="128"/>
      <c r="AI19" s="120"/>
      <c r="AJ19" s="103"/>
      <c r="AK19" s="91"/>
      <c r="AL19" s="239"/>
      <c r="AM19" s="21"/>
      <c r="AN19" s="21"/>
    </row>
    <row r="20" spans="1:40" ht="13.2" customHeight="1" thickBot="1" x14ac:dyDescent="0.35">
      <c r="A20" s="7">
        <v>45154</v>
      </c>
      <c r="B20" s="28">
        <v>14.49</v>
      </c>
      <c r="C20" s="30">
        <v>2.2890000000000001</v>
      </c>
      <c r="D20" s="390">
        <f>32.7+20.98</f>
        <v>53.680000000000007</v>
      </c>
      <c r="E20" s="43">
        <f t="shared" si="2"/>
        <v>307.21400000000023</v>
      </c>
      <c r="F20" s="51">
        <f t="shared" si="3"/>
        <v>2.2890000000000001</v>
      </c>
      <c r="G20" s="9">
        <f>0.719-H20</f>
        <v>0.31999999999999995</v>
      </c>
      <c r="H20" s="10">
        <v>0.39900000000000002</v>
      </c>
      <c r="I20" s="161">
        <f t="shared" si="4"/>
        <v>5.0199999999999969</v>
      </c>
      <c r="J20" s="8"/>
      <c r="K20" s="11"/>
      <c r="L20" s="12"/>
      <c r="M20" s="51">
        <f t="shared" si="0"/>
        <v>0.39900000000000002</v>
      </c>
      <c r="N20" s="24">
        <v>0.65900000000000003</v>
      </c>
      <c r="O20" s="47">
        <f t="shared" si="5"/>
        <v>1.887999999999997</v>
      </c>
      <c r="P20" s="48"/>
      <c r="Q20" s="47">
        <f t="shared" si="1"/>
        <v>314.12200000000018</v>
      </c>
      <c r="R20" s="165">
        <f t="shared" si="6"/>
        <v>15.209</v>
      </c>
      <c r="S20" s="160">
        <f>AI20</f>
        <v>68.382000000000005</v>
      </c>
      <c r="T20" s="86">
        <v>824781.9</v>
      </c>
      <c r="U20" s="86">
        <f>3183500-AI20*M60</f>
        <v>1534604.8339999998</v>
      </c>
      <c r="V20" s="288"/>
      <c r="W20" s="388">
        <v>0</v>
      </c>
      <c r="X20" s="289"/>
      <c r="Y20" s="58">
        <v>5758200</v>
      </c>
      <c r="Z20" s="87">
        <v>1736578.89</v>
      </c>
      <c r="AA20" s="86"/>
      <c r="AB20" s="80"/>
      <c r="AC20" s="58">
        <v>1800000</v>
      </c>
      <c r="AD20" s="87">
        <v>891000</v>
      </c>
      <c r="AE20" s="55"/>
      <c r="AF20" s="14"/>
      <c r="AG20" s="58">
        <v>57820.000000000116</v>
      </c>
      <c r="AH20" s="128" t="s">
        <v>48</v>
      </c>
      <c r="AI20" s="120">
        <v>68.382000000000005</v>
      </c>
      <c r="AJ20" s="103" t="s">
        <v>347</v>
      </c>
      <c r="AK20" s="91">
        <v>76610278</v>
      </c>
      <c r="AL20" s="91">
        <v>76628205</v>
      </c>
      <c r="AM20" s="21"/>
      <c r="AN20" s="21"/>
    </row>
    <row r="21" spans="1:40" ht="13.2" customHeight="1" thickBot="1" x14ac:dyDescent="0.35">
      <c r="A21" s="7">
        <v>45155</v>
      </c>
      <c r="B21" s="28">
        <v>21.13</v>
      </c>
      <c r="C21" s="28">
        <v>6.28</v>
      </c>
      <c r="D21" s="186">
        <f>20.64+19.74</f>
        <v>40.379999999999995</v>
      </c>
      <c r="E21" s="43">
        <f t="shared" si="2"/>
        <v>320.18400000000025</v>
      </c>
      <c r="F21" s="51">
        <f t="shared" si="3"/>
        <v>6.28</v>
      </c>
      <c r="G21" s="9">
        <v>7.8</v>
      </c>
      <c r="H21" s="10">
        <v>0</v>
      </c>
      <c r="I21" s="161">
        <f t="shared" si="4"/>
        <v>3.4999999999999973</v>
      </c>
      <c r="J21" s="8"/>
      <c r="K21" s="11"/>
      <c r="L21" s="12"/>
      <c r="M21" s="51">
        <f t="shared" si="0"/>
        <v>0</v>
      </c>
      <c r="N21" s="24">
        <v>0.42399999999999999</v>
      </c>
      <c r="O21" s="47">
        <f t="shared" si="5"/>
        <v>1.4639999999999971</v>
      </c>
      <c r="P21" s="48"/>
      <c r="Q21" s="47">
        <f t="shared" si="1"/>
        <v>325.14800000000025</v>
      </c>
      <c r="R21" s="165">
        <f t="shared" si="6"/>
        <v>28.93</v>
      </c>
      <c r="S21" s="160">
        <v>68.382000000000005</v>
      </c>
      <c r="T21" s="86">
        <v>824781.9</v>
      </c>
      <c r="U21" s="82">
        <v>1534604.83</v>
      </c>
      <c r="V21" s="288"/>
      <c r="W21" s="388">
        <v>0</v>
      </c>
      <c r="X21" s="289"/>
      <c r="Y21" s="58">
        <v>5758200</v>
      </c>
      <c r="Z21" s="87">
        <v>1736578.89</v>
      </c>
      <c r="AA21" s="86"/>
      <c r="AB21" s="80"/>
      <c r="AC21" s="58">
        <v>1800000</v>
      </c>
      <c r="AD21" s="87">
        <v>891000</v>
      </c>
      <c r="AE21" s="55"/>
      <c r="AF21" s="14"/>
      <c r="AG21" s="58">
        <v>57820.000000000116</v>
      </c>
      <c r="AH21" s="128"/>
      <c r="AI21" s="120"/>
      <c r="AJ21" s="103"/>
      <c r="AK21" s="91"/>
      <c r="AL21" s="21"/>
      <c r="AM21" s="21"/>
      <c r="AN21" s="21"/>
    </row>
    <row r="22" spans="1:40" ht="13.2" customHeight="1" thickBot="1" x14ac:dyDescent="0.35">
      <c r="A22" s="7">
        <v>45156</v>
      </c>
      <c r="B22" s="28">
        <v>20.22</v>
      </c>
      <c r="C22" s="146">
        <v>3.67</v>
      </c>
      <c r="D22" s="186">
        <f>20.52+20.48+21.23</f>
        <v>62.230000000000004</v>
      </c>
      <c r="E22" s="43">
        <f t="shared" si="2"/>
        <v>358.52400000000029</v>
      </c>
      <c r="F22" s="51">
        <f t="shared" si="3"/>
        <v>3.67</v>
      </c>
      <c r="G22" s="9">
        <f>3.84-H22</f>
        <v>3.4819999999999998</v>
      </c>
      <c r="H22" s="10">
        <v>0.35799999999999998</v>
      </c>
      <c r="I22" s="161">
        <f t="shared" si="4"/>
        <v>3.3299999999999974</v>
      </c>
      <c r="J22" s="8"/>
      <c r="K22" s="11"/>
      <c r="L22" s="12"/>
      <c r="M22" s="51">
        <f t="shared" si="0"/>
        <v>0.35799999999999998</v>
      </c>
      <c r="N22" s="24">
        <v>0.51600000000000001</v>
      </c>
      <c r="O22" s="47">
        <f t="shared" si="5"/>
        <v>1.3059999999999969</v>
      </c>
      <c r="P22" s="48"/>
      <c r="Q22" s="47">
        <f t="shared" si="1"/>
        <v>363.16000000000025</v>
      </c>
      <c r="R22" s="165">
        <f t="shared" si="6"/>
        <v>24.06</v>
      </c>
      <c r="S22" s="160">
        <f>AI20+AI22</f>
        <v>100.88200000000001</v>
      </c>
      <c r="T22" s="86">
        <f>824781.9-AI22*M44</f>
        <v>-74753.099999999977</v>
      </c>
      <c r="U22" s="82">
        <v>1534604.83</v>
      </c>
      <c r="V22" s="288"/>
      <c r="W22" s="388">
        <v>0</v>
      </c>
      <c r="X22" s="289"/>
      <c r="Y22" s="58">
        <v>5758200</v>
      </c>
      <c r="Z22" s="87">
        <v>1736578.89</v>
      </c>
      <c r="AA22" s="86"/>
      <c r="AB22" s="80"/>
      <c r="AC22" s="58">
        <v>1800000</v>
      </c>
      <c r="AD22" s="87">
        <v>891000</v>
      </c>
      <c r="AE22" s="55"/>
      <c r="AF22" s="14"/>
      <c r="AG22" s="58">
        <v>57820.000000000116</v>
      </c>
      <c r="AH22" s="389" t="s">
        <v>43</v>
      </c>
      <c r="AI22" s="126">
        <v>32.5</v>
      </c>
      <c r="AJ22" s="27" t="s">
        <v>349</v>
      </c>
      <c r="AK22" s="255">
        <v>58155664</v>
      </c>
      <c r="AL22" s="21"/>
      <c r="AM22" s="21"/>
      <c r="AN22" s="21"/>
    </row>
    <row r="23" spans="1:40" ht="13.2" customHeight="1" thickBot="1" x14ac:dyDescent="0.35">
      <c r="A23" s="52">
        <v>45157</v>
      </c>
      <c r="B23" s="28">
        <v>15.82</v>
      </c>
      <c r="C23" s="30"/>
      <c r="D23" s="186"/>
      <c r="E23" s="43">
        <f t="shared" si="2"/>
        <v>342.70400000000029</v>
      </c>
      <c r="F23" s="51">
        <f t="shared" si="3"/>
        <v>0</v>
      </c>
      <c r="G23" s="9"/>
      <c r="H23" s="10"/>
      <c r="I23" s="161">
        <f t="shared" si="4"/>
        <v>3.3299999999999974</v>
      </c>
      <c r="J23" s="8"/>
      <c r="K23" s="11"/>
      <c r="L23" s="12"/>
      <c r="M23" s="51">
        <f t="shared" si="0"/>
        <v>0</v>
      </c>
      <c r="N23" s="24"/>
      <c r="O23" s="47">
        <f t="shared" si="5"/>
        <v>1.3059999999999969</v>
      </c>
      <c r="P23" s="48"/>
      <c r="Q23" s="47">
        <f t="shared" si="1"/>
        <v>347.34000000000026</v>
      </c>
      <c r="R23" s="165">
        <f t="shared" si="6"/>
        <v>15.82</v>
      </c>
      <c r="S23" s="160">
        <v>100.88200000000001</v>
      </c>
      <c r="T23" s="86">
        <v>-74753.100000000006</v>
      </c>
      <c r="U23" s="82">
        <v>1534604.83</v>
      </c>
      <c r="V23" s="86"/>
      <c r="W23" s="388">
        <v>0</v>
      </c>
      <c r="X23" s="94"/>
      <c r="Y23" s="58">
        <v>5758200</v>
      </c>
      <c r="Z23" s="87">
        <v>1736578.89</v>
      </c>
      <c r="AA23" s="86"/>
      <c r="AB23" s="80"/>
      <c r="AC23" s="58">
        <v>1800000</v>
      </c>
      <c r="AD23" s="87">
        <v>891000</v>
      </c>
      <c r="AE23" s="55"/>
      <c r="AF23" s="14"/>
      <c r="AG23" s="58">
        <v>57820.000000000116</v>
      </c>
      <c r="AH23" s="123"/>
      <c r="AI23" s="122"/>
      <c r="AJ23" s="99"/>
      <c r="AK23" s="21"/>
      <c r="AL23" s="91"/>
      <c r="AM23" s="21"/>
      <c r="AN23" s="21"/>
    </row>
    <row r="24" spans="1:40" ht="13.2" customHeight="1" thickBot="1" x14ac:dyDescent="0.35">
      <c r="A24" s="52">
        <v>45158</v>
      </c>
      <c r="B24" s="28"/>
      <c r="C24" s="30"/>
      <c r="D24" s="186"/>
      <c r="E24" s="43">
        <f t="shared" si="2"/>
        <v>342.70400000000029</v>
      </c>
      <c r="F24" s="51">
        <f t="shared" si="3"/>
        <v>0</v>
      </c>
      <c r="G24" s="9"/>
      <c r="H24" s="10"/>
      <c r="I24" s="161">
        <f t="shared" si="4"/>
        <v>3.3299999999999974</v>
      </c>
      <c r="J24" s="8"/>
      <c r="K24" s="11"/>
      <c r="L24" s="12"/>
      <c r="M24" s="51">
        <f t="shared" si="0"/>
        <v>0</v>
      </c>
      <c r="N24" s="24"/>
      <c r="O24" s="47">
        <f t="shared" si="5"/>
        <v>1.3059999999999969</v>
      </c>
      <c r="P24" s="48"/>
      <c r="Q24" s="47">
        <f t="shared" si="1"/>
        <v>347.34000000000026</v>
      </c>
      <c r="R24" s="165">
        <f t="shared" si="6"/>
        <v>0</v>
      </c>
      <c r="S24" s="160">
        <v>100.88200000000001</v>
      </c>
      <c r="T24" s="86">
        <v>-74753.100000000006</v>
      </c>
      <c r="U24" s="82">
        <v>1534604.83</v>
      </c>
      <c r="V24" s="86"/>
      <c r="W24" s="388">
        <v>0</v>
      </c>
      <c r="X24" s="94"/>
      <c r="Y24" s="58">
        <v>5758200</v>
      </c>
      <c r="Z24" s="87">
        <v>1736578.89</v>
      </c>
      <c r="AA24" s="86"/>
      <c r="AB24" s="80"/>
      <c r="AC24" s="58">
        <v>1800000</v>
      </c>
      <c r="AD24" s="87">
        <v>891000</v>
      </c>
      <c r="AE24" s="55"/>
      <c r="AF24" s="14"/>
      <c r="AG24" s="58">
        <v>57820.000000000116</v>
      </c>
      <c r="AH24" s="128" t="s">
        <v>48</v>
      </c>
      <c r="AI24" s="120">
        <v>62.51</v>
      </c>
      <c r="AJ24" s="403" t="s">
        <v>350</v>
      </c>
      <c r="AK24" s="255" t="s">
        <v>357</v>
      </c>
      <c r="AL24" s="21"/>
      <c r="AM24" s="21"/>
      <c r="AN24" s="21"/>
    </row>
    <row r="25" spans="1:40" ht="13.2" customHeight="1" thickBot="1" x14ac:dyDescent="0.35">
      <c r="A25" s="7">
        <v>45159</v>
      </c>
      <c r="B25" s="28">
        <v>17.66</v>
      </c>
      <c r="C25" s="30">
        <v>3.1</v>
      </c>
      <c r="D25" s="186">
        <f>20.14+20</f>
        <v>40.14</v>
      </c>
      <c r="E25" s="43">
        <f t="shared" si="2"/>
        <v>362.08400000000023</v>
      </c>
      <c r="F25" s="51">
        <f t="shared" si="3"/>
        <v>3.1</v>
      </c>
      <c r="G25" s="219">
        <f>2.18-H25</f>
        <v>1.5920000000000001</v>
      </c>
      <c r="H25" s="10">
        <v>0.58799999999999997</v>
      </c>
      <c r="I25" s="161">
        <f t="shared" si="4"/>
        <v>4.2499999999999973</v>
      </c>
      <c r="J25" s="8"/>
      <c r="K25" s="11"/>
      <c r="L25" s="12"/>
      <c r="M25" s="51">
        <f t="shared" si="0"/>
        <v>0.58799999999999997</v>
      </c>
      <c r="N25" s="24">
        <v>0.77100000000000002</v>
      </c>
      <c r="O25" s="47">
        <f t="shared" si="5"/>
        <v>1.1229999999999971</v>
      </c>
      <c r="P25" s="48"/>
      <c r="Q25" s="47">
        <f t="shared" si="1"/>
        <v>367.45700000000022</v>
      </c>
      <c r="R25" s="165">
        <f t="shared" si="6"/>
        <v>19.84</v>
      </c>
      <c r="S25" s="160">
        <f>100.882+AI24</f>
        <v>163.392</v>
      </c>
      <c r="T25" s="212">
        <f>-74753.1+75000</f>
        <v>246.89999999999418</v>
      </c>
      <c r="U25" s="82">
        <f>1534604.83-AI24*M60</f>
        <v>27301.200000000186</v>
      </c>
      <c r="V25" s="86"/>
      <c r="W25" s="388">
        <v>0</v>
      </c>
      <c r="X25" s="94"/>
      <c r="Y25" s="58">
        <v>5758200</v>
      </c>
      <c r="Z25" s="87">
        <v>1736578.89</v>
      </c>
      <c r="AA25" s="58"/>
      <c r="AB25" s="86"/>
      <c r="AC25" s="58">
        <v>1800000</v>
      </c>
      <c r="AD25" s="87">
        <v>891000</v>
      </c>
      <c r="AE25" s="55"/>
      <c r="AF25" s="14"/>
      <c r="AG25" s="58">
        <v>0</v>
      </c>
      <c r="AH25" s="137"/>
      <c r="AI25" s="155"/>
      <c r="AJ25" s="103"/>
      <c r="AK25" s="91"/>
      <c r="AL25" s="21"/>
      <c r="AM25" s="21"/>
      <c r="AN25" s="21"/>
    </row>
    <row r="26" spans="1:40" ht="12" customHeight="1" thickBot="1" x14ac:dyDescent="0.35">
      <c r="A26" s="7">
        <v>45160</v>
      </c>
      <c r="B26" s="28">
        <v>26.77</v>
      </c>
      <c r="C26" s="30">
        <v>2.7530000000000001</v>
      </c>
      <c r="D26" s="186"/>
      <c r="E26" s="43">
        <f>E25+D26-B26-C26</f>
        <v>332.56100000000026</v>
      </c>
      <c r="F26" s="51">
        <f t="shared" si="3"/>
        <v>2.7530000000000001</v>
      </c>
      <c r="G26" s="9">
        <f>4.813-H26</f>
        <v>4.0599999999999996</v>
      </c>
      <c r="H26" s="10">
        <v>0.753</v>
      </c>
      <c r="I26" s="161">
        <f t="shared" si="4"/>
        <v>2.1899999999999977</v>
      </c>
      <c r="J26" s="8"/>
      <c r="K26" s="11"/>
      <c r="L26" s="12"/>
      <c r="M26" s="51">
        <f t="shared" si="0"/>
        <v>0.753</v>
      </c>
      <c r="N26" s="24">
        <v>0.61099999999999999</v>
      </c>
      <c r="O26" s="47">
        <f t="shared" si="5"/>
        <v>1.2649999999999972</v>
      </c>
      <c r="P26" s="48"/>
      <c r="Q26" s="47">
        <f t="shared" si="1"/>
        <v>336.01600000000025</v>
      </c>
      <c r="R26" s="165">
        <f t="shared" si="6"/>
        <v>31.582999999999998</v>
      </c>
      <c r="S26" s="160">
        <v>163.392</v>
      </c>
      <c r="T26" s="212">
        <v>246.9</v>
      </c>
      <c r="U26" s="82">
        <v>27301.200000000001</v>
      </c>
      <c r="V26" s="86"/>
      <c r="W26" s="388">
        <v>0</v>
      </c>
      <c r="X26" s="94"/>
      <c r="Y26" s="58">
        <v>5758200</v>
      </c>
      <c r="Z26" s="87">
        <v>1736578.89</v>
      </c>
      <c r="AA26" s="86"/>
      <c r="AB26" s="80"/>
      <c r="AC26" s="58">
        <v>1800000</v>
      </c>
      <c r="AD26" s="87">
        <v>891000</v>
      </c>
      <c r="AE26" s="55"/>
      <c r="AF26" s="14"/>
      <c r="AG26" s="58">
        <v>0</v>
      </c>
      <c r="AH26" s="127"/>
      <c r="AI26" s="126"/>
      <c r="AJ26" s="208"/>
      <c r="AK26" s="91"/>
      <c r="AL26" s="21"/>
      <c r="AM26" s="21"/>
      <c r="AN26" s="21"/>
    </row>
    <row r="27" spans="1:40" ht="13.2" customHeight="1" thickBot="1" x14ac:dyDescent="0.35">
      <c r="A27" s="7">
        <v>45161</v>
      </c>
      <c r="B27" s="28">
        <v>23.67</v>
      </c>
      <c r="C27" s="28">
        <v>3.556</v>
      </c>
      <c r="D27" s="186">
        <f>AI20</f>
        <v>68.382000000000005</v>
      </c>
      <c r="E27" s="43">
        <f>E26+D27-B27-C27</f>
        <v>373.71700000000027</v>
      </c>
      <c r="F27" s="51">
        <f t="shared" si="3"/>
        <v>3.556</v>
      </c>
      <c r="G27" s="9">
        <f>2.416-H27</f>
        <v>1.63</v>
      </c>
      <c r="H27" s="10">
        <v>0.78600000000000003</v>
      </c>
      <c r="I27" s="161">
        <f t="shared" si="4"/>
        <v>3.3299999999999979</v>
      </c>
      <c r="J27" s="8"/>
      <c r="K27" s="11"/>
      <c r="L27" s="12"/>
      <c r="M27" s="51">
        <f t="shared" si="0"/>
        <v>0.78600000000000003</v>
      </c>
      <c r="N27" s="24">
        <v>0.49</v>
      </c>
      <c r="O27" s="47">
        <f t="shared" si="5"/>
        <v>1.5609999999999975</v>
      </c>
      <c r="P27" s="48"/>
      <c r="Q27" s="47">
        <f t="shared" si="1"/>
        <v>378.60800000000023</v>
      </c>
      <c r="R27" s="165">
        <f t="shared" si="6"/>
        <v>26.086000000000002</v>
      </c>
      <c r="S27" s="160">
        <f>S25-AI20</f>
        <v>95.009999999999991</v>
      </c>
      <c r="T27" s="212">
        <v>246.9</v>
      </c>
      <c r="U27" s="82">
        <v>27301.200000000001</v>
      </c>
      <c r="V27" s="87"/>
      <c r="W27" s="388">
        <v>0</v>
      </c>
      <c r="X27" s="94"/>
      <c r="Y27" s="58">
        <v>5758200</v>
      </c>
      <c r="Z27" s="87">
        <v>1736578.89</v>
      </c>
      <c r="AA27" s="86"/>
      <c r="AB27" s="80"/>
      <c r="AC27" s="58">
        <v>1800000</v>
      </c>
      <c r="AD27" s="87">
        <v>891000</v>
      </c>
      <c r="AE27" s="55"/>
      <c r="AF27" s="14"/>
      <c r="AG27" s="58"/>
      <c r="AH27" s="128"/>
      <c r="AI27" s="120"/>
      <c r="AJ27" s="21"/>
      <c r="AK27" s="91"/>
      <c r="AL27" s="21"/>
      <c r="AM27" s="21"/>
      <c r="AN27" s="21"/>
    </row>
    <row r="28" spans="1:40" ht="13.2" customHeight="1" outlineLevel="1" thickBot="1" x14ac:dyDescent="0.35">
      <c r="A28" s="7">
        <v>45162</v>
      </c>
      <c r="B28" s="28">
        <v>16.54</v>
      </c>
      <c r="C28" s="30">
        <v>1.39</v>
      </c>
      <c r="D28" s="186">
        <f>AI22</f>
        <v>32.5</v>
      </c>
      <c r="E28" s="43">
        <f t="shared" si="2"/>
        <v>388.28700000000026</v>
      </c>
      <c r="F28" s="51">
        <f t="shared" si="3"/>
        <v>1.39</v>
      </c>
      <c r="G28" s="9">
        <f>0.42</f>
        <v>0.42</v>
      </c>
      <c r="H28" s="10"/>
      <c r="I28" s="161">
        <f t="shared" si="4"/>
        <v>4.299999999999998</v>
      </c>
      <c r="J28" s="8"/>
      <c r="K28" s="11"/>
      <c r="L28" s="12"/>
      <c r="M28" s="51">
        <f t="shared" si="0"/>
        <v>0</v>
      </c>
      <c r="N28" s="24">
        <v>0.432</v>
      </c>
      <c r="O28" s="47">
        <f t="shared" si="5"/>
        <v>1.1289999999999976</v>
      </c>
      <c r="P28" s="48"/>
      <c r="Q28" s="47">
        <f t="shared" si="1"/>
        <v>393.71600000000029</v>
      </c>
      <c r="R28" s="165">
        <f t="shared" si="6"/>
        <v>16.96</v>
      </c>
      <c r="S28" s="160">
        <f>S27-D28</f>
        <v>62.509999999999991</v>
      </c>
      <c r="T28" s="212">
        <v>246.9</v>
      </c>
      <c r="U28" s="82">
        <v>27301.200000000001</v>
      </c>
      <c r="V28" s="86"/>
      <c r="W28" s="388">
        <v>0</v>
      </c>
      <c r="X28" s="94"/>
      <c r="Y28" s="58">
        <v>5758200</v>
      </c>
      <c r="Z28" s="87">
        <v>1736578.89</v>
      </c>
      <c r="AA28" s="86"/>
      <c r="AB28" s="80"/>
      <c r="AC28" s="58">
        <v>1800000</v>
      </c>
      <c r="AD28" s="87">
        <v>891000</v>
      </c>
      <c r="AE28" s="55"/>
      <c r="AF28" s="93"/>
      <c r="AG28" s="58"/>
      <c r="AH28" s="384" t="s">
        <v>323</v>
      </c>
      <c r="AI28" s="385">
        <v>36.26</v>
      </c>
      <c r="AJ28" s="356" t="s">
        <v>366</v>
      </c>
      <c r="AK28" s="91">
        <v>77496792</v>
      </c>
      <c r="AL28" s="21"/>
      <c r="AM28" s="21"/>
      <c r="AN28" s="21"/>
    </row>
    <row r="29" spans="1:40" ht="13.2" customHeight="1" outlineLevel="1" thickBot="1" x14ac:dyDescent="0.35">
      <c r="A29" s="7">
        <v>45163</v>
      </c>
      <c r="B29" s="28">
        <f>36.32-0.49</f>
        <v>35.83</v>
      </c>
      <c r="C29" s="30">
        <v>1.294</v>
      </c>
      <c r="D29" s="186"/>
      <c r="E29" s="43">
        <f t="shared" si="2"/>
        <v>351.1630000000003</v>
      </c>
      <c r="F29" s="51">
        <f t="shared" si="3"/>
        <v>1.294</v>
      </c>
      <c r="G29" s="9">
        <f>0.934-H29</f>
        <v>0.35000000000000009</v>
      </c>
      <c r="H29" s="10">
        <v>0.58399999999999996</v>
      </c>
      <c r="I29" s="161">
        <f t="shared" si="4"/>
        <v>4.6599999999999984</v>
      </c>
      <c r="J29" s="8"/>
      <c r="K29" s="11"/>
      <c r="L29" s="12"/>
      <c r="M29" s="51">
        <f t="shared" si="0"/>
        <v>0.58399999999999996</v>
      </c>
      <c r="N29" s="24">
        <v>0.67200000000000004</v>
      </c>
      <c r="O29" s="47">
        <f t="shared" si="5"/>
        <v>1.0409999999999973</v>
      </c>
      <c r="P29" s="48"/>
      <c r="Q29" s="47">
        <f t="shared" si="1"/>
        <v>356.86400000000032</v>
      </c>
      <c r="R29" s="165">
        <f t="shared" si="6"/>
        <v>36.764000000000003</v>
      </c>
      <c r="S29" s="160">
        <v>62.509999999999991</v>
      </c>
      <c r="T29" s="86">
        <v>246.9</v>
      </c>
      <c r="U29" s="86">
        <f>27301.2+1912000</f>
        <v>1939301.2</v>
      </c>
      <c r="V29" s="294"/>
      <c r="W29" s="66">
        <v>0</v>
      </c>
      <c r="X29" s="189"/>
      <c r="Y29" s="58">
        <v>5758200</v>
      </c>
      <c r="Z29" s="86">
        <f>1736578.89+1255000</f>
        <v>2991578.8899999997</v>
      </c>
      <c r="AA29" s="86"/>
      <c r="AB29" s="129"/>
      <c r="AC29" s="79">
        <v>1800000</v>
      </c>
      <c r="AD29" s="87">
        <v>891000</v>
      </c>
      <c r="AE29" s="56"/>
      <c r="AF29" s="14"/>
      <c r="AG29" s="58"/>
      <c r="AH29" s="384" t="s">
        <v>323</v>
      </c>
      <c r="AI29" s="385">
        <v>36.5</v>
      </c>
      <c r="AJ29" s="103" t="s">
        <v>367</v>
      </c>
      <c r="AK29" s="118">
        <v>76618412</v>
      </c>
      <c r="AL29" s="21"/>
      <c r="AM29" s="21"/>
      <c r="AN29" s="21"/>
    </row>
    <row r="30" spans="1:40" s="21" customFormat="1" ht="13.2" customHeight="1" outlineLevel="1" thickBot="1" x14ac:dyDescent="0.35">
      <c r="A30" s="52">
        <v>45164</v>
      </c>
      <c r="B30" s="28"/>
      <c r="C30" s="146"/>
      <c r="D30" s="186"/>
      <c r="E30" s="43">
        <f t="shared" si="2"/>
        <v>351.1630000000003</v>
      </c>
      <c r="F30" s="51">
        <f t="shared" si="3"/>
        <v>0</v>
      </c>
      <c r="G30" s="30"/>
      <c r="H30" s="24"/>
      <c r="I30" s="161">
        <f t="shared" si="4"/>
        <v>4.6599999999999984</v>
      </c>
      <c r="J30" s="28"/>
      <c r="K30" s="26"/>
      <c r="L30" s="53"/>
      <c r="M30" s="51">
        <f t="shared" si="0"/>
        <v>0</v>
      </c>
      <c r="N30" s="24"/>
      <c r="O30" s="47">
        <f t="shared" si="5"/>
        <v>1.0409999999999973</v>
      </c>
      <c r="P30" s="54"/>
      <c r="Q30" s="47">
        <f t="shared" si="1"/>
        <v>356.86400000000032</v>
      </c>
      <c r="R30" s="165">
        <f t="shared" si="6"/>
        <v>0</v>
      </c>
      <c r="S30" s="160">
        <v>62.509999999999991</v>
      </c>
      <c r="T30" s="86">
        <v>246.9</v>
      </c>
      <c r="U30" s="86">
        <v>1939301.2</v>
      </c>
      <c r="V30" s="87"/>
      <c r="W30" s="153">
        <v>0</v>
      </c>
      <c r="X30" s="94"/>
      <c r="Y30" s="58">
        <v>5758200</v>
      </c>
      <c r="Z30" s="86">
        <v>2991578.8899999997</v>
      </c>
      <c r="AA30" s="86"/>
      <c r="AB30" s="129"/>
      <c r="AC30" s="79">
        <v>1800000</v>
      </c>
      <c r="AD30" s="87">
        <v>891000</v>
      </c>
      <c r="AE30" s="191"/>
      <c r="AF30" s="14"/>
      <c r="AG30" s="58"/>
      <c r="AH30" s="384" t="s">
        <v>323</v>
      </c>
      <c r="AI30" s="385">
        <v>66.62</v>
      </c>
      <c r="AJ30" s="103" t="s">
        <v>368</v>
      </c>
      <c r="AK30" s="91" t="s">
        <v>369</v>
      </c>
    </row>
    <row r="31" spans="1:40" s="21" customFormat="1" ht="13.2" customHeight="1" outlineLevel="1" thickBot="1" x14ac:dyDescent="0.35">
      <c r="A31" s="52">
        <v>45165</v>
      </c>
      <c r="B31" s="28">
        <f>15.59-0.71</f>
        <v>14.879999999999999</v>
      </c>
      <c r="C31" s="30"/>
      <c r="D31" s="186"/>
      <c r="E31" s="43">
        <f t="shared" si="2"/>
        <v>336.2830000000003</v>
      </c>
      <c r="F31" s="51">
        <f t="shared" si="3"/>
        <v>0</v>
      </c>
      <c r="G31" s="68"/>
      <c r="H31" s="69"/>
      <c r="I31" s="161">
        <f t="shared" si="4"/>
        <v>4.6599999999999984</v>
      </c>
      <c r="J31" s="67"/>
      <c r="K31" s="70"/>
      <c r="L31" s="71"/>
      <c r="M31" s="51">
        <f t="shared" si="0"/>
        <v>0</v>
      </c>
      <c r="N31" s="24"/>
      <c r="O31" s="47">
        <f t="shared" si="5"/>
        <v>1.0409999999999973</v>
      </c>
      <c r="P31" s="72"/>
      <c r="Q31" s="47">
        <f t="shared" si="1"/>
        <v>341.98400000000032</v>
      </c>
      <c r="R31" s="165">
        <f t="shared" si="6"/>
        <v>14.879999999999999</v>
      </c>
      <c r="S31" s="160">
        <v>62.509999999999991</v>
      </c>
      <c r="T31" s="86">
        <v>246.9</v>
      </c>
      <c r="U31" s="86">
        <v>1939301.2</v>
      </c>
      <c r="V31" s="87"/>
      <c r="W31" s="153">
        <v>0</v>
      </c>
      <c r="X31" s="94"/>
      <c r="Y31" s="58">
        <v>5758200</v>
      </c>
      <c r="Z31" s="86">
        <v>2991578.8899999997</v>
      </c>
      <c r="AA31" s="86"/>
      <c r="AB31" s="129"/>
      <c r="AC31" s="79">
        <v>1800000</v>
      </c>
      <c r="AD31" s="87">
        <v>891000</v>
      </c>
      <c r="AE31" s="57"/>
      <c r="AF31" s="131"/>
      <c r="AG31" s="58"/>
      <c r="AH31" s="123"/>
      <c r="AI31" s="122"/>
      <c r="AJ31" s="103"/>
      <c r="AK31" s="102"/>
    </row>
    <row r="32" spans="1:40" ht="13.2" customHeight="1" outlineLevel="1" thickBot="1" x14ac:dyDescent="0.35">
      <c r="A32" s="7">
        <v>45166</v>
      </c>
      <c r="B32" s="28">
        <v>30.74</v>
      </c>
      <c r="C32" s="30">
        <v>1.034</v>
      </c>
      <c r="D32" s="186">
        <f>S31</f>
        <v>62.509999999999991</v>
      </c>
      <c r="E32" s="43">
        <f t="shared" si="2"/>
        <v>367.01900000000029</v>
      </c>
      <c r="F32" s="51">
        <f t="shared" si="3"/>
        <v>1.034</v>
      </c>
      <c r="G32" s="62">
        <f>1.894-H32</f>
        <v>1.1839999999999999</v>
      </c>
      <c r="H32" s="62">
        <v>0.71</v>
      </c>
      <c r="I32" s="161">
        <f t="shared" si="4"/>
        <v>3.799999999999998</v>
      </c>
      <c r="J32" s="62"/>
      <c r="K32" s="64"/>
      <c r="L32" s="13"/>
      <c r="M32" s="51">
        <f t="shared" si="0"/>
        <v>0.71</v>
      </c>
      <c r="N32" s="24">
        <v>0.86399999999999999</v>
      </c>
      <c r="O32" s="47">
        <f t="shared" si="5"/>
        <v>0.88699999999999724</v>
      </c>
      <c r="P32" s="65"/>
      <c r="Q32" s="47">
        <f t="shared" si="1"/>
        <v>371.7060000000003</v>
      </c>
      <c r="R32" s="165">
        <f t="shared" si="6"/>
        <v>32.634</v>
      </c>
      <c r="S32" s="160">
        <f>AI28+AI29+AI30</f>
        <v>139.38</v>
      </c>
      <c r="T32" s="86">
        <f>969000+246.9</f>
        <v>969246.9</v>
      </c>
      <c r="U32" s="86">
        <v>1939301.2</v>
      </c>
      <c r="V32" s="87"/>
      <c r="W32" s="153">
        <v>0</v>
      </c>
      <c r="X32" s="94"/>
      <c r="Y32" s="401">
        <f>Y31-AI28*22700-AI29*23100-AI30*M51</f>
        <v>2549695</v>
      </c>
      <c r="Z32" s="86">
        <v>2991578.8899999997</v>
      </c>
      <c r="AA32" s="86"/>
      <c r="AB32" s="129"/>
      <c r="AC32" s="79">
        <v>1800000</v>
      </c>
      <c r="AD32" s="87">
        <v>891000</v>
      </c>
      <c r="AE32" s="57"/>
      <c r="AF32" s="87"/>
      <c r="AG32" s="58"/>
      <c r="AH32" s="123"/>
      <c r="AI32" s="122"/>
      <c r="AJ32" s="103"/>
      <c r="AK32" s="99"/>
      <c r="AL32" s="21"/>
    </row>
    <row r="33" spans="1:38" ht="13.2" customHeight="1" outlineLevel="1" thickBot="1" x14ac:dyDescent="0.35">
      <c r="A33" s="7">
        <v>45167</v>
      </c>
      <c r="B33" s="28">
        <f>27.29-0.52</f>
        <v>26.77</v>
      </c>
      <c r="C33" s="9">
        <v>3</v>
      </c>
      <c r="D33" s="186"/>
      <c r="E33" s="43">
        <f t="shared" si="2"/>
        <v>337.24900000000031</v>
      </c>
      <c r="F33" s="51">
        <f t="shared" si="3"/>
        <v>3</v>
      </c>
      <c r="G33" s="62">
        <f>4.6-H33</f>
        <v>3.6599999999999997</v>
      </c>
      <c r="H33" s="62">
        <v>0.94</v>
      </c>
      <c r="I33" s="161">
        <f t="shared" si="4"/>
        <v>2.1999999999999984</v>
      </c>
      <c r="J33" s="62"/>
      <c r="K33" s="64"/>
      <c r="L33" s="13"/>
      <c r="M33" s="51">
        <f t="shared" si="0"/>
        <v>0.94</v>
      </c>
      <c r="N33" s="24">
        <v>0.40899999999999997</v>
      </c>
      <c r="O33" s="47">
        <f t="shared" si="5"/>
        <v>1.4179999999999973</v>
      </c>
      <c r="P33" s="65"/>
      <c r="Q33" s="47">
        <f t="shared" si="1"/>
        <v>340.8670000000003</v>
      </c>
      <c r="R33" s="165">
        <f>B33+G33+H33+J33</f>
        <v>31.37</v>
      </c>
      <c r="S33" s="160">
        <v>139.38</v>
      </c>
      <c r="T33" s="86">
        <v>969246.9</v>
      </c>
      <c r="U33" s="86">
        <v>1939301.2</v>
      </c>
      <c r="V33" s="87"/>
      <c r="W33" s="153">
        <v>0</v>
      </c>
      <c r="X33" s="94"/>
      <c r="Y33" s="86">
        <v>2549695</v>
      </c>
      <c r="Z33" s="86">
        <v>2991578.8899999997</v>
      </c>
      <c r="AA33" s="86"/>
      <c r="AB33" s="80"/>
      <c r="AC33" s="79">
        <v>1800000</v>
      </c>
      <c r="AD33" s="87">
        <v>891000</v>
      </c>
      <c r="AE33" s="57"/>
      <c r="AF33" s="131"/>
      <c r="AG33" s="58"/>
      <c r="AH33" s="127"/>
      <c r="AI33" s="120"/>
      <c r="AJ33" s="229"/>
      <c r="AK33" s="229"/>
      <c r="AL33" s="21"/>
    </row>
    <row r="34" spans="1:38" ht="13.2" customHeight="1" outlineLevel="1" thickBot="1" x14ac:dyDescent="0.35">
      <c r="A34" s="7">
        <v>45168</v>
      </c>
      <c r="B34" s="62">
        <v>42.48</v>
      </c>
      <c r="C34" s="30">
        <v>2.6349999999999998</v>
      </c>
      <c r="D34" s="92"/>
      <c r="E34" s="43">
        <f t="shared" si="2"/>
        <v>292.1340000000003</v>
      </c>
      <c r="F34" s="51">
        <f t="shared" si="3"/>
        <v>2.6349999999999998</v>
      </c>
      <c r="G34" s="62">
        <f>1.085-H34</f>
        <v>0.55599999999999994</v>
      </c>
      <c r="H34" s="62">
        <v>0.52900000000000003</v>
      </c>
      <c r="I34" s="161">
        <f t="shared" si="4"/>
        <v>3.7499999999999982</v>
      </c>
      <c r="J34" s="44"/>
      <c r="K34" s="44"/>
      <c r="L34" s="44"/>
      <c r="M34" s="63">
        <f t="shared" si="0"/>
        <v>0.52900000000000003</v>
      </c>
      <c r="N34" s="24">
        <v>0.51400000000000001</v>
      </c>
      <c r="O34" s="47">
        <f t="shared" si="5"/>
        <v>1.4329999999999974</v>
      </c>
      <c r="P34" s="65">
        <v>0</v>
      </c>
      <c r="Q34" s="47">
        <f t="shared" si="1"/>
        <v>297.31700000000029</v>
      </c>
      <c r="R34" s="165">
        <f t="shared" si="6"/>
        <v>43.564999999999998</v>
      </c>
      <c r="S34" s="160">
        <v>139.38</v>
      </c>
      <c r="T34" s="86">
        <v>969246.9</v>
      </c>
      <c r="U34" s="86">
        <v>1939301.2</v>
      </c>
      <c r="V34" s="87"/>
      <c r="W34" s="153">
        <v>0</v>
      </c>
      <c r="X34" s="94"/>
      <c r="Y34" s="58">
        <v>2549695</v>
      </c>
      <c r="Z34" s="86">
        <v>2991578.8899999997</v>
      </c>
      <c r="AA34" s="86"/>
      <c r="AB34" s="129"/>
      <c r="AC34" s="79">
        <v>1800000</v>
      </c>
      <c r="AD34" s="87">
        <v>891000</v>
      </c>
      <c r="AE34" s="57"/>
      <c r="AF34" s="87"/>
      <c r="AG34" s="58"/>
      <c r="AH34" s="123" t="s">
        <v>324</v>
      </c>
      <c r="AI34" s="122">
        <v>31.343</v>
      </c>
      <c r="AJ34" s="416" t="s">
        <v>376</v>
      </c>
      <c r="AK34" s="1">
        <v>50847730</v>
      </c>
      <c r="AL34" s="21"/>
    </row>
    <row r="35" spans="1:38" ht="15" outlineLevel="1" thickBot="1" x14ac:dyDescent="0.35">
      <c r="A35" s="7">
        <v>45169</v>
      </c>
      <c r="B35" s="108"/>
      <c r="C35" s="19">
        <v>1.9830000000000001</v>
      </c>
      <c r="D35" s="92"/>
      <c r="E35" s="73">
        <f>E34+D35-B35-C35</f>
        <v>290.15100000000029</v>
      </c>
      <c r="F35" s="100">
        <f t="shared" si="3"/>
        <v>1.9830000000000001</v>
      </c>
      <c r="G35" s="108">
        <f>1.533-H35</f>
        <v>0.67999999999999994</v>
      </c>
      <c r="H35" s="108">
        <v>0.85299999999999998</v>
      </c>
      <c r="I35" s="161">
        <f>I34+F35-G35-H35</f>
        <v>4.1999999999999993</v>
      </c>
      <c r="J35" s="18"/>
      <c r="K35" s="74"/>
      <c r="L35" s="75"/>
      <c r="M35" s="109">
        <f t="shared" si="0"/>
        <v>0.85299999999999998</v>
      </c>
      <c r="N35" s="24">
        <v>0.68700000000000006</v>
      </c>
      <c r="O35" s="50">
        <f>O34+M35-N35</f>
        <v>1.5989999999999973</v>
      </c>
      <c r="P35" s="76"/>
      <c r="Q35" s="50">
        <f t="shared" si="1"/>
        <v>295.95000000000027</v>
      </c>
      <c r="R35" s="166">
        <f t="shared" si="6"/>
        <v>1.5329999999999999</v>
      </c>
      <c r="S35" s="160">
        <f>AI28+AI29+AI30+AI34+AI35</f>
        <v>201.23599999999999</v>
      </c>
      <c r="T35" s="86">
        <v>969246.9</v>
      </c>
      <c r="U35" s="86">
        <v>1939301.2</v>
      </c>
      <c r="V35" s="87"/>
      <c r="W35" s="153">
        <v>0</v>
      </c>
      <c r="X35" s="94"/>
      <c r="Y35" s="58">
        <v>2549695</v>
      </c>
      <c r="Z35" s="107">
        <f>2991578.89-(AI34+AI35)*M58</f>
        <v>1500045.162</v>
      </c>
      <c r="AA35" s="86"/>
      <c r="AB35" s="129"/>
      <c r="AC35" s="79">
        <v>1800000</v>
      </c>
      <c r="AD35" s="87">
        <v>891000</v>
      </c>
      <c r="AE35" s="57"/>
      <c r="AF35" s="87"/>
      <c r="AG35" s="58"/>
      <c r="AH35" s="123" t="s">
        <v>324</v>
      </c>
      <c r="AI35" s="122">
        <v>30.513000000000002</v>
      </c>
      <c r="AJ35" s="414" t="s">
        <v>377</v>
      </c>
      <c r="AK35" s="2">
        <v>50821107</v>
      </c>
      <c r="AL35" s="21"/>
    </row>
    <row r="36" spans="1:38" ht="15" thickBot="1" x14ac:dyDescent="0.35">
      <c r="A36" s="36" t="s">
        <v>12</v>
      </c>
      <c r="B36" s="402">
        <f>SUM(B5:B35)</f>
        <v>592.04999999999995</v>
      </c>
      <c r="C36" s="37">
        <f>SUM(C5:C35)</f>
        <v>65.677000000000007</v>
      </c>
      <c r="D36" s="37">
        <f>SUM(D5:D35)</f>
        <v>722.71199999999999</v>
      </c>
      <c r="E36" s="115">
        <f>INDEX(E5:E35,COUNTA(E5:E35))-15.54-12.74</f>
        <v>261.87100000000027</v>
      </c>
      <c r="F36" s="37">
        <f>SUM(F5:F35)</f>
        <v>65.677000000000007</v>
      </c>
      <c r="G36" s="402">
        <f>SUM(G5:G35)</f>
        <v>53.324999999999996</v>
      </c>
      <c r="H36" s="402">
        <f>SUM(H5:H35)</f>
        <v>12.311999999999998</v>
      </c>
      <c r="I36" s="39"/>
      <c r="J36" s="38">
        <f>SUM(J5:J34)</f>
        <v>0</v>
      </c>
      <c r="K36" s="40">
        <f>SUM(K5:K34)</f>
        <v>0</v>
      </c>
      <c r="L36" s="39"/>
      <c r="M36" s="37">
        <f>SUM(M5:M35)</f>
        <v>12.311999999999998</v>
      </c>
      <c r="N36" s="37">
        <f>SUM(N5:N35)</f>
        <v>12.312000000000003</v>
      </c>
      <c r="O36" s="41"/>
      <c r="P36" s="40">
        <f>B36+G36+H36+J36</f>
        <v>657.68700000000001</v>
      </c>
      <c r="Q36" s="41"/>
      <c r="R36" s="167">
        <f>SUM(R5:R35)</f>
        <v>657.68700000000001</v>
      </c>
      <c r="S36" s="114">
        <f>INDEX(S5:S35,COUNTA(S5:S35))</f>
        <v>201.23599999999999</v>
      </c>
      <c r="T36" s="169"/>
      <c r="U36" s="169"/>
      <c r="V36" s="158"/>
      <c r="W36" s="140"/>
      <c r="X36" s="95"/>
      <c r="Y36" s="116"/>
      <c r="Z36" s="96"/>
      <c r="AA36" s="104"/>
      <c r="AB36" s="81"/>
      <c r="AC36" s="105"/>
      <c r="AD36" s="106"/>
      <c r="AE36" s="106"/>
      <c r="AF36" s="132"/>
      <c r="AG36" s="58"/>
      <c r="AH36" s="128"/>
      <c r="AK36" s="229"/>
    </row>
    <row r="37" spans="1:38" ht="15" thickBot="1" x14ac:dyDescent="0.35">
      <c r="A37" s="2" t="s">
        <v>39</v>
      </c>
      <c r="F37" s="60" t="s">
        <v>25</v>
      </c>
      <c r="O37" s="31"/>
      <c r="P37" s="31"/>
      <c r="Q37" s="32"/>
      <c r="AJ37" s="77"/>
      <c r="AK37" s="229"/>
    </row>
    <row r="38" spans="1:38" s="33" customFormat="1" ht="13.2" customHeight="1" x14ac:dyDescent="0.3">
      <c r="A38" s="33" t="s">
        <v>53</v>
      </c>
      <c r="B38" s="2" t="s">
        <v>50</v>
      </c>
      <c r="E38" s="110"/>
      <c r="F38" s="60" t="s">
        <v>52</v>
      </c>
      <c r="O38" s="1"/>
      <c r="R38" s="162"/>
      <c r="S38" s="162"/>
      <c r="T38" s="655" t="s">
        <v>51</v>
      </c>
      <c r="U38" s="656"/>
      <c r="V38" s="657"/>
      <c r="W38" s="171"/>
      <c r="X38" s="171"/>
      <c r="Y38" s="171"/>
      <c r="Z38" s="193">
        <f>E36</f>
        <v>261.87100000000027</v>
      </c>
      <c r="AA38" s="111"/>
      <c r="AB38" s="111"/>
      <c r="AC38" s="111"/>
      <c r="AD38" s="112"/>
      <c r="AH38" s="113"/>
      <c r="AI38" s="1"/>
    </row>
    <row r="39" spans="1:38" s="33" customFormat="1" ht="13.2" customHeight="1" x14ac:dyDescent="0.3">
      <c r="B39" s="2"/>
      <c r="E39" s="110"/>
      <c r="F39" s="60"/>
      <c r="R39" s="162"/>
      <c r="S39" s="162"/>
      <c r="T39" s="658" t="s">
        <v>34</v>
      </c>
      <c r="U39" s="659"/>
      <c r="V39" s="660"/>
      <c r="W39" s="172"/>
      <c r="X39" s="172"/>
      <c r="Y39" s="172"/>
      <c r="Z39" s="194">
        <f>S36</f>
        <v>201.23599999999999</v>
      </c>
      <c r="AA39" s="111"/>
      <c r="AB39" s="111"/>
      <c r="AC39" s="111"/>
      <c r="AD39" s="112"/>
      <c r="AH39" s="113"/>
    </row>
    <row r="40" spans="1:38" s="33" customFormat="1" ht="13.2" customHeight="1" thickBot="1" x14ac:dyDescent="0.35">
      <c r="B40" s="2"/>
      <c r="E40" s="110"/>
      <c r="F40" s="60"/>
      <c r="R40" s="162"/>
      <c r="S40" s="162"/>
      <c r="T40" s="661" t="s">
        <v>36</v>
      </c>
      <c r="U40" s="662"/>
      <c r="V40" s="663"/>
      <c r="W40" s="173"/>
      <c r="X40" s="173"/>
      <c r="Y40" s="173"/>
      <c r="Z40" s="195">
        <f>N62</f>
        <v>362.61837953424288</v>
      </c>
      <c r="AA40" s="111"/>
      <c r="AB40" s="111"/>
      <c r="AC40" s="111"/>
      <c r="AD40" s="112"/>
      <c r="AH40" s="113"/>
    </row>
    <row r="41" spans="1:38" s="33" customFormat="1" ht="13.2" customHeight="1" thickBot="1" x14ac:dyDescent="0.35">
      <c r="B41" s="2"/>
      <c r="E41" s="110"/>
      <c r="F41" s="2"/>
      <c r="R41" s="162"/>
      <c r="S41" s="162"/>
      <c r="T41" s="170"/>
      <c r="U41" s="695" t="s">
        <v>35</v>
      </c>
      <c r="V41" s="695"/>
      <c r="W41" s="695"/>
      <c r="X41" s="695"/>
      <c r="Y41" s="696"/>
      <c r="Z41" s="144">
        <f>Z38+Z39+Z40</f>
        <v>825.72537953424307</v>
      </c>
      <c r="AA41" s="111"/>
      <c r="AB41" s="111"/>
      <c r="AC41" s="111"/>
      <c r="AD41" s="112"/>
      <c r="AH41" s="113"/>
    </row>
    <row r="42" spans="1:38" x14ac:dyDescent="0.3">
      <c r="E42" s="110"/>
      <c r="G42" s="33"/>
      <c r="H42" s="2" t="s">
        <v>24</v>
      </c>
      <c r="M42" s="2" t="s">
        <v>17</v>
      </c>
      <c r="Q42" s="61" t="s">
        <v>38</v>
      </c>
      <c r="T42" s="174"/>
      <c r="U42" s="174"/>
      <c r="V42" s="175"/>
      <c r="W42" s="175"/>
      <c r="X42" s="176"/>
      <c r="Y42" s="176"/>
      <c r="Z42" s="175"/>
      <c r="AA42" s="151"/>
      <c r="AB42" s="151"/>
      <c r="AC42" s="151"/>
      <c r="AD42" s="152"/>
      <c r="AI42" s="123"/>
      <c r="AJ42" s="103"/>
      <c r="AK42" s="103"/>
      <c r="AL42" s="91"/>
    </row>
    <row r="43" spans="1:38" x14ac:dyDescent="0.3">
      <c r="E43" s="691" t="s">
        <v>18</v>
      </c>
      <c r="F43" s="692"/>
      <c r="G43" s="693"/>
      <c r="H43" s="552" t="s">
        <v>358</v>
      </c>
      <c r="I43" s="694"/>
      <c r="M43" s="240">
        <v>23874</v>
      </c>
      <c r="N43" s="342"/>
      <c r="O43" s="702" t="s">
        <v>201</v>
      </c>
      <c r="Q43" s="307" t="s">
        <v>303</v>
      </c>
      <c r="R43" s="355" t="s">
        <v>305</v>
      </c>
      <c r="T43" s="174"/>
      <c r="U43" s="174"/>
      <c r="V43" s="175"/>
      <c r="W43" s="175"/>
      <c r="X43" s="176"/>
      <c r="Y43" s="176"/>
      <c r="Z43" s="175"/>
      <c r="AA43" s="151"/>
      <c r="AB43" s="151"/>
      <c r="AC43" s="151"/>
      <c r="AD43" s="152"/>
      <c r="AI43" s="123"/>
      <c r="AJ43" s="103"/>
      <c r="AK43" s="103"/>
      <c r="AL43" s="91"/>
    </row>
    <row r="44" spans="1:38" s="315" customFormat="1" x14ac:dyDescent="0.3">
      <c r="C44" s="338"/>
      <c r="D44" s="98"/>
      <c r="E44" s="691" t="s">
        <v>18</v>
      </c>
      <c r="F44" s="692"/>
      <c r="G44" s="693"/>
      <c r="H44" s="552" t="s">
        <v>348</v>
      </c>
      <c r="I44" s="694"/>
      <c r="J44" s="124"/>
      <c r="K44" s="376"/>
      <c r="L44" s="145"/>
      <c r="M44" s="240">
        <v>27678</v>
      </c>
      <c r="N44" s="342"/>
      <c r="O44" s="702"/>
      <c r="P44" s="138"/>
      <c r="S44" s="355" t="s">
        <v>304</v>
      </c>
      <c r="T44" s="343"/>
      <c r="U44" s="319"/>
      <c r="V44" s="320"/>
      <c r="W44" s="321"/>
      <c r="X44" s="322"/>
      <c r="Y44" s="322"/>
      <c r="Z44" s="323"/>
      <c r="AA44" s="324"/>
      <c r="AB44" s="324"/>
      <c r="AC44" s="324"/>
      <c r="AD44" s="324"/>
      <c r="AG44" s="325"/>
      <c r="AH44" s="326"/>
      <c r="AI44" s="325"/>
      <c r="AJ44" s="325"/>
      <c r="AK44" s="325"/>
      <c r="AL44" s="324"/>
    </row>
    <row r="45" spans="1:38" s="315" customFormat="1" x14ac:dyDescent="0.3">
      <c r="C45" s="338"/>
      <c r="D45" s="98"/>
      <c r="E45" s="691" t="s">
        <v>18</v>
      </c>
      <c r="F45" s="692"/>
      <c r="G45" s="693"/>
      <c r="H45" s="552" t="s">
        <v>356</v>
      </c>
      <c r="I45" s="694"/>
      <c r="J45" s="124"/>
      <c r="K45" s="391"/>
      <c r="L45" s="145"/>
      <c r="M45" s="240">
        <v>31374</v>
      </c>
      <c r="N45" s="342">
        <f>T32/M45</f>
        <v>30.893316121629375</v>
      </c>
      <c r="O45" s="238" t="s">
        <v>351</v>
      </c>
      <c r="P45" s="138"/>
      <c r="Q45" s="308" t="s">
        <v>352</v>
      </c>
      <c r="R45" s="343" t="s">
        <v>353</v>
      </c>
      <c r="S45" s="343" t="s">
        <v>354</v>
      </c>
      <c r="T45" s="343" t="s">
        <v>355</v>
      </c>
      <c r="U45" s="319"/>
      <c r="V45" s="320"/>
      <c r="W45" s="321"/>
      <c r="X45" s="322"/>
      <c r="Y45" s="322"/>
      <c r="Z45" s="323"/>
      <c r="AA45" s="324"/>
      <c r="AB45" s="324"/>
      <c r="AC45" s="324"/>
      <c r="AD45" s="324"/>
      <c r="AG45" s="325"/>
      <c r="AH45" s="326"/>
      <c r="AI45" s="325"/>
      <c r="AJ45" s="325"/>
      <c r="AK45" s="325"/>
      <c r="AL45" s="324"/>
    </row>
    <row r="47" spans="1:38" s="315" customFormat="1" x14ac:dyDescent="0.3">
      <c r="C47" s="338"/>
      <c r="D47" s="98"/>
      <c r="E47" s="688" t="s">
        <v>323</v>
      </c>
      <c r="F47" s="689"/>
      <c r="G47" s="690"/>
      <c r="H47" s="697" t="s">
        <v>325</v>
      </c>
      <c r="I47" s="698"/>
      <c r="J47" s="124"/>
      <c r="K47" s="376"/>
      <c r="L47" s="145"/>
      <c r="M47" s="240">
        <v>23400</v>
      </c>
      <c r="N47" s="342">
        <v>33</v>
      </c>
      <c r="O47" s="238" t="s">
        <v>324</v>
      </c>
      <c r="P47" s="138"/>
      <c r="Q47" s="381" t="s">
        <v>326</v>
      </c>
      <c r="R47" s="343"/>
      <c r="S47" s="343"/>
      <c r="T47" s="343"/>
      <c r="U47" s="319"/>
      <c r="V47" s="320"/>
      <c r="W47" s="321"/>
      <c r="X47" s="322"/>
      <c r="Y47" s="322"/>
      <c r="Z47" s="323"/>
      <c r="AA47" s="324"/>
      <c r="AB47" s="324"/>
      <c r="AC47" s="324"/>
      <c r="AD47" s="324"/>
      <c r="AG47" s="325"/>
      <c r="AH47" s="326"/>
      <c r="AI47" s="325"/>
      <c r="AJ47" s="325"/>
      <c r="AK47" s="325"/>
      <c r="AL47" s="324"/>
    </row>
    <row r="48" spans="1:38" s="315" customFormat="1" x14ac:dyDescent="0.3">
      <c r="C48" s="338"/>
      <c r="D48" s="98"/>
      <c r="E48" s="688" t="s">
        <v>323</v>
      </c>
      <c r="F48" s="689"/>
      <c r="G48" s="690"/>
      <c r="H48" s="697" t="s">
        <v>327</v>
      </c>
      <c r="I48" s="698"/>
      <c r="J48" s="124"/>
      <c r="K48" s="376"/>
      <c r="L48" s="145"/>
      <c r="M48" s="240">
        <v>23200</v>
      </c>
      <c r="N48" s="342">
        <v>72</v>
      </c>
      <c r="O48" s="238" t="s">
        <v>49</v>
      </c>
      <c r="P48" s="138"/>
      <c r="Q48" s="381" t="s">
        <v>326</v>
      </c>
      <c r="R48" s="343"/>
      <c r="S48" s="343"/>
      <c r="T48" s="343"/>
      <c r="U48" s="319"/>
      <c r="V48" s="320"/>
      <c r="W48" s="321"/>
      <c r="X48" s="322"/>
      <c r="Y48" s="322"/>
      <c r="Z48" s="323"/>
      <c r="AA48" s="324"/>
      <c r="AB48" s="324"/>
      <c r="AC48" s="400"/>
      <c r="AD48" s="324"/>
      <c r="AG48" s="325"/>
      <c r="AH48" s="326"/>
      <c r="AI48" s="325"/>
      <c r="AJ48" s="325"/>
      <c r="AK48" s="325"/>
      <c r="AL48" s="324"/>
    </row>
    <row r="49" spans="3:38" s="315" customFormat="1" x14ac:dyDescent="0.3">
      <c r="C49" s="338"/>
      <c r="D49" s="98"/>
      <c r="E49" s="688" t="s">
        <v>371</v>
      </c>
      <c r="F49" s="689"/>
      <c r="G49" s="690"/>
      <c r="H49" s="697" t="s">
        <v>334</v>
      </c>
      <c r="I49" s="698"/>
      <c r="J49" s="124"/>
      <c r="K49" s="380"/>
      <c r="L49" s="145"/>
      <c r="M49" s="240">
        <v>22700</v>
      </c>
      <c r="N49" s="328"/>
      <c r="O49" s="238" t="s">
        <v>308</v>
      </c>
      <c r="P49" s="138"/>
      <c r="Q49" s="381" t="s">
        <v>335</v>
      </c>
      <c r="R49" s="343"/>
      <c r="S49" s="343"/>
      <c r="T49" s="343"/>
      <c r="U49" s="319"/>
      <c r="V49" s="320"/>
      <c r="W49" s="321"/>
      <c r="X49" s="322"/>
      <c r="Y49" s="322"/>
      <c r="Z49" s="323"/>
      <c r="AA49" s="324"/>
      <c r="AB49" s="324"/>
      <c r="AC49" s="324"/>
      <c r="AD49" s="324"/>
      <c r="AG49" s="325"/>
      <c r="AH49" s="326"/>
      <c r="AI49" s="325"/>
      <c r="AJ49" s="325"/>
      <c r="AK49" s="325"/>
      <c r="AL49" s="324"/>
    </row>
    <row r="50" spans="3:38" s="315" customFormat="1" x14ac:dyDescent="0.3">
      <c r="C50" s="338"/>
      <c r="D50" s="98"/>
      <c r="E50" s="688" t="s">
        <v>372</v>
      </c>
      <c r="F50" s="689"/>
      <c r="G50" s="690"/>
      <c r="H50" s="697" t="s">
        <v>338</v>
      </c>
      <c r="I50" s="698"/>
      <c r="J50" s="124"/>
      <c r="K50" s="382"/>
      <c r="L50" s="145"/>
      <c r="M50" s="240">
        <v>23100</v>
      </c>
      <c r="N50" s="328"/>
      <c r="O50" s="394" t="s">
        <v>308</v>
      </c>
      <c r="P50" s="138"/>
      <c r="Q50" s="381" t="s">
        <v>335</v>
      </c>
      <c r="R50" s="343"/>
      <c r="S50" s="343"/>
      <c r="T50" s="343"/>
      <c r="U50" s="319"/>
      <c r="V50" s="320"/>
      <c r="W50" s="321"/>
      <c r="X50" s="322"/>
      <c r="Y50" s="322"/>
      <c r="Z50" s="323"/>
      <c r="AA50" s="324"/>
      <c r="AB50" s="324"/>
      <c r="AC50" s="324"/>
      <c r="AD50" s="324"/>
      <c r="AG50" s="325"/>
      <c r="AH50" s="326"/>
      <c r="AI50" s="325"/>
      <c r="AJ50" s="325"/>
      <c r="AK50" s="325"/>
      <c r="AL50" s="324"/>
    </row>
    <row r="51" spans="3:38" s="315" customFormat="1" x14ac:dyDescent="0.3">
      <c r="C51" s="338"/>
      <c r="D51" s="98"/>
      <c r="E51" s="688" t="s">
        <v>373</v>
      </c>
      <c r="F51" s="689"/>
      <c r="G51" s="690"/>
      <c r="H51" s="697" t="s">
        <v>341</v>
      </c>
      <c r="I51" s="698"/>
      <c r="J51" s="124"/>
      <c r="K51" s="383"/>
      <c r="L51" s="145"/>
      <c r="M51" s="240">
        <v>23150</v>
      </c>
      <c r="N51" s="328"/>
      <c r="O51" s="238" t="s">
        <v>308</v>
      </c>
      <c r="P51" s="138"/>
      <c r="Q51" s="381" t="s">
        <v>335</v>
      </c>
      <c r="R51" s="343"/>
      <c r="S51" s="343"/>
      <c r="T51" s="343"/>
      <c r="U51" s="319"/>
      <c r="V51" s="320"/>
      <c r="W51" s="321"/>
      <c r="X51" s="322"/>
      <c r="Y51" s="322"/>
      <c r="Z51" s="323"/>
      <c r="AA51" s="324"/>
      <c r="AB51" s="324"/>
      <c r="AC51" s="324"/>
      <c r="AD51" s="324"/>
      <c r="AG51" s="325"/>
      <c r="AH51" s="326"/>
      <c r="AI51" s="325"/>
      <c r="AJ51" s="325"/>
      <c r="AK51" s="325"/>
      <c r="AL51" s="324"/>
    </row>
    <row r="52" spans="3:38" s="315" customFormat="1" x14ac:dyDescent="0.3">
      <c r="C52" s="338"/>
      <c r="D52" s="98"/>
      <c r="E52" s="688" t="s">
        <v>374</v>
      </c>
      <c r="F52" s="689"/>
      <c r="G52" s="690"/>
      <c r="H52" s="697" t="s">
        <v>344</v>
      </c>
      <c r="I52" s="698"/>
      <c r="J52" s="124"/>
      <c r="K52" s="386"/>
      <c r="L52" s="145"/>
      <c r="M52" s="240">
        <v>23150</v>
      </c>
      <c r="N52" s="328"/>
      <c r="O52" s="238" t="s">
        <v>308</v>
      </c>
      <c r="P52" s="138"/>
      <c r="Q52" s="381" t="s">
        <v>335</v>
      </c>
      <c r="R52" s="343"/>
      <c r="S52" s="343"/>
      <c r="T52" s="343"/>
      <c r="U52" s="319"/>
      <c r="V52" s="320"/>
      <c r="W52" s="321"/>
      <c r="X52" s="322"/>
      <c r="Y52" s="322"/>
      <c r="Z52" s="323"/>
      <c r="AA52" s="324"/>
      <c r="AB52" s="324"/>
      <c r="AC52" s="324"/>
      <c r="AD52" s="324"/>
      <c r="AG52" s="325"/>
      <c r="AH52" s="326"/>
      <c r="AI52" s="325"/>
      <c r="AJ52" s="325"/>
      <c r="AK52" s="325"/>
      <c r="AL52" s="324"/>
    </row>
    <row r="53" spans="3:38" s="315" customFormat="1" x14ac:dyDescent="0.3">
      <c r="C53" s="338"/>
      <c r="D53" s="98"/>
      <c r="E53" s="688" t="s">
        <v>14</v>
      </c>
      <c r="F53" s="689"/>
      <c r="G53" s="690"/>
      <c r="H53" s="650" t="s">
        <v>336</v>
      </c>
      <c r="I53" s="651"/>
      <c r="J53" s="124"/>
      <c r="K53" s="376"/>
      <c r="L53" s="145"/>
      <c r="M53" s="240">
        <v>24750</v>
      </c>
      <c r="N53" s="342">
        <f>AD5/M53</f>
        <v>36</v>
      </c>
      <c r="O53" s="238"/>
      <c r="P53" s="138"/>
      <c r="Q53" s="164"/>
      <c r="R53" s="164"/>
      <c r="S53" s="343"/>
      <c r="T53" s="343"/>
      <c r="U53" s="319"/>
      <c r="V53" s="320"/>
      <c r="W53" s="321"/>
      <c r="X53" s="322"/>
      <c r="Y53" s="322"/>
      <c r="Z53" s="323"/>
      <c r="AA53" s="324"/>
      <c r="AB53" s="324"/>
      <c r="AC53" s="324"/>
      <c r="AD53" s="324"/>
      <c r="AG53" s="325"/>
      <c r="AH53" s="326"/>
      <c r="AI53" s="325"/>
      <c r="AJ53" s="325"/>
      <c r="AK53" s="325"/>
      <c r="AL53" s="324"/>
    </row>
    <row r="54" spans="3:38" s="315" customFormat="1" x14ac:dyDescent="0.3">
      <c r="C54" s="338"/>
      <c r="D54" s="98"/>
      <c r="E54" s="688" t="s">
        <v>301</v>
      </c>
      <c r="F54" s="689"/>
      <c r="G54" s="690"/>
      <c r="H54" s="650" t="s">
        <v>337</v>
      </c>
      <c r="I54" s="651"/>
      <c r="J54" s="124"/>
      <c r="K54" s="376"/>
      <c r="L54" s="145"/>
      <c r="M54" s="240">
        <v>25000</v>
      </c>
      <c r="N54" s="342">
        <f>AC5/M54</f>
        <v>72</v>
      </c>
      <c r="O54" s="238"/>
      <c r="P54" s="138"/>
      <c r="Q54" s="164"/>
      <c r="R54" s="164"/>
      <c r="S54" s="343"/>
      <c r="T54" s="343"/>
      <c r="U54" s="319"/>
      <c r="V54" s="320"/>
      <c r="W54" s="321"/>
      <c r="X54" s="322"/>
      <c r="Y54" s="322"/>
      <c r="Z54" s="323"/>
      <c r="AA54" s="324"/>
      <c r="AB54" s="324"/>
      <c r="AC54" s="324"/>
      <c r="AD54" s="324"/>
      <c r="AG54" s="325"/>
      <c r="AH54" s="326"/>
      <c r="AI54" s="325"/>
      <c r="AJ54" s="325"/>
      <c r="AK54" s="325"/>
      <c r="AL54" s="324"/>
    </row>
    <row r="55" spans="3:38" s="315" customFormat="1" x14ac:dyDescent="0.3">
      <c r="C55" s="338"/>
      <c r="D55" s="98"/>
      <c r="E55" s="688" t="s">
        <v>320</v>
      </c>
      <c r="F55" s="689"/>
      <c r="G55" s="690"/>
      <c r="H55" s="650" t="s">
        <v>321</v>
      </c>
      <c r="I55" s="651"/>
      <c r="J55" s="124"/>
      <c r="K55" s="392"/>
      <c r="L55" s="145"/>
      <c r="M55" s="240">
        <v>23600</v>
      </c>
      <c r="N55" s="342"/>
      <c r="O55" s="393" t="s">
        <v>308</v>
      </c>
      <c r="P55" s="138"/>
      <c r="Q55" s="379" t="s">
        <v>359</v>
      </c>
      <c r="R55" s="164"/>
      <c r="S55" s="343"/>
      <c r="T55" s="343"/>
      <c r="U55" s="319"/>
      <c r="V55" s="320"/>
      <c r="W55" s="321"/>
      <c r="X55" s="322"/>
      <c r="Y55" s="322"/>
      <c r="Z55" s="323"/>
      <c r="AA55" s="324"/>
      <c r="AB55" s="324"/>
      <c r="AC55" s="324"/>
      <c r="AD55" s="324"/>
      <c r="AG55" s="325"/>
      <c r="AH55" s="326"/>
      <c r="AI55" s="325"/>
      <c r="AJ55" s="325"/>
      <c r="AK55" s="325"/>
      <c r="AL55" s="324"/>
    </row>
    <row r="56" spans="3:38" s="315" customFormat="1" x14ac:dyDescent="0.3">
      <c r="C56" s="338"/>
      <c r="D56" s="98"/>
      <c r="E56" s="688" t="s">
        <v>360</v>
      </c>
      <c r="F56" s="689"/>
      <c r="G56" s="690"/>
      <c r="H56" s="650"/>
      <c r="I56" s="651"/>
      <c r="J56" s="124"/>
      <c r="K56" s="392"/>
      <c r="L56" s="145"/>
      <c r="M56" s="240">
        <v>23300</v>
      </c>
      <c r="N56" s="342"/>
      <c r="O56" s="393"/>
      <c r="P56" s="138"/>
      <c r="Q56" s="379"/>
      <c r="R56" s="164"/>
      <c r="S56" s="343"/>
      <c r="T56" s="343"/>
      <c r="U56" s="319"/>
      <c r="V56" s="320"/>
      <c r="W56" s="321"/>
      <c r="X56" s="322"/>
      <c r="Y56" s="322"/>
      <c r="Z56" s="323"/>
      <c r="AA56" s="324"/>
      <c r="AB56" s="324"/>
      <c r="AC56" s="324"/>
      <c r="AD56" s="324"/>
      <c r="AG56" s="325"/>
      <c r="AH56" s="326"/>
      <c r="AI56" s="325"/>
      <c r="AJ56" s="325"/>
      <c r="AK56" s="325"/>
      <c r="AL56" s="324"/>
    </row>
    <row r="57" spans="3:38" s="315" customFormat="1" x14ac:dyDescent="0.3">
      <c r="C57" s="338"/>
      <c r="D57" s="98"/>
      <c r="E57" s="688" t="s">
        <v>229</v>
      </c>
      <c r="F57" s="689"/>
      <c r="G57" s="690"/>
      <c r="H57" s="650"/>
      <c r="I57" s="651"/>
      <c r="J57" s="124"/>
      <c r="K57" s="377"/>
      <c r="L57" s="145"/>
      <c r="M57" s="240">
        <v>22500</v>
      </c>
      <c r="N57" s="378"/>
      <c r="O57" s="379" t="s">
        <v>329</v>
      </c>
      <c r="P57" s="138"/>
      <c r="Q57" s="342">
        <f>100-D11-21.98</f>
        <v>58.559999999999988</v>
      </c>
      <c r="R57" s="379" t="s">
        <v>343</v>
      </c>
      <c r="S57" s="343"/>
      <c r="T57" s="343"/>
      <c r="U57" s="319"/>
      <c r="V57" s="320"/>
      <c r="W57" s="321"/>
      <c r="X57" s="322"/>
      <c r="Y57" s="322"/>
      <c r="Z57" s="323"/>
      <c r="AA57" s="324"/>
      <c r="AB57" s="324"/>
      <c r="AC57" s="324"/>
      <c r="AD57" s="324"/>
      <c r="AG57" s="325"/>
      <c r="AH57" s="326"/>
      <c r="AI57" s="325"/>
      <c r="AJ57" s="325"/>
      <c r="AK57" s="325"/>
      <c r="AL57" s="324"/>
    </row>
    <row r="58" spans="3:38" s="315" customFormat="1" x14ac:dyDescent="0.3">
      <c r="C58" s="338"/>
      <c r="D58" s="211" t="s">
        <v>28</v>
      </c>
      <c r="E58" s="691" t="s">
        <v>60</v>
      </c>
      <c r="F58" s="692"/>
      <c r="G58" s="693"/>
      <c r="H58" s="552" t="s">
        <v>346</v>
      </c>
      <c r="I58" s="694"/>
      <c r="J58" s="124"/>
      <c r="K58" s="376"/>
      <c r="L58" s="145"/>
      <c r="M58" s="240">
        <f>15124+8989</f>
        <v>24113</v>
      </c>
      <c r="N58" s="342"/>
      <c r="O58" s="238" t="s">
        <v>29</v>
      </c>
      <c r="P58" s="138"/>
      <c r="Q58" s="307" t="s">
        <v>333</v>
      </c>
      <c r="R58" s="343"/>
      <c r="S58" s="307" t="s">
        <v>375</v>
      </c>
      <c r="T58" s="343"/>
      <c r="U58" s="319"/>
      <c r="V58" s="320"/>
      <c r="W58" s="321"/>
      <c r="X58" s="322"/>
      <c r="Y58" s="322"/>
      <c r="Z58" s="323"/>
      <c r="AA58" s="324"/>
      <c r="AB58" s="324"/>
      <c r="AC58" s="324"/>
      <c r="AD58" s="324"/>
      <c r="AG58" s="325"/>
      <c r="AH58" s="326"/>
      <c r="AI58" s="325"/>
      <c r="AJ58" s="325"/>
      <c r="AK58" s="325"/>
      <c r="AL58" s="324"/>
    </row>
    <row r="59" spans="3:38" s="315" customFormat="1" x14ac:dyDescent="0.3">
      <c r="C59" s="338"/>
      <c r="D59" s="259" t="s">
        <v>28</v>
      </c>
      <c r="E59" s="672" t="s">
        <v>60</v>
      </c>
      <c r="F59" s="673"/>
      <c r="G59" s="674"/>
      <c r="H59" s="643" t="s">
        <v>356</v>
      </c>
      <c r="I59" s="675"/>
      <c r="J59" s="243"/>
      <c r="K59" s="244"/>
      <c r="L59" s="245"/>
      <c r="M59" s="260">
        <f>19980+8989</f>
        <v>28969</v>
      </c>
      <c r="N59" s="328">
        <f>Z35/M59</f>
        <v>51.781047395491733</v>
      </c>
      <c r="O59" s="248" t="s">
        <v>29</v>
      </c>
      <c r="P59" s="249"/>
      <c r="Q59" s="319" t="s">
        <v>364</v>
      </c>
      <c r="R59" s="319" t="s">
        <v>365</v>
      </c>
      <c r="S59" s="319" t="s">
        <v>363</v>
      </c>
      <c r="T59" s="343"/>
      <c r="U59" s="319"/>
      <c r="V59" s="320"/>
      <c r="W59" s="321"/>
      <c r="X59" s="322"/>
      <c r="Y59" s="322"/>
      <c r="Z59" s="323"/>
      <c r="AA59" s="324"/>
      <c r="AB59" s="324"/>
      <c r="AC59" s="324"/>
      <c r="AD59" s="324"/>
      <c r="AG59" s="325"/>
      <c r="AH59" s="326"/>
      <c r="AI59" s="325"/>
      <c r="AJ59" s="325"/>
      <c r="AK59" s="325"/>
      <c r="AL59" s="324"/>
    </row>
    <row r="60" spans="3:38" s="315" customFormat="1" x14ac:dyDescent="0.3">
      <c r="C60" s="338"/>
      <c r="D60" s="211" t="s">
        <v>21</v>
      </c>
      <c r="E60" s="691" t="s">
        <v>60</v>
      </c>
      <c r="F60" s="692"/>
      <c r="G60" s="693"/>
      <c r="H60" s="552" t="s">
        <v>346</v>
      </c>
      <c r="I60" s="694"/>
      <c r="J60" s="124"/>
      <c r="K60" s="376"/>
      <c r="L60" s="145"/>
      <c r="M60" s="240">
        <f>15124+8989</f>
        <v>24113</v>
      </c>
      <c r="N60" s="345"/>
      <c r="O60" s="238" t="s">
        <v>40</v>
      </c>
      <c r="P60" s="138"/>
      <c r="Q60" s="307" t="s">
        <v>314</v>
      </c>
      <c r="R60" s="355" t="s">
        <v>315</v>
      </c>
      <c r="S60" s="355" t="s">
        <v>316</v>
      </c>
      <c r="T60" s="343"/>
      <c r="U60" s="319"/>
      <c r="V60" s="320"/>
      <c r="W60" s="321"/>
      <c r="X60" s="322"/>
      <c r="Y60" s="322"/>
      <c r="Z60" s="323"/>
      <c r="AA60" s="324"/>
      <c r="AB60" s="324"/>
      <c r="AC60" s="324"/>
      <c r="AD60" s="324"/>
      <c r="AG60" s="325"/>
      <c r="AH60" s="326"/>
      <c r="AI60" s="325"/>
      <c r="AJ60" s="325"/>
      <c r="AK60" s="325"/>
      <c r="AL60" s="324"/>
    </row>
    <row r="61" spans="3:38" s="315" customFormat="1" ht="15" thickBot="1" x14ac:dyDescent="0.35">
      <c r="C61" s="338"/>
      <c r="D61" s="259" t="s">
        <v>21</v>
      </c>
      <c r="E61" s="672" t="s">
        <v>60</v>
      </c>
      <c r="F61" s="673"/>
      <c r="G61" s="674"/>
      <c r="H61" s="643" t="s">
        <v>356</v>
      </c>
      <c r="I61" s="675"/>
      <c r="J61" s="243"/>
      <c r="K61" s="244"/>
      <c r="L61" s="245"/>
      <c r="M61" s="260">
        <f>19980+8989</f>
        <v>28969</v>
      </c>
      <c r="N61" s="332">
        <f>U29/M61</f>
        <v>66.944016017121754</v>
      </c>
      <c r="O61" s="248" t="s">
        <v>40</v>
      </c>
      <c r="P61" s="249"/>
      <c r="Q61" s="319" t="s">
        <v>361</v>
      </c>
      <c r="R61" s="319" t="s">
        <v>362</v>
      </c>
      <c r="S61" s="319" t="s">
        <v>363</v>
      </c>
      <c r="T61" s="343"/>
      <c r="U61" s="319"/>
      <c r="V61" s="320"/>
      <c r="W61" s="321"/>
      <c r="X61" s="322"/>
      <c r="Y61" s="322"/>
      <c r="Z61" s="323"/>
      <c r="AA61" s="324"/>
      <c r="AB61" s="324"/>
      <c r="AC61" s="324"/>
      <c r="AD61" s="324"/>
      <c r="AG61" s="325"/>
      <c r="AH61" s="326"/>
      <c r="AI61" s="325"/>
      <c r="AJ61" s="325"/>
      <c r="AK61" s="325"/>
      <c r="AL61" s="324"/>
    </row>
    <row r="62" spans="3:38" ht="13.95" customHeight="1" thickBot="1" x14ac:dyDescent="0.35">
      <c r="E62" s="634"/>
      <c r="F62" s="635"/>
      <c r="G62" s="636"/>
      <c r="H62" s="637"/>
      <c r="I62" s="638"/>
      <c r="J62" s="141"/>
      <c r="K62" s="141"/>
      <c r="L62" s="142"/>
      <c r="M62" s="148" t="s">
        <v>33</v>
      </c>
      <c r="N62" s="348">
        <f>SUBTOTAL(109,N44:N61)</f>
        <v>362.61837953424288</v>
      </c>
      <c r="O62" s="150"/>
      <c r="T62" s="181"/>
      <c r="U62" s="181"/>
      <c r="V62" s="177"/>
      <c r="W62" s="178"/>
      <c r="X62" s="178"/>
      <c r="Y62" s="178"/>
      <c r="Z62" s="180"/>
      <c r="AA62" s="90"/>
      <c r="AB62" s="90"/>
      <c r="AC62" s="21"/>
      <c r="AD62" s="21"/>
    </row>
    <row r="63" spans="3:38" x14ac:dyDescent="0.3">
      <c r="E63" s="359" t="s">
        <v>116</v>
      </c>
      <c r="O63" s="139"/>
      <c r="V63" s="178"/>
      <c r="W63" s="178"/>
      <c r="X63" s="178"/>
      <c r="Y63" s="178"/>
      <c r="Z63" s="180"/>
      <c r="AA63" s="21"/>
      <c r="AB63" s="21"/>
      <c r="AC63" s="21"/>
      <c r="AD63" s="21"/>
    </row>
    <row r="64" spans="3:38" x14ac:dyDescent="0.3">
      <c r="E64" s="1" t="s">
        <v>57</v>
      </c>
      <c r="O64" s="1"/>
      <c r="P64" s="1"/>
      <c r="Q64" s="1"/>
      <c r="R64" s="224"/>
      <c r="V64" s="178"/>
      <c r="W64" s="178"/>
      <c r="X64" s="178"/>
      <c r="Y64" s="178"/>
      <c r="Z64" s="178"/>
      <c r="AA64" s="21"/>
      <c r="AB64" s="21"/>
      <c r="AC64" s="21"/>
      <c r="AD64" s="21"/>
    </row>
    <row r="65" spans="5:30" x14ac:dyDescent="0.3">
      <c r="E65" s="359" t="s">
        <v>379</v>
      </c>
      <c r="O65" s="1"/>
      <c r="P65" s="1"/>
      <c r="Q65" s="1"/>
      <c r="R65" s="224"/>
      <c r="V65" s="178"/>
      <c r="W65" s="178"/>
      <c r="X65" s="178"/>
      <c r="Y65" s="178"/>
      <c r="Z65" s="178"/>
      <c r="AA65" s="21"/>
      <c r="AB65" s="21"/>
      <c r="AC65" s="21"/>
      <c r="AD65" s="21"/>
    </row>
    <row r="66" spans="5:30" x14ac:dyDescent="0.3">
      <c r="E66" s="1" t="s">
        <v>288</v>
      </c>
      <c r="O66" s="1"/>
      <c r="P66" s="1"/>
      <c r="Q66" s="1"/>
      <c r="R66" s="224"/>
      <c r="V66" s="178"/>
      <c r="W66" s="178"/>
      <c r="X66" s="178"/>
      <c r="Y66" s="178"/>
      <c r="Z66" s="178"/>
      <c r="AA66" s="21"/>
      <c r="AB66" s="21"/>
      <c r="AC66" s="21"/>
      <c r="AD66" s="21"/>
    </row>
    <row r="67" spans="5:30" x14ac:dyDescent="0.3">
      <c r="E67" s="1" t="s">
        <v>287</v>
      </c>
    </row>
    <row r="68" spans="5:30" x14ac:dyDescent="0.3">
      <c r="E68" s="359" t="s">
        <v>339</v>
      </c>
    </row>
    <row r="69" spans="5:30" x14ac:dyDescent="0.3">
      <c r="E69" s="359" t="s">
        <v>290</v>
      </c>
    </row>
    <row r="70" spans="5:30" x14ac:dyDescent="0.3">
      <c r="E70" s="1" t="s">
        <v>289</v>
      </c>
      <c r="V70" s="175"/>
      <c r="W70" s="175"/>
      <c r="X70" s="175"/>
      <c r="Y70" s="175"/>
      <c r="Z70" s="175"/>
      <c r="AA70" s="21"/>
      <c r="AB70" s="21"/>
      <c r="AC70" s="21"/>
      <c r="AD70" s="21"/>
    </row>
    <row r="71" spans="5:30" x14ac:dyDescent="0.3">
      <c r="E71" s="1" t="s">
        <v>291</v>
      </c>
    </row>
    <row r="72" spans="5:30" x14ac:dyDescent="0.3">
      <c r="E72" s="1" t="s">
        <v>292</v>
      </c>
    </row>
  </sheetData>
  <mergeCells count="74">
    <mergeCell ref="E53:G53"/>
    <mergeCell ref="H53:I53"/>
    <mergeCell ref="E49:G49"/>
    <mergeCell ref="H49:I49"/>
    <mergeCell ref="E50:G50"/>
    <mergeCell ref="H50:I50"/>
    <mergeCell ref="H51:I51"/>
    <mergeCell ref="E51:G51"/>
    <mergeCell ref="E52:G52"/>
    <mergeCell ref="H52:I52"/>
    <mergeCell ref="P1:P4"/>
    <mergeCell ref="G3:I3"/>
    <mergeCell ref="E44:G44"/>
    <mergeCell ref="H44:I44"/>
    <mergeCell ref="E45:G45"/>
    <mergeCell ref="H45:I45"/>
    <mergeCell ref="J1:L3"/>
    <mergeCell ref="M1:O3"/>
    <mergeCell ref="E43:G43"/>
    <mergeCell ref="H43:I43"/>
    <mergeCell ref="O43:O44"/>
    <mergeCell ref="E47:G47"/>
    <mergeCell ref="E48:G48"/>
    <mergeCell ref="H48:I48"/>
    <mergeCell ref="H47:I47"/>
    <mergeCell ref="A1:A4"/>
    <mergeCell ref="B1:E1"/>
    <mergeCell ref="F1:I2"/>
    <mergeCell ref="B2:C2"/>
    <mergeCell ref="D2:D3"/>
    <mergeCell ref="E2:E4"/>
    <mergeCell ref="B3:C3"/>
    <mergeCell ref="F3:F4"/>
    <mergeCell ref="U41:Y41"/>
    <mergeCell ref="Q1:Q4"/>
    <mergeCell ref="R1:R4"/>
    <mergeCell ref="S1:S3"/>
    <mergeCell ref="T1:V2"/>
    <mergeCell ref="W1:AG2"/>
    <mergeCell ref="AF3:AF4"/>
    <mergeCell ref="AG3:AG4"/>
    <mergeCell ref="AA3:AA4"/>
    <mergeCell ref="AB3:AB4"/>
    <mergeCell ref="AC3:AC4"/>
    <mergeCell ref="AD3:AD4"/>
    <mergeCell ref="AE3:AE4"/>
    <mergeCell ref="T38:V38"/>
    <mergeCell ref="T39:V39"/>
    <mergeCell ref="T40:V40"/>
    <mergeCell ref="Z3:Z4"/>
    <mergeCell ref="T3:T4"/>
    <mergeCell ref="U3:U4"/>
    <mergeCell ref="V3:V4"/>
    <mergeCell ref="W3:W4"/>
    <mergeCell ref="X3:X4"/>
    <mergeCell ref="Y3:Y4"/>
    <mergeCell ref="E62:G62"/>
    <mergeCell ref="H62:I62"/>
    <mergeCell ref="E58:G58"/>
    <mergeCell ref="H58:I58"/>
    <mergeCell ref="E60:G60"/>
    <mergeCell ref="H60:I60"/>
    <mergeCell ref="E61:G61"/>
    <mergeCell ref="H61:I61"/>
    <mergeCell ref="E59:G59"/>
    <mergeCell ref="H59:I59"/>
    <mergeCell ref="E57:G57"/>
    <mergeCell ref="H57:I57"/>
    <mergeCell ref="E54:G54"/>
    <mergeCell ref="H54:I54"/>
    <mergeCell ref="E55:G55"/>
    <mergeCell ref="H55:I55"/>
    <mergeCell ref="E56:G56"/>
    <mergeCell ref="H56:I56"/>
  </mergeCells>
  <pageMargins left="0.7" right="0.17" top="0.72" bottom="0.34" header="0.77" footer="0.3"/>
  <pageSetup paperSize="9" scale="50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16</vt:i4>
      </vt:variant>
    </vt:vector>
  </HeadingPairs>
  <TitlesOfParts>
    <vt:vector size="32" baseType="lpstr">
      <vt:lpstr>12.22</vt:lpstr>
      <vt:lpstr>01.2023</vt:lpstr>
      <vt:lpstr>02.2023</vt:lpstr>
      <vt:lpstr>03.2023</vt:lpstr>
      <vt:lpstr>04.2023</vt:lpstr>
      <vt:lpstr>05.2023</vt:lpstr>
      <vt:lpstr>06.2023</vt:lpstr>
      <vt:lpstr>07.2023</vt:lpstr>
      <vt:lpstr>08.2023</vt:lpstr>
      <vt:lpstr>09.2023</vt:lpstr>
      <vt:lpstr>10.2023</vt:lpstr>
      <vt:lpstr>11.2023</vt:lpstr>
      <vt:lpstr>12.2023</vt:lpstr>
      <vt:lpstr>01.2024</vt:lpstr>
      <vt:lpstr>02.2024</vt:lpstr>
      <vt:lpstr>03.2024</vt:lpstr>
      <vt:lpstr>'01.2023'!Область_печати</vt:lpstr>
      <vt:lpstr>'01.2024'!Область_печати</vt:lpstr>
      <vt:lpstr>'02.2023'!Область_печати</vt:lpstr>
      <vt:lpstr>'02.2024'!Область_печати</vt:lpstr>
      <vt:lpstr>'03.2023'!Область_печати</vt:lpstr>
      <vt:lpstr>'03.2024'!Область_печати</vt:lpstr>
      <vt:lpstr>'04.2023'!Область_печати</vt:lpstr>
      <vt:lpstr>'05.2023'!Область_печати</vt:lpstr>
      <vt:lpstr>'06.2023'!Область_печати</vt:lpstr>
      <vt:lpstr>'07.2023'!Область_печати</vt:lpstr>
      <vt:lpstr>'08.2023'!Область_печати</vt:lpstr>
      <vt:lpstr>'09.2023'!Область_печати</vt:lpstr>
      <vt:lpstr>'10.2023'!Область_печати</vt:lpstr>
      <vt:lpstr>'11.2023'!Область_печати</vt:lpstr>
      <vt:lpstr>'12.2023'!Область_печати</vt:lpstr>
      <vt:lpstr>'12.22'!Область_печати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2024-03-18T00:57:20Z</dcterms:modified>
</cp:coreProperties>
</file>