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D:\P3_HCS\Expt3C8_FEX_GCaMP6\Experiment7-Blebbistatin\"/>
    </mc:Choice>
  </mc:AlternateContent>
  <bookViews>
    <workbookView xWindow="0" yWindow="0" windowWidth="20490" windowHeight="7680" tabRatio="854" activeTab="2"/>
  </bookViews>
  <sheets>
    <sheet name="Culture Constraints from Austin" sheetId="2" r:id="rId1"/>
    <sheet name="09.09.16 Experimental Plan" sheetId="4" r:id="rId2"/>
    <sheet name="09.09.16 Condition Table" sheetId="5" r:id="rId3"/>
    <sheet name="07.17.16 Experimental Plan" sheetId="3" r:id="rId4"/>
  </sheets>
  <definedNames>
    <definedName name="solver_adj" localSheetId="0" hidden="1">'Culture Constraints from Austin'!$E$3:$E$4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'Culture Constraints from Austin'!$E$8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5" l="1"/>
  <c r="C11" i="5"/>
  <c r="C12" i="5" s="1"/>
  <c r="C10" i="5"/>
  <c r="D3" i="5"/>
  <c r="C3" i="5" s="1"/>
  <c r="C14" i="5" s="1"/>
  <c r="C15" i="5" s="1"/>
  <c r="C16" i="5" s="1"/>
  <c r="C17" i="5" s="1"/>
  <c r="C18" i="5" s="1"/>
  <c r="C19" i="5" s="1"/>
  <c r="C20" i="5" s="1"/>
  <c r="B5" i="5"/>
  <c r="B14" i="5"/>
  <c r="B15" i="5" s="1"/>
  <c r="B16" i="5" s="1"/>
  <c r="B17" i="5" s="1"/>
  <c r="B18" i="5" s="1"/>
  <c r="B19" i="5" s="1"/>
  <c r="B20" i="5" s="1"/>
  <c r="D4" i="5" l="1"/>
  <c r="F15" i="4"/>
  <c r="F16" i="4"/>
  <c r="F17" i="4"/>
  <c r="F18" i="4"/>
  <c r="I18" i="4" s="1"/>
  <c r="L18" i="4" s="1"/>
  <c r="F19" i="4"/>
  <c r="F20" i="4"/>
  <c r="F21" i="4"/>
  <c r="F22" i="4"/>
  <c r="I22" i="4" s="1"/>
  <c r="L22" i="4" s="1"/>
  <c r="F23" i="4"/>
  <c r="F24" i="4"/>
  <c r="F25" i="4"/>
  <c r="F26" i="4"/>
  <c r="I26" i="4" s="1"/>
  <c r="L26" i="4" s="1"/>
  <c r="F27" i="4"/>
  <c r="F28" i="4"/>
  <c r="F29" i="4"/>
  <c r="F30" i="4"/>
  <c r="I30" i="4" s="1"/>
  <c r="L30" i="4" s="1"/>
  <c r="F31" i="4"/>
  <c r="F32" i="4"/>
  <c r="F33" i="4"/>
  <c r="F14" i="4"/>
  <c r="I14" i="4" s="1"/>
  <c r="L14" i="4" s="1"/>
  <c r="E15" i="4"/>
  <c r="E16" i="4"/>
  <c r="E17" i="4"/>
  <c r="E18" i="4"/>
  <c r="H18" i="4" s="1"/>
  <c r="K18" i="4" s="1"/>
  <c r="E19" i="4"/>
  <c r="E20" i="4"/>
  <c r="E21" i="4"/>
  <c r="E22" i="4"/>
  <c r="H22" i="4" s="1"/>
  <c r="K22" i="4" s="1"/>
  <c r="E23" i="4"/>
  <c r="E24" i="4"/>
  <c r="E25" i="4"/>
  <c r="E26" i="4"/>
  <c r="H26" i="4" s="1"/>
  <c r="K26" i="4" s="1"/>
  <c r="E27" i="4"/>
  <c r="E28" i="4"/>
  <c r="E29" i="4"/>
  <c r="E30" i="4"/>
  <c r="H30" i="4" s="1"/>
  <c r="K30" i="4" s="1"/>
  <c r="E31" i="4"/>
  <c r="E32" i="4"/>
  <c r="E33" i="4"/>
  <c r="I16" i="4"/>
  <c r="L16" i="4" s="1"/>
  <c r="I20" i="4"/>
  <c r="L20" i="4" s="1"/>
  <c r="D24" i="4"/>
  <c r="G24" i="4" s="1"/>
  <c r="J24" i="4" s="1"/>
  <c r="D28" i="4"/>
  <c r="G28" i="4" s="1"/>
  <c r="J28" i="4" s="1"/>
  <c r="I32" i="4"/>
  <c r="L32" i="4" s="1"/>
  <c r="E14" i="4"/>
  <c r="K16" i="4"/>
  <c r="K14" i="4"/>
  <c r="J14" i="4"/>
  <c r="H15" i="4"/>
  <c r="K15" i="4" s="1"/>
  <c r="I15" i="4"/>
  <c r="L15" i="4" s="1"/>
  <c r="H16" i="4"/>
  <c r="H17" i="4"/>
  <c r="K17" i="4" s="1"/>
  <c r="I17" i="4"/>
  <c r="L17" i="4" s="1"/>
  <c r="H19" i="4"/>
  <c r="K19" i="4" s="1"/>
  <c r="I19" i="4"/>
  <c r="L19" i="4" s="1"/>
  <c r="H20" i="4"/>
  <c r="K20" i="4" s="1"/>
  <c r="H21" i="4"/>
  <c r="K21" i="4" s="1"/>
  <c r="I21" i="4"/>
  <c r="L21" i="4" s="1"/>
  <c r="H23" i="4"/>
  <c r="K23" i="4" s="1"/>
  <c r="I23" i="4"/>
  <c r="L23" i="4" s="1"/>
  <c r="H24" i="4"/>
  <c r="K24" i="4" s="1"/>
  <c r="H25" i="4"/>
  <c r="K25" i="4" s="1"/>
  <c r="I25" i="4"/>
  <c r="L25" i="4" s="1"/>
  <c r="H27" i="4"/>
  <c r="K27" i="4" s="1"/>
  <c r="I27" i="4"/>
  <c r="L27" i="4" s="1"/>
  <c r="H28" i="4"/>
  <c r="K28" i="4" s="1"/>
  <c r="H29" i="4"/>
  <c r="K29" i="4" s="1"/>
  <c r="I29" i="4"/>
  <c r="L29" i="4" s="1"/>
  <c r="H31" i="4"/>
  <c r="K31" i="4" s="1"/>
  <c r="I31" i="4"/>
  <c r="L31" i="4" s="1"/>
  <c r="H32" i="4"/>
  <c r="K32" i="4" s="1"/>
  <c r="H33" i="4"/>
  <c r="K33" i="4" s="1"/>
  <c r="I33" i="4"/>
  <c r="L33" i="4" s="1"/>
  <c r="H14" i="4"/>
  <c r="G14" i="4"/>
  <c r="D23" i="4"/>
  <c r="G23" i="4" s="1"/>
  <c r="J23" i="4" s="1"/>
  <c r="D27" i="4"/>
  <c r="G27" i="4" s="1"/>
  <c r="J27" i="4" s="1"/>
  <c r="D15" i="4"/>
  <c r="G15" i="4" s="1"/>
  <c r="J15" i="4" s="1"/>
  <c r="D16" i="4"/>
  <c r="G16" i="4" s="1"/>
  <c r="J16" i="4" s="1"/>
  <c r="D17" i="4"/>
  <c r="G17" i="4" s="1"/>
  <c r="J17" i="4" s="1"/>
  <c r="D19" i="4"/>
  <c r="G19" i="4" s="1"/>
  <c r="J19" i="4" s="1"/>
  <c r="D20" i="4"/>
  <c r="G20" i="4" s="1"/>
  <c r="J20" i="4" s="1"/>
  <c r="D21" i="4"/>
  <c r="G21" i="4" s="1"/>
  <c r="J21" i="4" s="1"/>
  <c r="E10" i="4"/>
  <c r="F10" i="4" s="1"/>
  <c r="D18" i="4" l="1"/>
  <c r="G18" i="4" s="1"/>
  <c r="J18" i="4" s="1"/>
  <c r="D32" i="4"/>
  <c r="G32" i="4" s="1"/>
  <c r="J32" i="4" s="1"/>
  <c r="I24" i="4"/>
  <c r="L24" i="4" s="1"/>
  <c r="D30" i="4"/>
  <c r="G30" i="4" s="1"/>
  <c r="J30" i="4" s="1"/>
  <c r="I28" i="4"/>
  <c r="L28" i="4" s="1"/>
  <c r="L36" i="4" s="1"/>
  <c r="D33" i="4"/>
  <c r="G33" i="4" s="1"/>
  <c r="J33" i="4" s="1"/>
  <c r="D31" i="4"/>
  <c r="G31" i="4" s="1"/>
  <c r="J31" i="4" s="1"/>
  <c r="D26" i="4"/>
  <c r="G26" i="4" s="1"/>
  <c r="J26" i="4" s="1"/>
  <c r="D22" i="4"/>
  <c r="G22" i="4" s="1"/>
  <c r="J22" i="4" s="1"/>
  <c r="D29" i="4"/>
  <c r="G29" i="4" s="1"/>
  <c r="J29" i="4" s="1"/>
  <c r="D25" i="4"/>
  <c r="G25" i="4" s="1"/>
  <c r="J25" i="4" s="1"/>
  <c r="E43" i="3"/>
  <c r="E42" i="3"/>
  <c r="E40" i="3"/>
  <c r="E41" i="3"/>
  <c r="E39" i="3"/>
  <c r="C44" i="3"/>
  <c r="C43" i="3"/>
  <c r="C42" i="3"/>
  <c r="C40" i="3"/>
  <c r="C41" i="3"/>
  <c r="C39" i="3"/>
  <c r="K28" i="3"/>
  <c r="L28" i="3"/>
  <c r="M28" i="3"/>
  <c r="N28" i="3"/>
  <c r="O28" i="3"/>
  <c r="P28" i="3"/>
  <c r="Q28" i="3"/>
  <c r="R28" i="3"/>
  <c r="S28" i="3"/>
  <c r="T28" i="3"/>
  <c r="U28" i="3"/>
  <c r="V28" i="3"/>
  <c r="K29" i="3"/>
  <c r="L29" i="3"/>
  <c r="M29" i="3"/>
  <c r="N29" i="3"/>
  <c r="O29" i="3"/>
  <c r="P29" i="3"/>
  <c r="Q29" i="3"/>
  <c r="R29" i="3"/>
  <c r="S29" i="3"/>
  <c r="T29" i="3"/>
  <c r="U29" i="3"/>
  <c r="V29" i="3"/>
  <c r="K30" i="3"/>
  <c r="L30" i="3"/>
  <c r="M30" i="3"/>
  <c r="N30" i="3"/>
  <c r="O30" i="3"/>
  <c r="P30" i="3"/>
  <c r="Q30" i="3"/>
  <c r="R30" i="3"/>
  <c r="S30" i="3"/>
  <c r="T30" i="3"/>
  <c r="U30" i="3"/>
  <c r="V30" i="3"/>
  <c r="K31" i="3"/>
  <c r="L31" i="3"/>
  <c r="M31" i="3"/>
  <c r="N31" i="3"/>
  <c r="O31" i="3"/>
  <c r="P31" i="3"/>
  <c r="Q31" i="3"/>
  <c r="R31" i="3"/>
  <c r="S31" i="3"/>
  <c r="T31" i="3"/>
  <c r="U31" i="3"/>
  <c r="V31" i="3"/>
  <c r="K32" i="3"/>
  <c r="L32" i="3"/>
  <c r="M32" i="3"/>
  <c r="N32" i="3"/>
  <c r="O32" i="3"/>
  <c r="P32" i="3"/>
  <c r="Q32" i="3"/>
  <c r="R32" i="3"/>
  <c r="S32" i="3"/>
  <c r="T32" i="3"/>
  <c r="U32" i="3"/>
  <c r="V32" i="3"/>
  <c r="K33" i="3"/>
  <c r="L33" i="3"/>
  <c r="M33" i="3"/>
  <c r="N33" i="3"/>
  <c r="O33" i="3"/>
  <c r="P33" i="3"/>
  <c r="Q33" i="3"/>
  <c r="R33" i="3"/>
  <c r="S33" i="3"/>
  <c r="T33" i="3"/>
  <c r="U33" i="3"/>
  <c r="V33" i="3"/>
  <c r="K34" i="3"/>
  <c r="L34" i="3"/>
  <c r="M34" i="3"/>
  <c r="N34" i="3"/>
  <c r="O34" i="3"/>
  <c r="P34" i="3"/>
  <c r="Q34" i="3"/>
  <c r="R34" i="3"/>
  <c r="S34" i="3"/>
  <c r="T34" i="3"/>
  <c r="U34" i="3"/>
  <c r="V34" i="3"/>
  <c r="L27" i="3"/>
  <c r="M27" i="3"/>
  <c r="N27" i="3"/>
  <c r="O27" i="3"/>
  <c r="P27" i="3"/>
  <c r="Q27" i="3"/>
  <c r="R27" i="3"/>
  <c r="S27" i="3"/>
  <c r="T27" i="3"/>
  <c r="U27" i="3"/>
  <c r="V27" i="3"/>
  <c r="K27" i="3" l="1"/>
  <c r="AA17" i="3"/>
  <c r="AA18" i="3"/>
  <c r="AA19" i="3"/>
  <c r="AA20" i="3"/>
  <c r="AA21" i="3"/>
  <c r="AA22" i="3"/>
  <c r="AA23" i="3"/>
  <c r="H2" i="3"/>
  <c r="AA16" i="3" s="1"/>
  <c r="E3" i="3"/>
  <c r="AB17" i="3" s="1"/>
  <c r="E4" i="3"/>
  <c r="AB18" i="3" s="1"/>
  <c r="E5" i="3"/>
  <c r="AB19" i="3" s="1"/>
  <c r="E6" i="3"/>
  <c r="AB20" i="3" s="1"/>
  <c r="E7" i="3"/>
  <c r="AB21" i="3" s="1"/>
  <c r="E8" i="3"/>
  <c r="AB22" i="3" s="1"/>
  <c r="E9" i="3"/>
  <c r="AB23" i="3" s="1"/>
  <c r="E2" i="3"/>
  <c r="AB16" i="3" s="1"/>
  <c r="AB12" i="3"/>
  <c r="F13" i="2"/>
  <c r="F12" i="2"/>
  <c r="F9" i="2"/>
  <c r="F8" i="2"/>
  <c r="F7" i="2"/>
  <c r="B9" i="2"/>
  <c r="C3" i="2" s="1"/>
  <c r="F2" i="2" s="1"/>
  <c r="AB3" i="3" l="1"/>
  <c r="AA3" i="3"/>
  <c r="AC3" i="3"/>
  <c r="F9" i="3"/>
  <c r="A9" i="3" s="1"/>
  <c r="F5" i="3"/>
  <c r="A5" i="3" s="1"/>
  <c r="F8" i="3"/>
  <c r="A8" i="3" s="1"/>
  <c r="F4" i="3"/>
  <c r="A4" i="3" s="1"/>
  <c r="F2" i="3"/>
  <c r="A2" i="3" s="1"/>
  <c r="F6" i="3"/>
  <c r="A6" i="3" s="1"/>
  <c r="F3" i="3"/>
  <c r="A3" i="3" s="1"/>
  <c r="F7" i="3"/>
  <c r="A7" i="3" s="1"/>
  <c r="C6" i="2"/>
  <c r="C5" i="2"/>
  <c r="F3" i="2" s="1"/>
  <c r="C4" i="2"/>
  <c r="C7" i="2"/>
  <c r="AA5" i="3" l="1"/>
  <c r="A24" i="3" s="1"/>
  <c r="AB4" i="3"/>
  <c r="A19" i="3" s="1"/>
  <c r="F4" i="2"/>
  <c r="AA6" i="3" l="1"/>
  <c r="A25" i="3" s="1"/>
  <c r="AB6" i="3"/>
  <c r="A20" i="3" l="1"/>
  <c r="AC6" i="3"/>
  <c r="AC8" i="3" l="1"/>
  <c r="A13" i="3" s="1"/>
  <c r="AC9" i="3"/>
  <c r="A14" i="3" s="1"/>
  <c r="AC7" i="3"/>
  <c r="A15" i="3" s="1"/>
  <c r="D14" i="4" l="1"/>
  <c r="J36" i="4" s="1"/>
  <c r="K36" i="4"/>
</calcChain>
</file>

<file path=xl/sharedStrings.xml><?xml version="1.0" encoding="utf-8"?>
<sst xmlns="http://schemas.openxmlformats.org/spreadsheetml/2006/main" count="166" uniqueCount="98">
  <si>
    <t>FEX</t>
  </si>
  <si>
    <t>Wells</t>
  </si>
  <si>
    <t>ZB+</t>
  </si>
  <si>
    <t>pen/strep</t>
  </si>
  <si>
    <t>insulin</t>
  </si>
  <si>
    <t>spermidine</t>
  </si>
  <si>
    <t>Added (uL)</t>
  </si>
  <si>
    <t>% composition</t>
  </si>
  <si>
    <t>ZB</t>
  </si>
  <si>
    <t>ZO fort</t>
  </si>
  <si>
    <t>volume (uL)</t>
  </si>
  <si>
    <t>TOTAL</t>
  </si>
  <si>
    <t>Given: composition of 15% FEX</t>
  </si>
  <si>
    <t>PLUS</t>
  </si>
  <si>
    <t>THEREFORE:</t>
  </si>
  <si>
    <t>WHERE PLUS EQUALS:</t>
  </si>
  <si>
    <t>FEX final %</t>
  </si>
  <si>
    <t>Constants:</t>
  </si>
  <si>
    <t>PLUS of final:</t>
  </si>
  <si>
    <t>ZO fort + FEX</t>
  </si>
  <si>
    <t>FOR VARIABLE FEX:</t>
  </si>
  <si>
    <t>FEX in ZB</t>
  </si>
  <si>
    <t>TOTAL ADD</t>
  </si>
  <si>
    <t>ZO fort of final:</t>
  </si>
  <si>
    <t>In 15 mL tube, combine the following:</t>
  </si>
  <si>
    <t>In 1.5 mL tube, combine the following:</t>
  </si>
  <si>
    <t>STEP 1: Prepare PLUS (tube 1)</t>
  </si>
  <si>
    <t>uL pen/strep</t>
  </si>
  <si>
    <t>uL insulin</t>
  </si>
  <si>
    <t>uL spermidine</t>
  </si>
  <si>
    <t>uL ZO fort</t>
  </si>
  <si>
    <t>uL PLUS (tube 1)</t>
  </si>
  <si>
    <t>STEP 2: Prepare ZB+ media (tube 2)</t>
  </si>
  <si>
    <t>STEP 3: Prepare FEX in ZB+ (tube 3)</t>
  </si>
  <si>
    <t>STEP 4: Prepare media in staging plate (50 uL/well)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</si>
  <si>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</si>
  <si>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</si>
  <si>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</si>
  <si>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</si>
  <si>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</si>
  <si>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</si>
  <si>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</si>
  <si>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</si>
  <si>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</si>
  <si>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</si>
  <si>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</si>
  <si>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</si>
  <si>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FEX in ZB+</t>
  </si>
  <si>
    <t>Final FEX (%)</t>
  </si>
  <si>
    <t>Pipette tube 2 and 3 into the staging plate such that</t>
  </si>
  <si>
    <t>the volume in each well matches the volume for the</t>
  </si>
  <si>
    <t>percentage specified in the table</t>
  </si>
  <si>
    <t>Initial (uL)</t>
  </si>
  <si>
    <t>Calculations</t>
  </si>
  <si>
    <t>FEX in ZB+ to add (mL)</t>
  </si>
  <si>
    <t>ZB+ to add (mL)</t>
  </si>
  <si>
    <t>Colors represent multichannel pipetter "strokes"</t>
  </si>
  <si>
    <t>2) Wait 2 hours for cells to adhere</t>
  </si>
  <si>
    <t>1) Plate cells in 100 uL of ZB+ by previous protocol (Teresa)</t>
  </si>
  <si>
    <t>3) Remove 50 uL media, and add 50 uL from staging plate</t>
  </si>
  <si>
    <t>4) Image overnight</t>
  </si>
  <si>
    <t>Experimental Plan:</t>
  </si>
  <si>
    <t>uL FEX (in ZO fort + old spd)</t>
  </si>
  <si>
    <t>Imaging Sequence:</t>
  </si>
  <si>
    <t>1) D3-D8</t>
  </si>
  <si>
    <t>2) F1-F8</t>
  </si>
  <si>
    <t>3) I8-I1</t>
  </si>
  <si>
    <t>4) D3-D8</t>
  </si>
  <si>
    <t>5) F1-F8</t>
  </si>
  <si>
    <t>6) I8-I1</t>
  </si>
  <si>
    <t>We need a total of:</t>
  </si>
  <si>
    <t>1</t>
  </si>
  <si>
    <t>1:1000</t>
  </si>
  <si>
    <t>blastocyclin</t>
  </si>
  <si>
    <t>up to 1:200</t>
  </si>
  <si>
    <t>up to 1</t>
  </si>
  <si>
    <t>Insulin</t>
  </si>
  <si>
    <t>n</t>
  </si>
  <si>
    <t>Total wells</t>
  </si>
  <si>
    <t>Tray 1</t>
  </si>
  <si>
    <t>Tray 2</t>
  </si>
  <si>
    <t>Tray 3</t>
  </si>
  <si>
    <t>volume dispensed (uL)</t>
  </si>
  <si>
    <t>total volume (uL)</t>
  </si>
  <si>
    <t>TOTAL:</t>
  </si>
  <si>
    <t>1) Add spd and blast to FEX and ZO fort</t>
  </si>
  <si>
    <t>2) Make 2% insulin solution</t>
  </si>
  <si>
    <t>3) Dilution up to 50% (50 uL + 50 uL)</t>
  </si>
  <si>
    <t>Rounded:</t>
  </si>
  <si>
    <t>Cl.8 Media Control</t>
  </si>
  <si>
    <t>volume staged (uL)</t>
  </si>
  <si>
    <t>DMSO</t>
  </si>
  <si>
    <t>Blebbistatin Stock (uM)</t>
  </si>
  <si>
    <t>volume</t>
  </si>
  <si>
    <t>DMSO (%)</t>
  </si>
  <si>
    <t>First solution. Make 250 uL, and dilute 50 uL by 5 with ZO fort etc</t>
  </si>
  <si>
    <t>Blebbistatin
Final (uM)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</si>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</sst>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9" fontId="0" fillId="6" borderId="0" xfId="1" applyFont="1" applyFill="1" applyAlignment="1">
      <alignment horizontal="center" vertical="center"/>
    </xf>
    <xf numFmtId="9" fontId="0" fillId="7" borderId="0" xfId="1" applyFont="1" applyFill="1" applyAlignment="1">
      <alignment horizontal="center" vertical="center"/>
    </xf>
    <xf numFmtId="9" fontId="0" fillId="8" borderId="0" xfId="1" applyFont="1" applyFill="1" applyAlignment="1">
      <alignment horizontal="center" vertical="center"/>
    </xf>
    <xf numFmtId="9" fontId="0" fillId="9" borderId="0" xfId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20" fontId="0" fillId="0" borderId="0" xfId="0" applyNumberFormat="1"/>
    <xf numFmtId="0" fontId="0" fillId="0" borderId="0" xfId="0" quotePrefix="1"/>
    <xf numFmtId="0" fontId="2" fillId="0" borderId="0" xfId="0" quotePrefix="1" applyFont="1"/>
    <xf numFmtId="9" fontId="0" fillId="0" borderId="0" xfId="0" applyNumberFormat="1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0" fillId="10" borderId="0" xfId="0" applyFill="1"/>
    <xf numFmtId="9" fontId="0" fillId="10" borderId="0" xfId="0" applyNumberFormat="1" applyFill="1"/>
    <xf numFmtId="0" fontId="0" fillId="10" borderId="0" xfId="0" applyFill="1" applyBorder="1"/>
    <xf numFmtId="0" fontId="0" fillId="0" borderId="0" xfId="0" applyFill="1" applyBorder="1"/>
    <xf numFmtId="10" fontId="0" fillId="10" borderId="0" xfId="0" applyNumberFormat="1" applyFill="1"/>
    <xf numFmtId="0" fontId="2" fillId="0" borderId="10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Alignment="1">
      <alignment horizontal="center"/>
    </xf>
    <xf numFmtId="9" fontId="0" fillId="1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9" sqref="A2:C9"/>
    </sheetView>
  </sheetViews>
  <sheetFormatPr defaultRowHeight="15" x14ac:dyDescent="0.25"/>
  <cols>
    <col min="1" max="1" width="11.140625" bestFit="1" customWidth="1"/>
    <col min="2" max="3" width="14.85546875" customWidth="1"/>
    <col min="5" max="5" width="12" bestFit="1" customWidth="1"/>
  </cols>
  <sheetData>
    <row r="1" spans="1:6" x14ac:dyDescent="0.25">
      <c r="A1" t="s">
        <v>12</v>
      </c>
      <c r="E1" s="7" t="s">
        <v>14</v>
      </c>
    </row>
    <row r="2" spans="1:6" x14ac:dyDescent="0.25">
      <c r="B2" t="s">
        <v>10</v>
      </c>
      <c r="C2" t="s">
        <v>7</v>
      </c>
      <c r="E2" t="s">
        <v>9</v>
      </c>
      <c r="F2" s="6">
        <f>C3</f>
        <v>0.79427549194991054</v>
      </c>
    </row>
    <row r="3" spans="1:6" x14ac:dyDescent="0.25">
      <c r="A3" t="s">
        <v>9</v>
      </c>
      <c r="B3">
        <v>799.2</v>
      </c>
      <c r="C3" s="4">
        <f t="shared" ref="C3:C7" si="0">B3/$B$9</f>
        <v>0.79427549194991054</v>
      </c>
      <c r="E3" t="s">
        <v>0</v>
      </c>
      <c r="F3" s="6">
        <f>C5</f>
        <v>0.1490757304710793</v>
      </c>
    </row>
    <row r="4" spans="1:6" x14ac:dyDescent="0.25">
      <c r="A4" t="s">
        <v>5</v>
      </c>
      <c r="B4">
        <v>0.8</v>
      </c>
      <c r="C4" s="4">
        <f t="shared" si="0"/>
        <v>7.9507056251242297E-4</v>
      </c>
      <c r="E4" t="s">
        <v>13</v>
      </c>
      <c r="F4" s="6">
        <f>C4+C6+C7</f>
        <v>5.6648777579010129E-2</v>
      </c>
    </row>
    <row r="5" spans="1:6" x14ac:dyDescent="0.25">
      <c r="A5" t="s">
        <v>0</v>
      </c>
      <c r="B5">
        <v>150</v>
      </c>
      <c r="C5" s="5">
        <f t="shared" si="0"/>
        <v>0.1490757304710793</v>
      </c>
    </row>
    <row r="6" spans="1:6" x14ac:dyDescent="0.25">
      <c r="A6" t="s">
        <v>3</v>
      </c>
      <c r="B6">
        <v>50</v>
      </c>
      <c r="C6" s="4">
        <f t="shared" si="0"/>
        <v>4.9691910157026432E-2</v>
      </c>
      <c r="E6" s="7" t="s">
        <v>15</v>
      </c>
    </row>
    <row r="7" spans="1:6" x14ac:dyDescent="0.25">
      <c r="A7" t="s">
        <v>4</v>
      </c>
      <c r="B7">
        <v>6.2</v>
      </c>
      <c r="C7" s="4">
        <f t="shared" si="0"/>
        <v>6.1617968594712778E-3</v>
      </c>
      <c r="E7" t="s">
        <v>5</v>
      </c>
      <c r="F7" s="4">
        <f>B4/(B4+B6+B7)</f>
        <v>1.4035087719298246E-2</v>
      </c>
    </row>
    <row r="8" spans="1:6" x14ac:dyDescent="0.25">
      <c r="E8" t="s">
        <v>3</v>
      </c>
      <c r="F8" s="4">
        <f>B6/(B4+B6+B7)</f>
        <v>0.8771929824561403</v>
      </c>
    </row>
    <row r="9" spans="1:6" x14ac:dyDescent="0.25">
      <c r="A9" t="s">
        <v>11</v>
      </c>
      <c r="B9">
        <f>SUM(B3:B7)</f>
        <v>1006.2</v>
      </c>
      <c r="E9" t="s">
        <v>4</v>
      </c>
      <c r="F9" s="4">
        <f>B7/(B4+B6+B7)</f>
        <v>0.10877192982456141</v>
      </c>
    </row>
    <row r="11" spans="1:6" x14ac:dyDescent="0.25">
      <c r="E11" s="7" t="s">
        <v>20</v>
      </c>
    </row>
    <row r="12" spans="1:6" x14ac:dyDescent="0.25">
      <c r="E12" t="s">
        <v>19</v>
      </c>
      <c r="F12" s="6">
        <f>F3+F2</f>
        <v>0.9433512224209899</v>
      </c>
    </row>
    <row r="13" spans="1:6" x14ac:dyDescent="0.25">
      <c r="E13" t="s">
        <v>13</v>
      </c>
      <c r="F13" s="6">
        <f>F4</f>
        <v>5.6648777579010129E-2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3" workbookViewId="0">
      <selection activeCell="C14" sqref="C14:C34"/>
    </sheetView>
  </sheetViews>
  <sheetFormatPr defaultRowHeight="15" x14ac:dyDescent="0.25"/>
  <cols>
    <col min="1" max="2" width="8.85546875" customWidth="1"/>
    <col min="3" max="3" width="7.140625" customWidth="1"/>
    <col min="4" max="4" width="10.5703125" bestFit="1" customWidth="1"/>
  </cols>
  <sheetData>
    <row r="1" spans="1:12" x14ac:dyDescent="0.25">
      <c r="B1" t="s">
        <v>10</v>
      </c>
      <c r="C1" t="s">
        <v>7</v>
      </c>
      <c r="J1" t="s">
        <v>79</v>
      </c>
      <c r="K1" t="s">
        <v>80</v>
      </c>
      <c r="L1" t="s">
        <v>81</v>
      </c>
    </row>
    <row r="2" spans="1:12" x14ac:dyDescent="0.25">
      <c r="A2" s="7" t="s">
        <v>9</v>
      </c>
      <c r="B2" s="7"/>
      <c r="C2" s="5"/>
      <c r="D2" s="28" t="s">
        <v>71</v>
      </c>
      <c r="F2" t="s">
        <v>9</v>
      </c>
      <c r="J2" s="29">
        <v>1</v>
      </c>
      <c r="K2" s="29">
        <v>0</v>
      </c>
      <c r="L2" s="29">
        <v>0.99</v>
      </c>
    </row>
    <row r="3" spans="1:12" x14ac:dyDescent="0.25">
      <c r="A3" t="s">
        <v>5</v>
      </c>
      <c r="C3" s="4"/>
      <c r="D3" s="27" t="s">
        <v>72</v>
      </c>
      <c r="F3" t="s">
        <v>0</v>
      </c>
      <c r="J3" s="29">
        <v>0</v>
      </c>
      <c r="K3" s="29">
        <v>1</v>
      </c>
      <c r="L3" s="29">
        <v>0</v>
      </c>
    </row>
    <row r="4" spans="1:12" x14ac:dyDescent="0.25">
      <c r="A4" t="s">
        <v>73</v>
      </c>
      <c r="C4" s="5"/>
      <c r="D4" s="27" t="s">
        <v>72</v>
      </c>
      <c r="F4" t="s">
        <v>4</v>
      </c>
      <c r="J4" s="29">
        <v>0</v>
      </c>
      <c r="K4" s="29">
        <v>0</v>
      </c>
      <c r="L4" s="29">
        <v>0.02</v>
      </c>
    </row>
    <row r="5" spans="1:12" x14ac:dyDescent="0.25">
      <c r="A5" s="7" t="s">
        <v>4</v>
      </c>
      <c r="B5" s="7"/>
      <c r="C5" s="5"/>
      <c r="D5" s="7" t="s">
        <v>74</v>
      </c>
    </row>
    <row r="6" spans="1:12" x14ac:dyDescent="0.25">
      <c r="A6" s="7" t="s">
        <v>0</v>
      </c>
      <c r="B6" s="7"/>
      <c r="C6" s="5"/>
      <c r="D6" s="7" t="s">
        <v>75</v>
      </c>
    </row>
    <row r="7" spans="1:12" x14ac:dyDescent="0.25">
      <c r="A7" s="7" t="s">
        <v>9</v>
      </c>
      <c r="B7" s="7"/>
      <c r="C7" s="5"/>
      <c r="D7" s="7"/>
    </row>
    <row r="9" spans="1:12" x14ac:dyDescent="0.25">
      <c r="D9" s="7"/>
    </row>
    <row r="10" spans="1:12" x14ac:dyDescent="0.25">
      <c r="D10" t="s">
        <v>78</v>
      </c>
      <c r="E10">
        <f>SUM(C14:C129)</f>
        <v>96</v>
      </c>
      <c r="F10" s="30">
        <f>E10/96</f>
        <v>1</v>
      </c>
      <c r="G10" s="30"/>
      <c r="H10" s="30"/>
      <c r="I10" s="30"/>
    </row>
    <row r="12" spans="1:12" x14ac:dyDescent="0.25">
      <c r="D12" s="55" t="s">
        <v>82</v>
      </c>
      <c r="E12" s="55"/>
      <c r="F12" s="55"/>
      <c r="G12" s="55" t="s">
        <v>90</v>
      </c>
      <c r="H12" s="55"/>
      <c r="I12" s="55"/>
      <c r="J12" s="55" t="s">
        <v>83</v>
      </c>
      <c r="K12" s="55"/>
      <c r="L12" s="55"/>
    </row>
    <row r="13" spans="1:12" x14ac:dyDescent="0.25">
      <c r="A13" t="s">
        <v>0</v>
      </c>
      <c r="B13" t="s">
        <v>76</v>
      </c>
      <c r="C13" t="s">
        <v>77</v>
      </c>
      <c r="D13" s="31" t="s">
        <v>79</v>
      </c>
      <c r="E13" s="32" t="s">
        <v>80</v>
      </c>
      <c r="F13" s="33" t="s">
        <v>81</v>
      </c>
      <c r="G13" s="31" t="s">
        <v>79</v>
      </c>
      <c r="H13" s="32" t="s">
        <v>80</v>
      </c>
      <c r="I13" s="33" t="s">
        <v>81</v>
      </c>
      <c r="J13" t="s">
        <v>79</v>
      </c>
      <c r="K13" t="s">
        <v>80</v>
      </c>
      <c r="L13" t="s">
        <v>81</v>
      </c>
    </row>
    <row r="14" spans="1:12" x14ac:dyDescent="0.25">
      <c r="A14" s="42">
        <v>0</v>
      </c>
      <c r="B14" s="45">
        <v>0</v>
      </c>
      <c r="C14" s="41">
        <v>25</v>
      </c>
      <c r="D14" s="31">
        <f>50-E14</f>
        <v>50</v>
      </c>
      <c r="E14" s="32">
        <f>A14*100</f>
        <v>0</v>
      </c>
      <c r="F14" s="49">
        <f>B14*100/2*100</f>
        <v>0</v>
      </c>
      <c r="G14" s="47">
        <f>D14*1.3</f>
        <v>65</v>
      </c>
      <c r="H14" s="48">
        <f t="shared" ref="H14:I14" si="0">E14*1.3</f>
        <v>0</v>
      </c>
      <c r="I14" s="49">
        <f t="shared" si="0"/>
        <v>0</v>
      </c>
      <c r="J14">
        <f>C14*G14</f>
        <v>1625</v>
      </c>
      <c r="K14">
        <f>C14*H14</f>
        <v>0</v>
      </c>
      <c r="L14">
        <f>C14*I14</f>
        <v>0</v>
      </c>
    </row>
    <row r="15" spans="1:12" x14ac:dyDescent="0.25">
      <c r="A15" s="42">
        <v>0.01</v>
      </c>
      <c r="B15" s="45">
        <v>0</v>
      </c>
      <c r="C15" s="41">
        <v>5</v>
      </c>
      <c r="D15" s="34">
        <f t="shared" ref="D15:D21" si="1">50-E15</f>
        <v>49</v>
      </c>
      <c r="E15" s="35">
        <f t="shared" ref="E15:E20" si="2">A15*100</f>
        <v>1</v>
      </c>
      <c r="F15" s="51">
        <f t="shared" ref="F15:F33" si="3">B15*100/2*100</f>
        <v>0</v>
      </c>
      <c r="G15" s="50">
        <f t="shared" ref="G15:G33" si="4">D15*1.3</f>
        <v>63.7</v>
      </c>
      <c r="H15" s="44">
        <f t="shared" ref="H15:H33" si="5">E15*1.3</f>
        <v>1.3</v>
      </c>
      <c r="I15" s="51">
        <f t="shared" ref="I15:I33" si="6">F15*1.3</f>
        <v>0</v>
      </c>
      <c r="J15">
        <f t="shared" ref="J15:J33" si="7">C15*G15</f>
        <v>318.5</v>
      </c>
      <c r="K15">
        <f t="shared" ref="K15:K33" si="8">C15*H15</f>
        <v>6.5</v>
      </c>
      <c r="L15">
        <f t="shared" ref="L15:L33" si="9">C15*I15</f>
        <v>0</v>
      </c>
    </row>
    <row r="16" spans="1:12" x14ac:dyDescent="0.25">
      <c r="A16" s="42">
        <v>0.02</v>
      </c>
      <c r="B16" s="45">
        <v>0</v>
      </c>
      <c r="C16" s="41">
        <v>5</v>
      </c>
      <c r="D16" s="34">
        <f t="shared" si="1"/>
        <v>48</v>
      </c>
      <c r="E16" s="35">
        <f t="shared" si="2"/>
        <v>2</v>
      </c>
      <c r="F16" s="51">
        <f t="shared" si="3"/>
        <v>0</v>
      </c>
      <c r="G16" s="50">
        <f t="shared" si="4"/>
        <v>62.400000000000006</v>
      </c>
      <c r="H16" s="44">
        <f t="shared" si="5"/>
        <v>2.6</v>
      </c>
      <c r="I16" s="51">
        <f t="shared" si="6"/>
        <v>0</v>
      </c>
      <c r="J16">
        <f t="shared" si="7"/>
        <v>312</v>
      </c>
      <c r="K16">
        <f t="shared" si="8"/>
        <v>13</v>
      </c>
      <c r="L16">
        <f t="shared" si="9"/>
        <v>0</v>
      </c>
    </row>
    <row r="17" spans="1:12" x14ac:dyDescent="0.25">
      <c r="A17" s="42">
        <v>0.04</v>
      </c>
      <c r="B17" s="45">
        <v>0</v>
      </c>
      <c r="C17" s="41">
        <v>5</v>
      </c>
      <c r="D17" s="34">
        <f t="shared" si="1"/>
        <v>46</v>
      </c>
      <c r="E17" s="35">
        <f t="shared" si="2"/>
        <v>4</v>
      </c>
      <c r="F17" s="51">
        <f t="shared" si="3"/>
        <v>0</v>
      </c>
      <c r="G17" s="50">
        <f t="shared" si="4"/>
        <v>59.800000000000004</v>
      </c>
      <c r="H17" s="44">
        <f t="shared" si="5"/>
        <v>5.2</v>
      </c>
      <c r="I17" s="51">
        <f t="shared" si="6"/>
        <v>0</v>
      </c>
      <c r="J17">
        <f t="shared" si="7"/>
        <v>299</v>
      </c>
      <c r="K17">
        <f t="shared" si="8"/>
        <v>26</v>
      </c>
      <c r="L17">
        <f t="shared" si="9"/>
        <v>0</v>
      </c>
    </row>
    <row r="18" spans="1:12" x14ac:dyDescent="0.25">
      <c r="A18" s="42">
        <v>0.08</v>
      </c>
      <c r="B18" s="45">
        <v>0</v>
      </c>
      <c r="C18" s="41">
        <v>5</v>
      </c>
      <c r="D18" s="34">
        <f t="shared" si="1"/>
        <v>42</v>
      </c>
      <c r="E18" s="35">
        <f t="shared" si="2"/>
        <v>8</v>
      </c>
      <c r="F18" s="51">
        <f t="shared" si="3"/>
        <v>0</v>
      </c>
      <c r="G18" s="50">
        <f t="shared" si="4"/>
        <v>54.6</v>
      </c>
      <c r="H18" s="44">
        <f t="shared" si="5"/>
        <v>10.4</v>
      </c>
      <c r="I18" s="51">
        <f t="shared" si="6"/>
        <v>0</v>
      </c>
      <c r="J18">
        <f t="shared" si="7"/>
        <v>273</v>
      </c>
      <c r="K18">
        <f t="shared" si="8"/>
        <v>52</v>
      </c>
      <c r="L18">
        <f t="shared" si="9"/>
        <v>0</v>
      </c>
    </row>
    <row r="19" spans="1:12" x14ac:dyDescent="0.25">
      <c r="A19" s="42">
        <v>0.16</v>
      </c>
      <c r="B19" s="45">
        <v>0</v>
      </c>
      <c r="C19" s="41">
        <v>5</v>
      </c>
      <c r="D19" s="34">
        <f t="shared" si="1"/>
        <v>34</v>
      </c>
      <c r="E19" s="35">
        <f t="shared" si="2"/>
        <v>16</v>
      </c>
      <c r="F19" s="51">
        <f t="shared" si="3"/>
        <v>0</v>
      </c>
      <c r="G19" s="50">
        <f t="shared" si="4"/>
        <v>44.2</v>
      </c>
      <c r="H19" s="44">
        <f t="shared" si="5"/>
        <v>20.8</v>
      </c>
      <c r="I19" s="51">
        <f t="shared" si="6"/>
        <v>0</v>
      </c>
      <c r="J19">
        <f t="shared" si="7"/>
        <v>221</v>
      </c>
      <c r="K19">
        <f t="shared" si="8"/>
        <v>104</v>
      </c>
      <c r="L19">
        <f t="shared" si="9"/>
        <v>0</v>
      </c>
    </row>
    <row r="20" spans="1:12" x14ac:dyDescent="0.25">
      <c r="A20" s="42">
        <v>0.32</v>
      </c>
      <c r="B20" s="45">
        <v>0</v>
      </c>
      <c r="C20" s="41">
        <v>5</v>
      </c>
      <c r="D20" s="34">
        <f t="shared" si="1"/>
        <v>18</v>
      </c>
      <c r="E20" s="35">
        <f t="shared" si="2"/>
        <v>32</v>
      </c>
      <c r="F20" s="51">
        <f t="shared" si="3"/>
        <v>0</v>
      </c>
      <c r="G20" s="50">
        <f t="shared" si="4"/>
        <v>23.400000000000002</v>
      </c>
      <c r="H20" s="44">
        <f t="shared" si="5"/>
        <v>41.6</v>
      </c>
      <c r="I20" s="51">
        <f t="shared" si="6"/>
        <v>0</v>
      </c>
      <c r="J20">
        <f t="shared" si="7"/>
        <v>117.00000000000001</v>
      </c>
      <c r="K20">
        <f t="shared" si="8"/>
        <v>208</v>
      </c>
      <c r="L20">
        <f t="shared" si="9"/>
        <v>0</v>
      </c>
    </row>
    <row r="21" spans="1:12" x14ac:dyDescent="0.25">
      <c r="A21" s="42">
        <v>0.5</v>
      </c>
      <c r="B21" s="45">
        <v>0</v>
      </c>
      <c r="C21" s="41">
        <v>3</v>
      </c>
      <c r="D21" s="34">
        <f t="shared" si="1"/>
        <v>0</v>
      </c>
      <c r="E21" s="35">
        <f>A21*100</f>
        <v>50</v>
      </c>
      <c r="F21" s="51">
        <f t="shared" si="3"/>
        <v>0</v>
      </c>
      <c r="G21" s="50">
        <f t="shared" si="4"/>
        <v>0</v>
      </c>
      <c r="H21" s="44">
        <f t="shared" si="5"/>
        <v>65</v>
      </c>
      <c r="I21" s="51">
        <f t="shared" si="6"/>
        <v>0</v>
      </c>
      <c r="J21">
        <f t="shared" si="7"/>
        <v>0</v>
      </c>
      <c r="K21">
        <f t="shared" si="8"/>
        <v>195</v>
      </c>
      <c r="L21">
        <f t="shared" si="9"/>
        <v>0</v>
      </c>
    </row>
    <row r="22" spans="1:12" x14ac:dyDescent="0.25">
      <c r="A22" s="42">
        <v>0</v>
      </c>
      <c r="B22" s="45">
        <v>1E-4</v>
      </c>
      <c r="C22" s="41">
        <v>2</v>
      </c>
      <c r="D22" s="34">
        <f t="shared" ref="D22:D29" si="10">50-E22-F22</f>
        <v>49.5</v>
      </c>
      <c r="E22" s="35">
        <f t="shared" ref="E22:E29" si="11">A22*2*50</f>
        <v>0</v>
      </c>
      <c r="F22" s="51">
        <f t="shared" si="3"/>
        <v>0.5</v>
      </c>
      <c r="G22" s="50">
        <f t="shared" si="4"/>
        <v>64.350000000000009</v>
      </c>
      <c r="H22" s="44">
        <f t="shared" si="5"/>
        <v>0</v>
      </c>
      <c r="I22" s="51">
        <f t="shared" si="6"/>
        <v>0.65</v>
      </c>
      <c r="J22">
        <f t="shared" si="7"/>
        <v>128.70000000000002</v>
      </c>
      <c r="K22">
        <f t="shared" si="8"/>
        <v>0</v>
      </c>
      <c r="L22">
        <f t="shared" si="9"/>
        <v>1.3</v>
      </c>
    </row>
    <row r="23" spans="1:12" x14ac:dyDescent="0.25">
      <c r="A23" s="42">
        <v>0</v>
      </c>
      <c r="B23" s="45">
        <v>2.9999999999999997E-4</v>
      </c>
      <c r="C23" s="41">
        <v>2</v>
      </c>
      <c r="D23" s="34">
        <f t="shared" si="10"/>
        <v>48.5</v>
      </c>
      <c r="E23" s="35">
        <f t="shared" si="11"/>
        <v>0</v>
      </c>
      <c r="F23" s="51">
        <f t="shared" si="3"/>
        <v>1.5</v>
      </c>
      <c r="G23" s="50">
        <f t="shared" si="4"/>
        <v>63.050000000000004</v>
      </c>
      <c r="H23" s="44">
        <f t="shared" si="5"/>
        <v>0</v>
      </c>
      <c r="I23" s="51">
        <f t="shared" si="6"/>
        <v>1.9500000000000002</v>
      </c>
      <c r="J23">
        <f t="shared" si="7"/>
        <v>126.10000000000001</v>
      </c>
      <c r="K23">
        <f t="shared" si="8"/>
        <v>0</v>
      </c>
      <c r="L23">
        <f t="shared" si="9"/>
        <v>3.9000000000000004</v>
      </c>
    </row>
    <row r="24" spans="1:12" x14ac:dyDescent="0.25">
      <c r="A24" s="42">
        <v>0</v>
      </c>
      <c r="B24" s="45">
        <v>1.3000000000000002E-3</v>
      </c>
      <c r="C24" s="41">
        <v>2</v>
      </c>
      <c r="D24" s="34">
        <f t="shared" si="10"/>
        <v>43.5</v>
      </c>
      <c r="E24" s="35">
        <f t="shared" si="11"/>
        <v>0</v>
      </c>
      <c r="F24" s="51">
        <f t="shared" si="3"/>
        <v>6.5</v>
      </c>
      <c r="G24" s="50">
        <f t="shared" si="4"/>
        <v>56.550000000000004</v>
      </c>
      <c r="H24" s="44">
        <f t="shared" si="5"/>
        <v>0</v>
      </c>
      <c r="I24" s="51">
        <f t="shared" si="6"/>
        <v>8.4500000000000011</v>
      </c>
      <c r="J24">
        <f t="shared" si="7"/>
        <v>113.10000000000001</v>
      </c>
      <c r="K24">
        <f t="shared" si="8"/>
        <v>0</v>
      </c>
      <c r="L24">
        <f t="shared" si="9"/>
        <v>16.900000000000002</v>
      </c>
    </row>
    <row r="25" spans="1:12" x14ac:dyDescent="0.25">
      <c r="A25" s="42">
        <v>0</v>
      </c>
      <c r="B25" s="45">
        <v>5.0000000000000001E-3</v>
      </c>
      <c r="C25" s="41">
        <v>4</v>
      </c>
      <c r="D25" s="34">
        <f t="shared" si="10"/>
        <v>25</v>
      </c>
      <c r="E25" s="35">
        <f t="shared" si="11"/>
        <v>0</v>
      </c>
      <c r="F25" s="51">
        <f t="shared" si="3"/>
        <v>25</v>
      </c>
      <c r="G25" s="50">
        <f t="shared" si="4"/>
        <v>32.5</v>
      </c>
      <c r="H25" s="44">
        <f t="shared" si="5"/>
        <v>0</v>
      </c>
      <c r="I25" s="51">
        <f t="shared" si="6"/>
        <v>32.5</v>
      </c>
      <c r="J25">
        <f t="shared" si="7"/>
        <v>130</v>
      </c>
      <c r="K25">
        <f t="shared" si="8"/>
        <v>0</v>
      </c>
      <c r="L25">
        <f t="shared" si="9"/>
        <v>130</v>
      </c>
    </row>
    <row r="26" spans="1:12" x14ac:dyDescent="0.25">
      <c r="A26" s="42">
        <v>0.04</v>
      </c>
      <c r="B26" s="45">
        <v>1E-4</v>
      </c>
      <c r="C26" s="41">
        <v>2</v>
      </c>
      <c r="D26" s="34">
        <f t="shared" si="10"/>
        <v>45.5</v>
      </c>
      <c r="E26" s="35">
        <f t="shared" si="11"/>
        <v>4</v>
      </c>
      <c r="F26" s="51">
        <f t="shared" si="3"/>
        <v>0.5</v>
      </c>
      <c r="G26" s="50">
        <f t="shared" si="4"/>
        <v>59.15</v>
      </c>
      <c r="H26" s="44">
        <f t="shared" si="5"/>
        <v>5.2</v>
      </c>
      <c r="I26" s="51">
        <f t="shared" si="6"/>
        <v>0.65</v>
      </c>
      <c r="J26">
        <f t="shared" si="7"/>
        <v>118.3</v>
      </c>
      <c r="K26">
        <f t="shared" si="8"/>
        <v>10.4</v>
      </c>
      <c r="L26">
        <f t="shared" si="9"/>
        <v>1.3</v>
      </c>
    </row>
    <row r="27" spans="1:12" x14ac:dyDescent="0.25">
      <c r="A27" s="42">
        <v>0.04</v>
      </c>
      <c r="B27" s="45">
        <v>2.9999999999999997E-4</v>
      </c>
      <c r="C27" s="41">
        <v>2</v>
      </c>
      <c r="D27" s="34">
        <f t="shared" si="10"/>
        <v>44.5</v>
      </c>
      <c r="E27" s="35">
        <f t="shared" si="11"/>
        <v>4</v>
      </c>
      <c r="F27" s="51">
        <f t="shared" si="3"/>
        <v>1.5</v>
      </c>
      <c r="G27" s="50">
        <f t="shared" si="4"/>
        <v>57.85</v>
      </c>
      <c r="H27" s="44">
        <f t="shared" si="5"/>
        <v>5.2</v>
      </c>
      <c r="I27" s="51">
        <f t="shared" si="6"/>
        <v>1.9500000000000002</v>
      </c>
      <c r="J27">
        <f t="shared" si="7"/>
        <v>115.7</v>
      </c>
      <c r="K27">
        <f t="shared" si="8"/>
        <v>10.4</v>
      </c>
      <c r="L27">
        <f t="shared" si="9"/>
        <v>3.9000000000000004</v>
      </c>
    </row>
    <row r="28" spans="1:12" x14ac:dyDescent="0.25">
      <c r="A28" s="42">
        <v>0.04</v>
      </c>
      <c r="B28" s="45">
        <v>1.3000000000000002E-3</v>
      </c>
      <c r="C28" s="41">
        <v>2</v>
      </c>
      <c r="D28" s="34">
        <f t="shared" si="10"/>
        <v>39.5</v>
      </c>
      <c r="E28" s="35">
        <f t="shared" si="11"/>
        <v>4</v>
      </c>
      <c r="F28" s="51">
        <f t="shared" si="3"/>
        <v>6.5</v>
      </c>
      <c r="G28" s="50">
        <f t="shared" si="4"/>
        <v>51.35</v>
      </c>
      <c r="H28" s="44">
        <f t="shared" si="5"/>
        <v>5.2</v>
      </c>
      <c r="I28" s="51">
        <f t="shared" si="6"/>
        <v>8.4500000000000011</v>
      </c>
      <c r="J28">
        <f t="shared" si="7"/>
        <v>102.7</v>
      </c>
      <c r="K28">
        <f t="shared" si="8"/>
        <v>10.4</v>
      </c>
      <c r="L28">
        <f t="shared" si="9"/>
        <v>16.900000000000002</v>
      </c>
    </row>
    <row r="29" spans="1:12" x14ac:dyDescent="0.25">
      <c r="A29" s="42">
        <v>0.04</v>
      </c>
      <c r="B29" s="45">
        <v>5.0000000000000001E-3</v>
      </c>
      <c r="C29" s="41">
        <v>4</v>
      </c>
      <c r="D29" s="34">
        <f t="shared" si="10"/>
        <v>21</v>
      </c>
      <c r="E29" s="35">
        <f t="shared" si="11"/>
        <v>4</v>
      </c>
      <c r="F29" s="51">
        <f t="shared" si="3"/>
        <v>25</v>
      </c>
      <c r="G29" s="50">
        <f t="shared" si="4"/>
        <v>27.3</v>
      </c>
      <c r="H29" s="44">
        <f t="shared" si="5"/>
        <v>5.2</v>
      </c>
      <c r="I29" s="51">
        <f t="shared" si="6"/>
        <v>32.5</v>
      </c>
      <c r="J29">
        <f t="shared" si="7"/>
        <v>109.2</v>
      </c>
      <c r="K29">
        <f t="shared" si="8"/>
        <v>20.8</v>
      </c>
      <c r="L29">
        <f t="shared" si="9"/>
        <v>130</v>
      </c>
    </row>
    <row r="30" spans="1:12" x14ac:dyDescent="0.25">
      <c r="A30" s="42">
        <v>0.16</v>
      </c>
      <c r="B30" s="45">
        <v>1E-4</v>
      </c>
      <c r="C30" s="41">
        <v>2</v>
      </c>
      <c r="D30" s="34">
        <f>50-E30-F30</f>
        <v>33.5</v>
      </c>
      <c r="E30" s="35">
        <f>A30*2*50</f>
        <v>16</v>
      </c>
      <c r="F30" s="51">
        <f t="shared" si="3"/>
        <v>0.5</v>
      </c>
      <c r="G30" s="50">
        <f t="shared" si="4"/>
        <v>43.550000000000004</v>
      </c>
      <c r="H30" s="9">
        <f t="shared" si="5"/>
        <v>20.8</v>
      </c>
      <c r="I30" s="51">
        <f t="shared" si="6"/>
        <v>0.65</v>
      </c>
      <c r="J30">
        <f t="shared" si="7"/>
        <v>87.100000000000009</v>
      </c>
      <c r="K30">
        <f t="shared" si="8"/>
        <v>41.6</v>
      </c>
      <c r="L30">
        <f t="shared" si="9"/>
        <v>1.3</v>
      </c>
    </row>
    <row r="31" spans="1:12" x14ac:dyDescent="0.25">
      <c r="A31" s="42">
        <v>0.16</v>
      </c>
      <c r="B31" s="45">
        <v>2.9999999999999997E-4</v>
      </c>
      <c r="C31" s="41">
        <v>2</v>
      </c>
      <c r="D31" s="34">
        <f t="shared" ref="D31:D33" si="12">50-E31-F31</f>
        <v>32.5</v>
      </c>
      <c r="E31" s="35">
        <f t="shared" ref="E31:E33" si="13">A31*2*50</f>
        <v>16</v>
      </c>
      <c r="F31" s="51">
        <f t="shared" si="3"/>
        <v>1.5</v>
      </c>
      <c r="G31" s="50">
        <f t="shared" si="4"/>
        <v>42.25</v>
      </c>
      <c r="H31" s="44">
        <f t="shared" si="5"/>
        <v>20.8</v>
      </c>
      <c r="I31" s="51">
        <f t="shared" si="6"/>
        <v>1.9500000000000002</v>
      </c>
      <c r="J31">
        <f t="shared" si="7"/>
        <v>84.5</v>
      </c>
      <c r="K31">
        <f t="shared" si="8"/>
        <v>41.6</v>
      </c>
      <c r="L31">
        <f t="shared" si="9"/>
        <v>3.9000000000000004</v>
      </c>
    </row>
    <row r="32" spans="1:12" x14ac:dyDescent="0.25">
      <c r="A32" s="42">
        <v>0.16</v>
      </c>
      <c r="B32" s="45">
        <v>1.3000000000000002E-3</v>
      </c>
      <c r="C32" s="41">
        <v>2</v>
      </c>
      <c r="D32" s="34">
        <f t="shared" si="12"/>
        <v>27.5</v>
      </c>
      <c r="E32" s="35">
        <f t="shared" si="13"/>
        <v>16</v>
      </c>
      <c r="F32" s="51">
        <f t="shared" si="3"/>
        <v>6.5</v>
      </c>
      <c r="G32" s="50">
        <f t="shared" si="4"/>
        <v>35.75</v>
      </c>
      <c r="H32" s="44">
        <f t="shared" si="5"/>
        <v>20.8</v>
      </c>
      <c r="I32" s="51">
        <f t="shared" si="6"/>
        <v>8.4500000000000011</v>
      </c>
      <c r="J32">
        <f t="shared" si="7"/>
        <v>71.5</v>
      </c>
      <c r="K32">
        <f t="shared" si="8"/>
        <v>41.6</v>
      </c>
      <c r="L32">
        <f t="shared" si="9"/>
        <v>16.900000000000002</v>
      </c>
    </row>
    <row r="33" spans="1:12" x14ac:dyDescent="0.25">
      <c r="A33" s="42">
        <v>0.16</v>
      </c>
      <c r="B33" s="45">
        <v>5.0000000000000001E-3</v>
      </c>
      <c r="C33" s="41">
        <v>4</v>
      </c>
      <c r="D33" s="36">
        <f t="shared" si="12"/>
        <v>9</v>
      </c>
      <c r="E33" s="37">
        <f t="shared" si="13"/>
        <v>16</v>
      </c>
      <c r="F33" s="54">
        <f t="shared" si="3"/>
        <v>25</v>
      </c>
      <c r="G33" s="52">
        <f t="shared" si="4"/>
        <v>11.700000000000001</v>
      </c>
      <c r="H33" s="53">
        <f t="shared" si="5"/>
        <v>20.8</v>
      </c>
      <c r="I33" s="54">
        <f t="shared" si="6"/>
        <v>32.5</v>
      </c>
      <c r="J33">
        <f t="shared" si="7"/>
        <v>46.800000000000004</v>
      </c>
      <c r="K33">
        <f t="shared" si="8"/>
        <v>83.2</v>
      </c>
      <c r="L33">
        <f t="shared" si="9"/>
        <v>130</v>
      </c>
    </row>
    <row r="34" spans="1:12" x14ac:dyDescent="0.25">
      <c r="A34" s="56" t="s">
        <v>89</v>
      </c>
      <c r="B34" s="56"/>
      <c r="C34" s="41">
        <v>8</v>
      </c>
      <c r="D34" s="43">
        <v>0</v>
      </c>
      <c r="E34" s="43">
        <v>0</v>
      </c>
      <c r="F34" s="43">
        <v>0</v>
      </c>
      <c r="G34" s="43"/>
      <c r="H34" s="43"/>
      <c r="I34" s="43"/>
      <c r="J34" s="41"/>
      <c r="K34" s="41"/>
      <c r="L34" s="41"/>
    </row>
    <row r="36" spans="1:12" x14ac:dyDescent="0.25">
      <c r="F36" s="38" t="s">
        <v>84</v>
      </c>
      <c r="G36" s="46"/>
      <c r="H36" s="46"/>
      <c r="I36" s="46"/>
      <c r="J36" s="39">
        <f>SUM(J14:J33)</f>
        <v>4399.2</v>
      </c>
      <c r="K36" s="39">
        <f t="shared" ref="K36" si="14">SUM(K14:K33)</f>
        <v>864.5</v>
      </c>
      <c r="L36" s="40">
        <f>SUM(L14:L34)</f>
        <v>456.3</v>
      </c>
    </row>
    <row r="37" spans="1:12" x14ac:dyDescent="0.25">
      <c r="F37" t="s">
        <v>88</v>
      </c>
      <c r="J37">
        <v>5000</v>
      </c>
      <c r="K37">
        <v>1000</v>
      </c>
      <c r="L37">
        <v>500</v>
      </c>
    </row>
    <row r="38" spans="1:12" x14ac:dyDescent="0.25">
      <c r="A38" t="s">
        <v>85</v>
      </c>
    </row>
    <row r="39" spans="1:12" x14ac:dyDescent="0.25">
      <c r="A39" t="s">
        <v>86</v>
      </c>
    </row>
    <row r="40" spans="1:12" x14ac:dyDescent="0.25">
      <c r="A40" t="s">
        <v>87</v>
      </c>
    </row>
  </sheetData>
  <mergeCells count="4">
    <mergeCell ref="D12:F12"/>
    <mergeCell ref="J12:L12"/>
    <mergeCell ref="A34:B34"/>
    <mergeCell ref="G12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F9" sqref="F9"/>
    </sheetView>
  </sheetViews>
  <sheetFormatPr defaultRowHeight="14.25" x14ac:dyDescent="0.2"/>
  <cols>
    <col min="1" max="1" width="4.28515625" style="59" customWidth="1"/>
    <col min="2" max="2" width="11.85546875" style="59" customWidth="1"/>
    <col min="3" max="3" width="10.85546875" style="59" customWidth="1"/>
    <col min="4" max="16384" width="9.140625" style="59"/>
  </cols>
  <sheetData>
    <row r="1" spans="1:4" x14ac:dyDescent="0.2">
      <c r="A1" s="59" t="s">
        <v>95</v>
      </c>
    </row>
    <row r="2" spans="1:4" x14ac:dyDescent="0.2">
      <c r="B2" s="59" t="s">
        <v>92</v>
      </c>
      <c r="C2" s="59" t="s">
        <v>91</v>
      </c>
      <c r="D2" s="59" t="s">
        <v>93</v>
      </c>
    </row>
    <row r="3" spans="1:4" x14ac:dyDescent="0.2">
      <c r="B3" s="59">
        <v>17000</v>
      </c>
      <c r="C3" s="59">
        <f>D3</f>
        <v>14.705882352941176</v>
      </c>
      <c r="D3" s="59">
        <f>D5/(B3/B5)</f>
        <v>14.705882352941176</v>
      </c>
    </row>
    <row r="4" spans="1:4" x14ac:dyDescent="0.2">
      <c r="B4" s="59">
        <v>0</v>
      </c>
      <c r="C4" s="59">
        <v>0</v>
      </c>
      <c r="D4" s="59">
        <f>D5-D3</f>
        <v>235.29411764705881</v>
      </c>
    </row>
    <row r="5" spans="1:4" x14ac:dyDescent="0.2">
      <c r="B5" s="59">
        <f>B13*2</f>
        <v>1000</v>
      </c>
      <c r="D5" s="59">
        <v>250</v>
      </c>
    </row>
    <row r="7" spans="1:4" ht="28.5" x14ac:dyDescent="0.2">
      <c r="A7" s="60" t="s">
        <v>77</v>
      </c>
      <c r="B7" s="61" t="s">
        <v>96</v>
      </c>
      <c r="C7" s="60" t="s">
        <v>94</v>
      </c>
    </row>
    <row r="8" spans="1:4" x14ac:dyDescent="0.2">
      <c r="A8" s="60">
        <v>8</v>
      </c>
      <c r="B8" s="62">
        <v>0</v>
      </c>
      <c r="C8" s="62">
        <v>0</v>
      </c>
      <c r="D8" s="59">
        <v>100</v>
      </c>
    </row>
    <row r="9" spans="1:4" x14ac:dyDescent="0.2">
      <c r="A9" s="60">
        <v>1</v>
      </c>
      <c r="B9" s="62">
        <v>0</v>
      </c>
      <c r="C9" s="62">
        <v>3</v>
      </c>
      <c r="D9" s="59">
        <v>100</v>
      </c>
    </row>
    <row r="10" spans="1:4" x14ac:dyDescent="0.2">
      <c r="A10" s="60">
        <v>1</v>
      </c>
      <c r="B10" s="62">
        <v>0</v>
      </c>
      <c r="C10" s="62">
        <f>C9/10</f>
        <v>0.3</v>
      </c>
      <c r="D10" s="59">
        <v>100</v>
      </c>
    </row>
    <row r="11" spans="1:4" x14ac:dyDescent="0.2">
      <c r="A11" s="60">
        <v>1</v>
      </c>
      <c r="B11" s="62">
        <v>0</v>
      </c>
      <c r="C11" s="62">
        <f t="shared" ref="C11:C12" si="0">C10/10</f>
        <v>0.03</v>
      </c>
      <c r="D11" s="59">
        <v>100</v>
      </c>
    </row>
    <row r="12" spans="1:4" x14ac:dyDescent="0.2">
      <c r="A12" s="60">
        <v>1</v>
      </c>
      <c r="B12" s="62">
        <v>0</v>
      </c>
      <c r="C12" s="62">
        <f t="shared" si="0"/>
        <v>3.0000000000000001E-3</v>
      </c>
      <c r="D12" s="59">
        <v>100</v>
      </c>
    </row>
    <row r="13" spans="1:4" x14ac:dyDescent="0.2">
      <c r="A13" s="60">
        <v>4</v>
      </c>
      <c r="B13" s="62">
        <v>500</v>
      </c>
      <c r="C13" s="62">
        <v>3</v>
      </c>
      <c r="D13" s="59">
        <v>100</v>
      </c>
    </row>
    <row r="14" spans="1:4" x14ac:dyDescent="0.2">
      <c r="A14" s="60">
        <v>4</v>
      </c>
      <c r="B14" s="62">
        <f>B13/5</f>
        <v>100</v>
      </c>
      <c r="C14" s="62">
        <f>C13/5</f>
        <v>0.6</v>
      </c>
      <c r="D14" s="59">
        <v>100</v>
      </c>
    </row>
    <row r="15" spans="1:4" x14ac:dyDescent="0.2">
      <c r="A15" s="60">
        <v>4</v>
      </c>
      <c r="B15" s="62">
        <f t="shared" ref="B15:B20" si="1">B14/5</f>
        <v>20</v>
      </c>
      <c r="C15" s="62">
        <f t="shared" ref="C15:C20" si="2">C14/5</f>
        <v>0.12</v>
      </c>
      <c r="D15" s="59">
        <v>100</v>
      </c>
    </row>
    <row r="16" spans="1:4" x14ac:dyDescent="0.2">
      <c r="A16" s="60">
        <v>4</v>
      </c>
      <c r="B16" s="62">
        <f t="shared" si="1"/>
        <v>4</v>
      </c>
      <c r="C16" s="62">
        <f t="shared" si="2"/>
        <v>2.4E-2</v>
      </c>
      <c r="D16" s="59">
        <v>100</v>
      </c>
    </row>
    <row r="17" spans="1:4" x14ac:dyDescent="0.2">
      <c r="A17" s="60">
        <v>4</v>
      </c>
      <c r="B17" s="62">
        <f t="shared" si="1"/>
        <v>0.8</v>
      </c>
      <c r="C17" s="62">
        <f t="shared" si="2"/>
        <v>4.8000000000000004E-3</v>
      </c>
      <c r="D17" s="59">
        <v>100</v>
      </c>
    </row>
    <row r="18" spans="1:4" x14ac:dyDescent="0.2">
      <c r="A18" s="60">
        <v>4</v>
      </c>
      <c r="B18" s="62">
        <f t="shared" si="1"/>
        <v>0.16</v>
      </c>
      <c r="C18" s="62">
        <f t="shared" si="2"/>
        <v>9.6000000000000013E-4</v>
      </c>
      <c r="D18" s="59">
        <v>100</v>
      </c>
    </row>
    <row r="19" spans="1:4" x14ac:dyDescent="0.2">
      <c r="A19" s="60">
        <v>4</v>
      </c>
      <c r="B19" s="62">
        <f t="shared" si="1"/>
        <v>3.2000000000000001E-2</v>
      </c>
      <c r="C19" s="62">
        <f t="shared" si="2"/>
        <v>1.9200000000000003E-4</v>
      </c>
      <c r="D19" s="59">
        <v>100</v>
      </c>
    </row>
    <row r="20" spans="1:4" x14ac:dyDescent="0.2">
      <c r="A20" s="60">
        <v>4</v>
      </c>
      <c r="B20" s="62">
        <f t="shared" si="1"/>
        <v>6.4000000000000003E-3</v>
      </c>
      <c r="C20" s="62">
        <f t="shared" si="2"/>
        <v>3.8400000000000005E-5</v>
      </c>
      <c r="D20" s="59">
        <v>100</v>
      </c>
    </row>
    <row r="22" spans="1:4" x14ac:dyDescent="0.2">
      <c r="A22" s="59">
        <f>SUM(A8:A20)</f>
        <v>44</v>
      </c>
    </row>
    <row r="23" spans="1:4" x14ac:dyDescent="0.2">
      <c r="A23" s="59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workbookViewId="0">
      <selection activeCell="H39" sqref="H39"/>
    </sheetView>
  </sheetViews>
  <sheetFormatPr defaultRowHeight="15" x14ac:dyDescent="0.25"/>
  <cols>
    <col min="1" max="1" width="10.5703125" bestFit="1" customWidth="1"/>
    <col min="2" max="2" width="13.7109375" customWidth="1"/>
    <col min="3" max="3" width="12" bestFit="1" customWidth="1"/>
    <col min="6" max="8" width="9.140625" customWidth="1"/>
    <col min="9" max="9" width="5.28515625" customWidth="1"/>
    <col min="10" max="22" width="4.28515625" style="10" customWidth="1"/>
  </cols>
  <sheetData>
    <row r="1" spans="1:30" x14ac:dyDescent="0.25">
      <c r="A1" s="12" t="s">
        <v>16</v>
      </c>
      <c r="B1" s="12" t="s">
        <v>52</v>
      </c>
      <c r="C1" s="12" t="s">
        <v>6</v>
      </c>
      <c r="D1" s="13" t="s">
        <v>47</v>
      </c>
      <c r="E1" s="13" t="s">
        <v>2</v>
      </c>
      <c r="F1" s="12" t="s">
        <v>0</v>
      </c>
      <c r="G1" s="10"/>
      <c r="H1" s="12" t="s">
        <v>1</v>
      </c>
      <c r="J1" s="58" t="s">
        <v>48</v>
      </c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Z1" s="7" t="s">
        <v>53</v>
      </c>
    </row>
    <row r="2" spans="1:30" x14ac:dyDescent="0.25">
      <c r="A2" s="14">
        <f t="shared" ref="A2:A9" si="0">F2/(B2+C2)</f>
        <v>0</v>
      </c>
      <c r="B2" s="10">
        <v>50</v>
      </c>
      <c r="C2" s="10">
        <v>50</v>
      </c>
      <c r="D2" s="15">
        <v>0</v>
      </c>
      <c r="E2" s="15">
        <f>C2-D2</f>
        <v>50</v>
      </c>
      <c r="F2" s="16">
        <f t="shared" ref="F2:F9" si="1">$AB$12*D2</f>
        <v>0</v>
      </c>
      <c r="G2" s="10">
        <v>1</v>
      </c>
      <c r="H2" s="10">
        <f>96-SUM(H3:H9)</f>
        <v>40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AC2" t="s">
        <v>11</v>
      </c>
    </row>
    <row r="3" spans="1:30" x14ac:dyDescent="0.25">
      <c r="A3" s="14">
        <f t="shared" si="0"/>
        <v>9.4335122242098987E-3</v>
      </c>
      <c r="B3" s="10">
        <v>50</v>
      </c>
      <c r="C3" s="10">
        <v>50</v>
      </c>
      <c r="D3" s="15">
        <v>1</v>
      </c>
      <c r="E3" s="15">
        <f t="shared" ref="E3:E9" si="2">C3-D3</f>
        <v>49</v>
      </c>
      <c r="F3" s="16">
        <f t="shared" si="1"/>
        <v>0.9433512224209899</v>
      </c>
      <c r="G3" s="10">
        <v>1</v>
      </c>
      <c r="H3" s="10">
        <v>16</v>
      </c>
      <c r="J3" s="10">
        <v>1</v>
      </c>
      <c r="K3" s="18">
        <v>0</v>
      </c>
      <c r="L3" s="18">
        <v>0</v>
      </c>
      <c r="M3" s="20">
        <v>0.02</v>
      </c>
      <c r="N3" s="20">
        <v>0.02</v>
      </c>
      <c r="O3" s="20">
        <v>0.02</v>
      </c>
      <c r="P3" s="20">
        <v>0.02</v>
      </c>
      <c r="Q3" s="20">
        <v>0.02</v>
      </c>
      <c r="R3" s="20">
        <v>0.02</v>
      </c>
      <c r="S3" s="20">
        <v>0.02</v>
      </c>
      <c r="T3" s="20">
        <v>0.02</v>
      </c>
      <c r="U3" s="18">
        <v>0</v>
      </c>
      <c r="V3" s="18">
        <v>0</v>
      </c>
      <c r="Z3" t="s">
        <v>11</v>
      </c>
      <c r="AA3">
        <f>SUM(AA16:AA23)</f>
        <v>504</v>
      </c>
      <c r="AB3">
        <f>SUM(AB16:AB23)</f>
        <v>4296</v>
      </c>
      <c r="AC3">
        <f>SUM(AA23:AB23)</f>
        <v>200</v>
      </c>
    </row>
    <row r="4" spans="1:30" x14ac:dyDescent="0.25">
      <c r="A4" s="14">
        <f t="shared" si="0"/>
        <v>1.8867024448419797E-2</v>
      </c>
      <c r="B4" s="10">
        <v>50</v>
      </c>
      <c r="C4" s="10">
        <v>50</v>
      </c>
      <c r="D4" s="15">
        <v>2</v>
      </c>
      <c r="E4" s="15">
        <f t="shared" si="2"/>
        <v>48</v>
      </c>
      <c r="F4" s="16">
        <f t="shared" si="1"/>
        <v>1.8867024448419798</v>
      </c>
      <c r="G4" s="10">
        <v>1</v>
      </c>
      <c r="H4" s="10">
        <v>16</v>
      </c>
      <c r="J4" s="10">
        <v>2</v>
      </c>
      <c r="K4" s="18">
        <v>0</v>
      </c>
      <c r="L4" s="18">
        <v>0</v>
      </c>
      <c r="M4" s="19">
        <v>0.01</v>
      </c>
      <c r="N4" s="19">
        <v>0.01</v>
      </c>
      <c r="O4" s="19">
        <v>0.01</v>
      </c>
      <c r="P4" s="19">
        <v>0.01</v>
      </c>
      <c r="Q4" s="19">
        <v>0.01</v>
      </c>
      <c r="R4" s="19">
        <v>0.01</v>
      </c>
      <c r="S4" s="19">
        <v>0.01</v>
      </c>
      <c r="T4" s="19">
        <v>0.01</v>
      </c>
      <c r="U4" s="18">
        <v>0</v>
      </c>
      <c r="V4" s="18">
        <v>0</v>
      </c>
      <c r="Z4" s="7" t="s">
        <v>9</v>
      </c>
      <c r="AA4">
        <v>0</v>
      </c>
      <c r="AB4">
        <f>AB12*AB3</f>
        <v>4052.6368515205727</v>
      </c>
    </row>
    <row r="5" spans="1:30" x14ac:dyDescent="0.25">
      <c r="A5" s="14">
        <f t="shared" si="0"/>
        <v>3.7734048896839595E-2</v>
      </c>
      <c r="B5" s="10">
        <v>50</v>
      </c>
      <c r="C5" s="10">
        <v>50</v>
      </c>
      <c r="D5" s="15">
        <v>4</v>
      </c>
      <c r="E5" s="15">
        <f t="shared" si="2"/>
        <v>46</v>
      </c>
      <c r="F5" s="16">
        <f t="shared" si="1"/>
        <v>3.7734048896839596</v>
      </c>
      <c r="G5" s="10">
        <v>1</v>
      </c>
      <c r="H5" s="10">
        <v>8</v>
      </c>
      <c r="J5" s="10">
        <v>3</v>
      </c>
      <c r="K5" s="18">
        <v>0</v>
      </c>
      <c r="L5" s="24">
        <v>0.47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23">
        <v>0.08</v>
      </c>
      <c r="V5" s="18">
        <v>0</v>
      </c>
      <c r="Z5" s="7" t="s">
        <v>0</v>
      </c>
      <c r="AA5">
        <f>AB12*AA3</f>
        <v>475.44901610017894</v>
      </c>
      <c r="AB5">
        <v>0</v>
      </c>
    </row>
    <row r="6" spans="1:30" x14ac:dyDescent="0.25">
      <c r="A6" s="14">
        <f t="shared" si="0"/>
        <v>7.546809779367919E-2</v>
      </c>
      <c r="B6" s="10">
        <v>50</v>
      </c>
      <c r="C6" s="10">
        <v>50</v>
      </c>
      <c r="D6" s="15">
        <v>8</v>
      </c>
      <c r="E6" s="15">
        <f t="shared" si="2"/>
        <v>42</v>
      </c>
      <c r="F6" s="16">
        <f t="shared" si="1"/>
        <v>7.5468097793679192</v>
      </c>
      <c r="G6" s="10">
        <v>1</v>
      </c>
      <c r="H6" s="10">
        <v>4</v>
      </c>
      <c r="J6" s="10">
        <v>4</v>
      </c>
      <c r="K6" s="18">
        <v>0</v>
      </c>
      <c r="L6" s="24">
        <v>0.47</v>
      </c>
      <c r="M6" s="21">
        <v>0.04</v>
      </c>
      <c r="N6" s="21">
        <v>0.04</v>
      </c>
      <c r="O6" s="21">
        <v>0.04</v>
      </c>
      <c r="P6" s="21">
        <v>0.04</v>
      </c>
      <c r="Q6" s="21">
        <v>0.04</v>
      </c>
      <c r="R6" s="21">
        <v>0.04</v>
      </c>
      <c r="S6" s="21">
        <v>0.04</v>
      </c>
      <c r="T6" s="21">
        <v>0.04</v>
      </c>
      <c r="U6" s="23">
        <v>0.08</v>
      </c>
      <c r="V6" s="18">
        <v>0</v>
      </c>
      <c r="Z6" s="7" t="s">
        <v>13</v>
      </c>
      <c r="AA6">
        <f>AA3-AA5</f>
        <v>28.550983899821063</v>
      </c>
      <c r="AB6">
        <f>AB3-AB4</f>
        <v>243.36314847942731</v>
      </c>
      <c r="AC6">
        <f>AB6+AA6</f>
        <v>271.91413237924837</v>
      </c>
    </row>
    <row r="7" spans="1:30" x14ac:dyDescent="0.25">
      <c r="A7" s="14">
        <f t="shared" si="0"/>
        <v>0.15093619558735838</v>
      </c>
      <c r="B7" s="10">
        <v>50</v>
      </c>
      <c r="C7" s="10">
        <v>50</v>
      </c>
      <c r="D7" s="15">
        <v>16</v>
      </c>
      <c r="E7" s="15">
        <f t="shared" si="2"/>
        <v>34</v>
      </c>
      <c r="F7" s="11">
        <f t="shared" si="1"/>
        <v>15.093619558735838</v>
      </c>
      <c r="G7" s="10">
        <v>1</v>
      </c>
      <c r="H7" s="10">
        <v>4</v>
      </c>
      <c r="J7" s="10">
        <v>5</v>
      </c>
      <c r="K7" s="18">
        <v>0</v>
      </c>
      <c r="L7" s="24">
        <v>0.47</v>
      </c>
      <c r="M7" s="19">
        <v>0.01</v>
      </c>
      <c r="N7" s="19">
        <v>0.01</v>
      </c>
      <c r="O7" s="19">
        <v>0.01</v>
      </c>
      <c r="P7" s="19">
        <v>0.01</v>
      </c>
      <c r="Q7" s="19">
        <v>0.01</v>
      </c>
      <c r="R7" s="19">
        <v>0.01</v>
      </c>
      <c r="S7" s="19">
        <v>0.01</v>
      </c>
      <c r="T7" s="19">
        <v>0.01</v>
      </c>
      <c r="U7" s="23">
        <v>0.08</v>
      </c>
      <c r="V7" s="18">
        <v>0</v>
      </c>
      <c r="Z7" s="7" t="s">
        <v>5</v>
      </c>
      <c r="AA7" s="4"/>
      <c r="AC7">
        <f>AD7*AC6</f>
        <v>3.8163387000596263</v>
      </c>
      <c r="AD7" s="4">
        <v>1.4035087719298246E-2</v>
      </c>
    </row>
    <row r="8" spans="1:30" x14ac:dyDescent="0.25">
      <c r="A8" s="14">
        <f t="shared" si="0"/>
        <v>0.30187239117471676</v>
      </c>
      <c r="B8" s="10">
        <v>50</v>
      </c>
      <c r="C8" s="10">
        <v>50</v>
      </c>
      <c r="D8" s="15">
        <v>32</v>
      </c>
      <c r="E8" s="15">
        <f t="shared" si="2"/>
        <v>18</v>
      </c>
      <c r="F8" s="11">
        <f t="shared" si="1"/>
        <v>30.187239117471677</v>
      </c>
      <c r="G8" s="10">
        <v>1</v>
      </c>
      <c r="H8" s="10">
        <v>4</v>
      </c>
      <c r="J8" s="10">
        <v>6</v>
      </c>
      <c r="K8" s="18">
        <v>0</v>
      </c>
      <c r="L8" s="24">
        <v>0.47</v>
      </c>
      <c r="M8" s="20">
        <v>0.02</v>
      </c>
      <c r="N8" s="20">
        <v>0.02</v>
      </c>
      <c r="O8" s="20">
        <v>0.02</v>
      </c>
      <c r="P8" s="20">
        <v>0.02</v>
      </c>
      <c r="Q8" s="20">
        <v>0.02</v>
      </c>
      <c r="R8" s="20">
        <v>0.02</v>
      </c>
      <c r="S8" s="20">
        <v>0.02</v>
      </c>
      <c r="T8" s="20">
        <v>0.02</v>
      </c>
      <c r="U8" s="23">
        <v>0.08</v>
      </c>
      <c r="V8" s="18">
        <v>0</v>
      </c>
      <c r="Z8" s="7" t="s">
        <v>3</v>
      </c>
      <c r="AA8" s="4"/>
      <c r="AC8">
        <f>AD8*AC6</f>
        <v>238.52116875372664</v>
      </c>
      <c r="AD8" s="4">
        <v>0.8771929824561403</v>
      </c>
    </row>
    <row r="9" spans="1:30" x14ac:dyDescent="0.25">
      <c r="A9" s="14">
        <f t="shared" si="0"/>
        <v>0.47167561121049495</v>
      </c>
      <c r="B9" s="10">
        <v>50</v>
      </c>
      <c r="C9" s="10">
        <v>50</v>
      </c>
      <c r="D9" s="15">
        <v>50</v>
      </c>
      <c r="E9" s="15">
        <f t="shared" si="2"/>
        <v>0</v>
      </c>
      <c r="F9" s="11">
        <f t="shared" si="1"/>
        <v>47.167561121049495</v>
      </c>
      <c r="G9" s="10">
        <v>1</v>
      </c>
      <c r="H9" s="10">
        <v>4</v>
      </c>
      <c r="J9" s="10">
        <v>7</v>
      </c>
      <c r="K9" s="18">
        <v>0</v>
      </c>
      <c r="L9" s="18">
        <v>0</v>
      </c>
      <c r="M9" s="22">
        <v>0.15</v>
      </c>
      <c r="N9" s="22">
        <v>0.15</v>
      </c>
      <c r="O9" s="22">
        <v>0.15</v>
      </c>
      <c r="P9" s="22">
        <v>0.15</v>
      </c>
      <c r="Q9" s="22">
        <v>0.3</v>
      </c>
      <c r="R9" s="22">
        <v>0.3</v>
      </c>
      <c r="S9" s="22">
        <v>0.3</v>
      </c>
      <c r="T9" s="22">
        <v>0.3</v>
      </c>
      <c r="U9" s="18">
        <v>0</v>
      </c>
      <c r="V9" s="18">
        <v>0</v>
      </c>
      <c r="Z9" s="7" t="s">
        <v>4</v>
      </c>
      <c r="AC9">
        <f>AD9*AC6</f>
        <v>29.576624925462106</v>
      </c>
      <c r="AD9" s="4">
        <v>0.10877192982456141</v>
      </c>
    </row>
    <row r="10" spans="1:30" x14ac:dyDescent="0.25">
      <c r="J10" s="10">
        <v>8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</row>
    <row r="11" spans="1:30" x14ac:dyDescent="0.25">
      <c r="A11" s="7" t="s">
        <v>26</v>
      </c>
      <c r="J11" s="25" t="s">
        <v>56</v>
      </c>
      <c r="Z11" t="s">
        <v>17</v>
      </c>
      <c r="AA11" t="s">
        <v>18</v>
      </c>
      <c r="AB11" s="6">
        <v>5.6648777579010129E-2</v>
      </c>
    </row>
    <row r="12" spans="1:30" x14ac:dyDescent="0.25">
      <c r="A12" t="s">
        <v>25</v>
      </c>
      <c r="AA12" t="s">
        <v>23</v>
      </c>
      <c r="AB12" s="6">
        <f>1-AB11</f>
        <v>0.9433512224209899</v>
      </c>
    </row>
    <row r="13" spans="1:30" x14ac:dyDescent="0.25">
      <c r="A13" s="3">
        <f>AC8</f>
        <v>238.52116875372664</v>
      </c>
      <c r="B13" t="s">
        <v>27</v>
      </c>
    </row>
    <row r="14" spans="1:30" x14ac:dyDescent="0.25">
      <c r="A14" s="2">
        <f>AC9</f>
        <v>29.576624925462106</v>
      </c>
      <c r="B14" t="s">
        <v>28</v>
      </c>
      <c r="C14" s="2"/>
      <c r="D14" s="2"/>
      <c r="E14" s="2"/>
      <c r="F14" s="2"/>
      <c r="G14" s="2"/>
      <c r="J14" s="58" t="s">
        <v>54</v>
      </c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AA14" s="57" t="s">
        <v>22</v>
      </c>
      <c r="AB14" s="57"/>
    </row>
    <row r="15" spans="1:30" x14ac:dyDescent="0.25">
      <c r="A15" s="1">
        <f>AC7</f>
        <v>3.8163387000596263</v>
      </c>
      <c r="B15" t="s">
        <v>29</v>
      </c>
      <c r="D15" s="2"/>
      <c r="E15" s="2"/>
      <c r="F15" s="2"/>
      <c r="G15" s="2"/>
      <c r="K15" s="10" t="s">
        <v>35</v>
      </c>
      <c r="L15" s="10" t="s">
        <v>36</v>
      </c>
      <c r="M15" s="10" t="s">
        <v>37</v>
      </c>
      <c r="N15" s="10" t="s">
        <v>38</v>
      </c>
      <c r="O15" s="10" t="s">
        <v>39</v>
      </c>
      <c r="P15" s="10" t="s">
        <v>40</v>
      </c>
      <c r="Q15" s="10" t="s">
        <v>41</v>
      </c>
      <c r="R15" s="10" t="s">
        <v>42</v>
      </c>
      <c r="S15" s="10" t="s">
        <v>43</v>
      </c>
      <c r="T15" s="10" t="s">
        <v>44</v>
      </c>
      <c r="U15" s="10" t="s">
        <v>45</v>
      </c>
      <c r="V15" s="10" t="s">
        <v>46</v>
      </c>
      <c r="AA15" s="8" t="s">
        <v>21</v>
      </c>
      <c r="AB15" s="8" t="s">
        <v>8</v>
      </c>
    </row>
    <row r="16" spans="1:30" x14ac:dyDescent="0.25">
      <c r="D16" s="2"/>
      <c r="E16" s="2"/>
      <c r="F16" s="2"/>
      <c r="G16" s="2"/>
      <c r="J16" s="10">
        <v>1</v>
      </c>
      <c r="K16" s="17">
        <v>0</v>
      </c>
      <c r="L16" s="17">
        <v>0</v>
      </c>
      <c r="M16" s="17">
        <v>1.89</v>
      </c>
      <c r="N16" s="17">
        <v>1.89</v>
      </c>
      <c r="O16" s="17">
        <v>1.89</v>
      </c>
      <c r="P16" s="17">
        <v>1.89</v>
      </c>
      <c r="Q16" s="17">
        <v>1.89</v>
      </c>
      <c r="R16" s="17">
        <v>1.89</v>
      </c>
      <c r="S16" s="17">
        <v>1.89</v>
      </c>
      <c r="T16" s="17">
        <v>1.89</v>
      </c>
      <c r="U16" s="17">
        <v>0</v>
      </c>
      <c r="V16" s="17">
        <v>0</v>
      </c>
      <c r="AA16" s="9">
        <f t="shared" ref="AA16:AB23" si="3">D2*$H2</f>
        <v>0</v>
      </c>
      <c r="AB16" s="9">
        <f t="shared" si="3"/>
        <v>2000</v>
      </c>
    </row>
    <row r="17" spans="1:28" x14ac:dyDescent="0.25">
      <c r="A17" s="7" t="s">
        <v>32</v>
      </c>
      <c r="D17" s="2"/>
      <c r="E17" s="2"/>
      <c r="F17" s="2"/>
      <c r="G17" s="2"/>
      <c r="J17" s="10">
        <v>2</v>
      </c>
      <c r="K17" s="17">
        <v>0</v>
      </c>
      <c r="L17" s="17">
        <v>0</v>
      </c>
      <c r="M17" s="17">
        <v>0.94</v>
      </c>
      <c r="N17" s="17">
        <v>0.94</v>
      </c>
      <c r="O17" s="17">
        <v>0.94</v>
      </c>
      <c r="P17" s="17">
        <v>0.94</v>
      </c>
      <c r="Q17" s="17">
        <v>0.94</v>
      </c>
      <c r="R17" s="17">
        <v>0.94</v>
      </c>
      <c r="S17" s="17">
        <v>0.94</v>
      </c>
      <c r="T17" s="17">
        <v>0.94</v>
      </c>
      <c r="U17" s="17">
        <v>0</v>
      </c>
      <c r="V17" s="17">
        <v>0</v>
      </c>
      <c r="AA17" s="9">
        <f t="shared" si="3"/>
        <v>16</v>
      </c>
      <c r="AB17" s="9">
        <f t="shared" si="3"/>
        <v>784</v>
      </c>
    </row>
    <row r="18" spans="1:28" x14ac:dyDescent="0.25">
      <c r="A18" t="s">
        <v>24</v>
      </c>
      <c r="D18" s="2"/>
      <c r="E18" s="2"/>
      <c r="F18" s="2"/>
      <c r="G18" s="2"/>
      <c r="J18" s="10">
        <v>3</v>
      </c>
      <c r="K18" s="17">
        <v>0</v>
      </c>
      <c r="L18" s="17">
        <v>47.2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7.55</v>
      </c>
      <c r="V18" s="17">
        <v>0</v>
      </c>
      <c r="AA18" s="9">
        <f t="shared" si="3"/>
        <v>32</v>
      </c>
      <c r="AB18" s="9">
        <f t="shared" si="3"/>
        <v>768</v>
      </c>
    </row>
    <row r="19" spans="1:28" x14ac:dyDescent="0.25">
      <c r="A19" s="3">
        <f>AB4</f>
        <v>4052.6368515205727</v>
      </c>
      <c r="B19" t="s">
        <v>30</v>
      </c>
      <c r="J19" s="10">
        <v>4</v>
      </c>
      <c r="K19" s="17">
        <v>0</v>
      </c>
      <c r="L19" s="17">
        <v>47.2</v>
      </c>
      <c r="M19" s="17">
        <v>3.77</v>
      </c>
      <c r="N19" s="17">
        <v>3.77</v>
      </c>
      <c r="O19" s="17">
        <v>3.77</v>
      </c>
      <c r="P19" s="17">
        <v>3.77</v>
      </c>
      <c r="Q19" s="17">
        <v>3.77</v>
      </c>
      <c r="R19" s="17">
        <v>3.77</v>
      </c>
      <c r="S19" s="17">
        <v>3.77</v>
      </c>
      <c r="T19" s="17">
        <v>3.77</v>
      </c>
      <c r="U19" s="17">
        <v>7.55</v>
      </c>
      <c r="V19" s="17">
        <v>0</v>
      </c>
      <c r="AA19" s="9">
        <f t="shared" si="3"/>
        <v>32</v>
      </c>
      <c r="AB19" s="9">
        <f t="shared" si="3"/>
        <v>368</v>
      </c>
    </row>
    <row r="20" spans="1:28" x14ac:dyDescent="0.25">
      <c r="A20" s="3">
        <f>AB6</f>
        <v>243.36314847942731</v>
      </c>
      <c r="B20" t="s">
        <v>31</v>
      </c>
      <c r="J20" s="10">
        <v>5</v>
      </c>
      <c r="K20" s="17">
        <v>0</v>
      </c>
      <c r="L20" s="17">
        <v>47.2</v>
      </c>
      <c r="M20" s="17">
        <v>0.94</v>
      </c>
      <c r="N20" s="17">
        <v>0.94</v>
      </c>
      <c r="O20" s="17">
        <v>0.94</v>
      </c>
      <c r="P20" s="17">
        <v>0.94</v>
      </c>
      <c r="Q20" s="17">
        <v>0.94</v>
      </c>
      <c r="R20" s="17">
        <v>0.94</v>
      </c>
      <c r="S20" s="17">
        <v>0.94</v>
      </c>
      <c r="T20" s="17">
        <v>0.94</v>
      </c>
      <c r="U20" s="17">
        <v>7.55</v>
      </c>
      <c r="V20" s="17">
        <v>0</v>
      </c>
      <c r="AA20" s="9">
        <f t="shared" si="3"/>
        <v>32</v>
      </c>
      <c r="AB20" s="9">
        <f t="shared" si="3"/>
        <v>168</v>
      </c>
    </row>
    <row r="21" spans="1:28" x14ac:dyDescent="0.25">
      <c r="J21" s="10">
        <v>6</v>
      </c>
      <c r="K21" s="17">
        <v>0</v>
      </c>
      <c r="L21" s="17">
        <v>47.2</v>
      </c>
      <c r="M21" s="17">
        <v>1.89</v>
      </c>
      <c r="N21" s="17">
        <v>1.89</v>
      </c>
      <c r="O21" s="17">
        <v>1.89</v>
      </c>
      <c r="P21" s="17">
        <v>1.89</v>
      </c>
      <c r="Q21" s="17">
        <v>1.89</v>
      </c>
      <c r="R21" s="17">
        <v>1.89</v>
      </c>
      <c r="S21" s="17">
        <v>1.89</v>
      </c>
      <c r="T21" s="17">
        <v>1.89</v>
      </c>
      <c r="U21" s="17">
        <v>7.55</v>
      </c>
      <c r="V21" s="17">
        <v>0</v>
      </c>
      <c r="AA21" s="9">
        <f t="shared" si="3"/>
        <v>64</v>
      </c>
      <c r="AB21" s="9">
        <f t="shared" si="3"/>
        <v>136</v>
      </c>
    </row>
    <row r="22" spans="1:28" x14ac:dyDescent="0.25">
      <c r="A22" s="7" t="s">
        <v>33</v>
      </c>
      <c r="J22" s="10">
        <v>7</v>
      </c>
      <c r="K22" s="17">
        <v>0</v>
      </c>
      <c r="L22" s="17">
        <v>0</v>
      </c>
      <c r="M22" s="17">
        <v>15.1</v>
      </c>
      <c r="N22" s="17">
        <v>15.1</v>
      </c>
      <c r="O22" s="17">
        <v>15.1</v>
      </c>
      <c r="P22" s="17">
        <v>15.1</v>
      </c>
      <c r="Q22" s="17">
        <v>30.2</v>
      </c>
      <c r="R22" s="17">
        <v>30.2</v>
      </c>
      <c r="S22" s="17">
        <v>30.2</v>
      </c>
      <c r="T22" s="17">
        <v>30.2</v>
      </c>
      <c r="U22" s="17">
        <v>0</v>
      </c>
      <c r="V22" s="17">
        <v>0</v>
      </c>
      <c r="AA22" s="9">
        <f t="shared" si="3"/>
        <v>128</v>
      </c>
      <c r="AB22" s="9">
        <f t="shared" si="3"/>
        <v>72</v>
      </c>
    </row>
    <row r="23" spans="1:28" x14ac:dyDescent="0.25">
      <c r="A23" t="s">
        <v>25</v>
      </c>
      <c r="J23" s="10">
        <v>8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AA23" s="9">
        <f t="shared" si="3"/>
        <v>200</v>
      </c>
      <c r="AB23" s="9">
        <f t="shared" si="3"/>
        <v>0</v>
      </c>
    </row>
    <row r="24" spans="1:28" x14ac:dyDescent="0.25">
      <c r="A24" s="3">
        <f>AA5</f>
        <v>475.44901610017894</v>
      </c>
      <c r="B24" t="s">
        <v>62</v>
      </c>
    </row>
    <row r="25" spans="1:28" x14ac:dyDescent="0.25">
      <c r="A25" s="3">
        <f>AA6</f>
        <v>28.550983899821063</v>
      </c>
      <c r="B25" t="s">
        <v>31</v>
      </c>
      <c r="C25" s="9"/>
      <c r="J25" s="58" t="s">
        <v>55</v>
      </c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</row>
    <row r="26" spans="1:28" x14ac:dyDescent="0.25">
      <c r="K26" s="10" t="s">
        <v>35</v>
      </c>
      <c r="L26" s="10" t="s">
        <v>36</v>
      </c>
      <c r="M26" s="10" t="s">
        <v>37</v>
      </c>
      <c r="N26" s="10" t="s">
        <v>38</v>
      </c>
      <c r="O26" s="10" t="s">
        <v>39</v>
      </c>
      <c r="P26" s="10" t="s">
        <v>40</v>
      </c>
      <c r="Q26" s="10" t="s">
        <v>41</v>
      </c>
      <c r="R26" s="10" t="s">
        <v>42</v>
      </c>
      <c r="S26" s="10" t="s">
        <v>43</v>
      </c>
      <c r="T26" s="10" t="s">
        <v>44</v>
      </c>
      <c r="U26" s="10" t="s">
        <v>45</v>
      </c>
      <c r="V26" s="10" t="s">
        <v>46</v>
      </c>
    </row>
    <row r="27" spans="1:28" x14ac:dyDescent="0.25">
      <c r="A27" s="7" t="s">
        <v>34</v>
      </c>
      <c r="J27" s="10">
        <v>1</v>
      </c>
      <c r="K27" s="17">
        <f>50-K16</f>
        <v>50</v>
      </c>
      <c r="L27" s="17">
        <f t="shared" ref="L27:V27" si="4">50-L16</f>
        <v>50</v>
      </c>
      <c r="M27" s="17">
        <f t="shared" si="4"/>
        <v>48.11</v>
      </c>
      <c r="N27" s="17">
        <f t="shared" si="4"/>
        <v>48.11</v>
      </c>
      <c r="O27" s="17">
        <f t="shared" si="4"/>
        <v>48.11</v>
      </c>
      <c r="P27" s="17">
        <f t="shared" si="4"/>
        <v>48.11</v>
      </c>
      <c r="Q27" s="17">
        <f t="shared" si="4"/>
        <v>48.11</v>
      </c>
      <c r="R27" s="17">
        <f t="shared" si="4"/>
        <v>48.11</v>
      </c>
      <c r="S27" s="17">
        <f t="shared" si="4"/>
        <v>48.11</v>
      </c>
      <c r="T27" s="17">
        <f t="shared" si="4"/>
        <v>48.11</v>
      </c>
      <c r="U27" s="17">
        <f t="shared" si="4"/>
        <v>50</v>
      </c>
      <c r="V27" s="17">
        <f t="shared" si="4"/>
        <v>50</v>
      </c>
    </row>
    <row r="28" spans="1:28" x14ac:dyDescent="0.25">
      <c r="A28" t="s">
        <v>49</v>
      </c>
      <c r="J28" s="10">
        <v>2</v>
      </c>
      <c r="K28" s="17">
        <f t="shared" ref="K28:V28" si="5">50-K17</f>
        <v>50</v>
      </c>
      <c r="L28" s="17">
        <f t="shared" si="5"/>
        <v>50</v>
      </c>
      <c r="M28" s="17">
        <f t="shared" si="5"/>
        <v>49.06</v>
      </c>
      <c r="N28" s="17">
        <f t="shared" si="5"/>
        <v>49.06</v>
      </c>
      <c r="O28" s="17">
        <f t="shared" si="5"/>
        <v>49.06</v>
      </c>
      <c r="P28" s="17">
        <f t="shared" si="5"/>
        <v>49.06</v>
      </c>
      <c r="Q28" s="17">
        <f t="shared" si="5"/>
        <v>49.06</v>
      </c>
      <c r="R28" s="17">
        <f t="shared" si="5"/>
        <v>49.06</v>
      </c>
      <c r="S28" s="17">
        <f t="shared" si="5"/>
        <v>49.06</v>
      </c>
      <c r="T28" s="17">
        <f t="shared" si="5"/>
        <v>49.06</v>
      </c>
      <c r="U28" s="17">
        <f t="shared" si="5"/>
        <v>50</v>
      </c>
      <c r="V28" s="17">
        <f t="shared" si="5"/>
        <v>50</v>
      </c>
    </row>
    <row r="29" spans="1:28" x14ac:dyDescent="0.25">
      <c r="A29" t="s">
        <v>50</v>
      </c>
      <c r="J29" s="10">
        <v>3</v>
      </c>
      <c r="K29" s="17">
        <f t="shared" ref="K29:V29" si="6">50-K18</f>
        <v>50</v>
      </c>
      <c r="L29" s="17">
        <f t="shared" si="6"/>
        <v>2.7999999999999972</v>
      </c>
      <c r="M29" s="17">
        <f t="shared" si="6"/>
        <v>50</v>
      </c>
      <c r="N29" s="17">
        <f t="shared" si="6"/>
        <v>50</v>
      </c>
      <c r="O29" s="17">
        <f t="shared" si="6"/>
        <v>50</v>
      </c>
      <c r="P29" s="17">
        <f t="shared" si="6"/>
        <v>50</v>
      </c>
      <c r="Q29" s="17">
        <f t="shared" si="6"/>
        <v>50</v>
      </c>
      <c r="R29" s="17">
        <f t="shared" si="6"/>
        <v>50</v>
      </c>
      <c r="S29" s="17">
        <f t="shared" si="6"/>
        <v>50</v>
      </c>
      <c r="T29" s="17">
        <f t="shared" si="6"/>
        <v>50</v>
      </c>
      <c r="U29" s="17">
        <f t="shared" si="6"/>
        <v>42.45</v>
      </c>
      <c r="V29" s="17">
        <f t="shared" si="6"/>
        <v>50</v>
      </c>
    </row>
    <row r="30" spans="1:28" x14ac:dyDescent="0.25">
      <c r="A30" t="s">
        <v>51</v>
      </c>
      <c r="J30" s="10">
        <v>4</v>
      </c>
      <c r="K30" s="17">
        <f t="shared" ref="K30:V30" si="7">50-K19</f>
        <v>50</v>
      </c>
      <c r="L30" s="17">
        <f t="shared" si="7"/>
        <v>2.7999999999999972</v>
      </c>
      <c r="M30" s="17">
        <f t="shared" si="7"/>
        <v>46.23</v>
      </c>
      <c r="N30" s="17">
        <f t="shared" si="7"/>
        <v>46.23</v>
      </c>
      <c r="O30" s="17">
        <f t="shared" si="7"/>
        <v>46.23</v>
      </c>
      <c r="P30" s="17">
        <f t="shared" si="7"/>
        <v>46.23</v>
      </c>
      <c r="Q30" s="17">
        <f t="shared" si="7"/>
        <v>46.23</v>
      </c>
      <c r="R30" s="17">
        <f t="shared" si="7"/>
        <v>46.23</v>
      </c>
      <c r="S30" s="17">
        <f t="shared" si="7"/>
        <v>46.23</v>
      </c>
      <c r="T30" s="17">
        <f t="shared" si="7"/>
        <v>46.23</v>
      </c>
      <c r="U30" s="17">
        <f t="shared" si="7"/>
        <v>42.45</v>
      </c>
      <c r="V30" s="17">
        <f t="shared" si="7"/>
        <v>50</v>
      </c>
    </row>
    <row r="31" spans="1:28" x14ac:dyDescent="0.25">
      <c r="J31" s="10">
        <v>5</v>
      </c>
      <c r="K31" s="17">
        <f t="shared" ref="K31:V31" si="8">50-K20</f>
        <v>50</v>
      </c>
      <c r="L31" s="17">
        <f t="shared" si="8"/>
        <v>2.7999999999999972</v>
      </c>
      <c r="M31" s="17">
        <f t="shared" si="8"/>
        <v>49.06</v>
      </c>
      <c r="N31" s="17">
        <f t="shared" si="8"/>
        <v>49.06</v>
      </c>
      <c r="O31" s="17">
        <f t="shared" si="8"/>
        <v>49.06</v>
      </c>
      <c r="P31" s="17">
        <f t="shared" si="8"/>
        <v>49.06</v>
      </c>
      <c r="Q31" s="17">
        <f t="shared" si="8"/>
        <v>49.06</v>
      </c>
      <c r="R31" s="17">
        <f t="shared" si="8"/>
        <v>49.06</v>
      </c>
      <c r="S31" s="17">
        <f t="shared" si="8"/>
        <v>49.06</v>
      </c>
      <c r="T31" s="17">
        <f t="shared" si="8"/>
        <v>49.06</v>
      </c>
      <c r="U31" s="17">
        <f t="shared" si="8"/>
        <v>42.45</v>
      </c>
      <c r="V31" s="17">
        <f t="shared" si="8"/>
        <v>50</v>
      </c>
    </row>
    <row r="32" spans="1:28" x14ac:dyDescent="0.25">
      <c r="A32" s="7" t="s">
        <v>61</v>
      </c>
      <c r="J32" s="10">
        <v>6</v>
      </c>
      <c r="K32" s="17">
        <f t="shared" ref="K32:V32" si="9">50-K21</f>
        <v>50</v>
      </c>
      <c r="L32" s="17">
        <f t="shared" si="9"/>
        <v>2.7999999999999972</v>
      </c>
      <c r="M32" s="17">
        <f t="shared" si="9"/>
        <v>48.11</v>
      </c>
      <c r="N32" s="17">
        <f t="shared" si="9"/>
        <v>48.11</v>
      </c>
      <c r="O32" s="17">
        <f t="shared" si="9"/>
        <v>48.11</v>
      </c>
      <c r="P32" s="17">
        <f t="shared" si="9"/>
        <v>48.11</v>
      </c>
      <c r="Q32" s="17">
        <f t="shared" si="9"/>
        <v>48.11</v>
      </c>
      <c r="R32" s="17">
        <f t="shared" si="9"/>
        <v>48.11</v>
      </c>
      <c r="S32" s="17">
        <f t="shared" si="9"/>
        <v>48.11</v>
      </c>
      <c r="T32" s="17">
        <f t="shared" si="9"/>
        <v>48.11</v>
      </c>
      <c r="U32" s="17">
        <f t="shared" si="9"/>
        <v>42.45</v>
      </c>
      <c r="V32" s="17">
        <f t="shared" si="9"/>
        <v>50</v>
      </c>
    </row>
    <row r="33" spans="1:22" x14ac:dyDescent="0.25">
      <c r="A33" t="s">
        <v>58</v>
      </c>
      <c r="J33" s="10">
        <v>7</v>
      </c>
      <c r="K33" s="17">
        <f t="shared" ref="K33:V33" si="10">50-K22</f>
        <v>50</v>
      </c>
      <c r="L33" s="17">
        <f t="shared" si="10"/>
        <v>50</v>
      </c>
      <c r="M33" s="17">
        <f t="shared" si="10"/>
        <v>34.9</v>
      </c>
      <c r="N33" s="17">
        <f t="shared" si="10"/>
        <v>34.9</v>
      </c>
      <c r="O33" s="17">
        <f t="shared" si="10"/>
        <v>34.9</v>
      </c>
      <c r="P33" s="17">
        <f t="shared" si="10"/>
        <v>34.9</v>
      </c>
      <c r="Q33" s="17">
        <f t="shared" si="10"/>
        <v>19.8</v>
      </c>
      <c r="R33" s="17">
        <f t="shared" si="10"/>
        <v>19.8</v>
      </c>
      <c r="S33" s="17">
        <f t="shared" si="10"/>
        <v>19.8</v>
      </c>
      <c r="T33" s="17">
        <f t="shared" si="10"/>
        <v>19.8</v>
      </c>
      <c r="U33" s="17">
        <f t="shared" si="10"/>
        <v>50</v>
      </c>
      <c r="V33" s="17">
        <f t="shared" si="10"/>
        <v>50</v>
      </c>
    </row>
    <row r="34" spans="1:22" x14ac:dyDescent="0.25">
      <c r="A34" t="s">
        <v>57</v>
      </c>
      <c r="J34" s="10">
        <v>8</v>
      </c>
      <c r="K34" s="17">
        <f t="shared" ref="K34:V34" si="11">50-K23</f>
        <v>50</v>
      </c>
      <c r="L34" s="17">
        <f t="shared" si="11"/>
        <v>50</v>
      </c>
      <c r="M34" s="17">
        <f t="shared" si="11"/>
        <v>50</v>
      </c>
      <c r="N34" s="17">
        <f t="shared" si="11"/>
        <v>50</v>
      </c>
      <c r="O34" s="17">
        <f t="shared" si="11"/>
        <v>50</v>
      </c>
      <c r="P34" s="17">
        <f t="shared" si="11"/>
        <v>50</v>
      </c>
      <c r="Q34" s="17">
        <f t="shared" si="11"/>
        <v>50</v>
      </c>
      <c r="R34" s="17">
        <f t="shared" si="11"/>
        <v>50</v>
      </c>
      <c r="S34" s="17">
        <f t="shared" si="11"/>
        <v>50</v>
      </c>
      <c r="T34" s="17">
        <f t="shared" si="11"/>
        <v>50</v>
      </c>
      <c r="U34" s="17">
        <f t="shared" si="11"/>
        <v>50</v>
      </c>
      <c r="V34" s="17">
        <f t="shared" si="11"/>
        <v>50</v>
      </c>
    </row>
    <row r="35" spans="1:22" x14ac:dyDescent="0.25">
      <c r="A35" t="s">
        <v>59</v>
      </c>
    </row>
    <row r="36" spans="1:22" x14ac:dyDescent="0.25">
      <c r="A36" t="s">
        <v>60</v>
      </c>
    </row>
    <row r="38" spans="1:22" x14ac:dyDescent="0.25">
      <c r="A38" s="7" t="s">
        <v>63</v>
      </c>
      <c r="C38" s="26">
        <v>6.9444444444444441E-3</v>
      </c>
      <c r="E38" s="7" t="s">
        <v>70</v>
      </c>
    </row>
    <row r="39" spans="1:22" x14ac:dyDescent="0.25">
      <c r="A39" t="s">
        <v>64</v>
      </c>
      <c r="B39">
        <v>6</v>
      </c>
      <c r="C39" s="26">
        <f>$C$38*B39</f>
        <v>4.1666666666666664E-2</v>
      </c>
      <c r="E39" s="3">
        <f>A13</f>
        <v>238.52116875372664</v>
      </c>
      <c r="F39" t="s">
        <v>27</v>
      </c>
    </row>
    <row r="40" spans="1:22" x14ac:dyDescent="0.25">
      <c r="A40" t="s">
        <v>65</v>
      </c>
      <c r="B40">
        <v>8</v>
      </c>
      <c r="C40" s="26">
        <f t="shared" ref="C40:C44" si="12">$C$38*B40</f>
        <v>5.5555555555555552E-2</v>
      </c>
      <c r="E40" s="3">
        <f t="shared" ref="E40:E41" si="13">A14</f>
        <v>29.576624925462106</v>
      </c>
      <c r="F40" t="s">
        <v>28</v>
      </c>
    </row>
    <row r="41" spans="1:22" x14ac:dyDescent="0.25">
      <c r="A41" t="s">
        <v>66</v>
      </c>
      <c r="B41">
        <v>8</v>
      </c>
      <c r="C41" s="26">
        <f t="shared" si="12"/>
        <v>5.5555555555555552E-2</v>
      </c>
      <c r="E41" s="3">
        <f t="shared" si="13"/>
        <v>3.8163387000596263</v>
      </c>
      <c r="F41" t="s">
        <v>29</v>
      </c>
    </row>
    <row r="42" spans="1:22" x14ac:dyDescent="0.25">
      <c r="A42" t="s">
        <v>67</v>
      </c>
      <c r="B42">
        <v>6</v>
      </c>
      <c r="C42" s="26">
        <f>$C$38*B42</f>
        <v>4.1666666666666664E-2</v>
      </c>
      <c r="E42" s="3">
        <f>A19</f>
        <v>4052.6368515205727</v>
      </c>
      <c r="F42" t="s">
        <v>30</v>
      </c>
    </row>
    <row r="43" spans="1:22" x14ac:dyDescent="0.25">
      <c r="A43" t="s">
        <v>68</v>
      </c>
      <c r="B43">
        <v>8</v>
      </c>
      <c r="C43" s="26">
        <f t="shared" si="12"/>
        <v>5.5555555555555552E-2</v>
      </c>
      <c r="E43" s="3">
        <f>A24</f>
        <v>475.44901610017894</v>
      </c>
      <c r="F43" t="s">
        <v>62</v>
      </c>
    </row>
    <row r="44" spans="1:22" x14ac:dyDescent="0.25">
      <c r="A44" t="s">
        <v>69</v>
      </c>
      <c r="B44">
        <v>8</v>
      </c>
      <c r="C44" s="26">
        <f t="shared" si="12"/>
        <v>5.5555555555555552E-2</v>
      </c>
    </row>
  </sheetData>
  <mergeCells count="4">
    <mergeCell ref="AA14:AB14"/>
    <mergeCell ref="J1:V1"/>
    <mergeCell ref="J14:V14"/>
    <mergeCell ref="J25:V25"/>
  </mergeCells>
  <conditionalFormatting sqref="K16:V2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7:V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8:T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Culture Constraints from Austin</vt:lpstr>
      <vt:lpstr>09.09.16 Experimental Plan</vt:lpstr>
      <vt:lpstr>09.09.16 Condition Table</vt:lpstr>
      <vt:lpstr>07.17.16 Experimental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cp:lastPrinted>2016-08-18T13:21:22Z</cp:lastPrinted>
  <dcterms:created xsi:type="dcterms:W3CDTF">2016-08-17T19:22:46Z</dcterms:created>
  <dcterms:modified xsi:type="dcterms:W3CDTF">2017-05-03T13:23:17Z</dcterms:modified>
</cp:coreProperties>
</file>