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ерехвал\Белтелеком_Междуг_связь\Beltelekom\"/>
    </mc:Choice>
  </mc:AlternateContent>
  <xr:revisionPtr revIDLastSave="0" documentId="13_ncr:1_{5840D79E-43BA-45CE-B80B-3DE3B6C75C94}" xr6:coauthVersionLast="47" xr6:coauthVersionMax="47" xr10:uidLastSave="{00000000-0000-0000-0000-000000000000}"/>
  <bookViews>
    <workbookView xWindow="-120" yWindow="-120" windowWidth="29040" windowHeight="15840" firstSheet="13" activeTab="16" xr2:uid="{00000000-000D-0000-FFFF-FFFF00000000}"/>
  </bookViews>
  <sheets>
    <sheet name="изоляции задвижки" sheetId="22" state="hidden" r:id="rId1"/>
    <sheet name="Теплогенераторы" sheetId="21" state="hidden" r:id="rId2"/>
    <sheet name="замена котла" sheetId="20" state="hidden" r:id="rId3"/>
    <sheet name="окна" sheetId="18" state="hidden" r:id="rId4"/>
    <sheet name="Замена печей" sheetId="19" state="hidden" r:id="rId5"/>
    <sheet name="стены" sheetId="23" state="hidden" r:id="rId6"/>
    <sheet name="выпар" sheetId="24" state="hidden" r:id="rId7"/>
    <sheet name="Замена вент" sheetId="16" state="hidden" r:id="rId8"/>
    <sheet name="Замена насосов" sheetId="17" state="hidden" r:id="rId9"/>
    <sheet name="лампы" sheetId="15" state="hidden" r:id="rId10"/>
    <sheet name="изоляция бака и тд" sheetId="27" state="hidden" r:id="rId11"/>
    <sheet name="молоко" sheetId="25" state="hidden" r:id="rId12"/>
    <sheet name="компенсаторы реактивной мощност" sheetId="26" state="hidden" r:id="rId13"/>
    <sheet name="Программа" sheetId="1" r:id="rId14"/>
    <sheet name="Прогрессивные нормы" sheetId="4" r:id="rId15"/>
    <sheet name="Укрупненно" sheetId="28" r:id="rId16"/>
    <sheet name="1" sheetId="2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\BBB" localSheetId="6">'[1]1-энерго'!#REF!</definedName>
    <definedName name="\BBB" localSheetId="5">'[1]1-энерго'!#REF!</definedName>
    <definedName name="\BBB" localSheetId="1">'[1]1-энерго'!#REF!</definedName>
    <definedName name="\BBB">'[1]1-энерго'!#REF!</definedName>
    <definedName name="\BVF" localSheetId="6">#REF!</definedName>
    <definedName name="\BVF" localSheetId="5">#REF!</definedName>
    <definedName name="\BVF" localSheetId="1">#REF!</definedName>
    <definedName name="\BVF">#REF!</definedName>
    <definedName name="\D" localSheetId="6">'[2]1-энерго'!#REF!</definedName>
    <definedName name="\D" localSheetId="5">'[2]1-энерго'!#REF!</definedName>
    <definedName name="\D" localSheetId="1">'[2]1-энерго'!#REF!</definedName>
    <definedName name="\D">'[2]1-энерго'!#REF!</definedName>
    <definedName name="\DDD" localSheetId="6">#REF!</definedName>
    <definedName name="\DDD" localSheetId="5">#REF!</definedName>
    <definedName name="\DDD" localSheetId="1">#REF!</definedName>
    <definedName name="\DDD">#REF!</definedName>
    <definedName name="\EEE" localSheetId="6">#REF!</definedName>
    <definedName name="\EEE" localSheetId="5">#REF!</definedName>
    <definedName name="\EEE" localSheetId="1">#REF!</definedName>
    <definedName name="\EEE">#REF!</definedName>
    <definedName name="\MMM" localSheetId="6">'[2]1-энерго'!#REF!</definedName>
    <definedName name="\MMM" localSheetId="5">'[2]1-энерго'!#REF!</definedName>
    <definedName name="\MMM" localSheetId="1">'[2]1-энерго'!#REF!</definedName>
    <definedName name="\MMM">'[2]1-энерго'!#REF!</definedName>
    <definedName name="\NN" localSheetId="6">'[2]1-энерго'!#REF!</definedName>
    <definedName name="\NN" localSheetId="5">'[2]1-энерго'!#REF!</definedName>
    <definedName name="\NN" localSheetId="1">'[2]1-энерго'!#REF!</definedName>
    <definedName name="\NN">'[2]1-энерго'!#REF!</definedName>
    <definedName name="\QQQ" localSheetId="6">'[3]1-энерго'!#REF!</definedName>
    <definedName name="\QQQ" localSheetId="5">'[3]1-энерго'!#REF!</definedName>
    <definedName name="\QQQ" localSheetId="1">'[3]1-энерго'!#REF!</definedName>
    <definedName name="\QQQ">'[3]1-энерго'!#REF!</definedName>
    <definedName name="\uuu" localSheetId="6">'[1]1-энерго'!#REF!</definedName>
    <definedName name="\uuu" localSheetId="5">'[1]1-энерго'!#REF!</definedName>
    <definedName name="\uuu" localSheetId="1">'[1]1-энерго'!#REF!</definedName>
    <definedName name="\uuu">'[1]1-энерго'!#REF!</definedName>
    <definedName name="\YYY" localSheetId="6">'[4]1-энерго'!#REF!</definedName>
    <definedName name="\YYY" localSheetId="5">'[4]1-энерго'!#REF!</definedName>
    <definedName name="\YYY" localSheetId="1">'[4]1-энерго'!#REF!</definedName>
    <definedName name="\YYY">'[4]1-энерго'!#REF!</definedName>
    <definedName name="\Z" localSheetId="6">'[2]1-энерго'!#REF!</definedName>
    <definedName name="\Z" localSheetId="2">'[2]1-энерго'!#REF!</definedName>
    <definedName name="\Z" localSheetId="13">'[5]1-энерго'!#REF!</definedName>
    <definedName name="\Z" localSheetId="5">'[2]1-энерго'!#REF!</definedName>
    <definedName name="\Z" localSheetId="1">'[2]1-энерго'!#REF!</definedName>
    <definedName name="\Z">'[5]1-энерго'!#REF!</definedName>
    <definedName name="_Toc478983093" localSheetId="13">Программа!#REF!</definedName>
    <definedName name="_Toc485721947" localSheetId="13">Программа!#REF!</definedName>
    <definedName name="_Toc519014512" localSheetId="13">Программа!#REF!</definedName>
    <definedName name="_Toc534293258" localSheetId="13">Программа!#REF!</definedName>
    <definedName name="Bплан">'[6]уд. по КГУ'!$E$2</definedName>
    <definedName name="DA_602" localSheetId="6">#REF!</definedName>
    <definedName name="DA_602">#REF!</definedName>
    <definedName name="DA_602_1" localSheetId="6">#REF!</definedName>
    <definedName name="DA_602_1">#REF!</definedName>
    <definedName name="DA_622" localSheetId="6">#REF!</definedName>
    <definedName name="DA_622">#REF!</definedName>
    <definedName name="DA_622_1" localSheetId="6">#REF!</definedName>
    <definedName name="DA_622_1">#REF!</definedName>
    <definedName name="Database">#REF!</definedName>
    <definedName name="Excel_BuiltIn__FilterDatabase_2" localSheetId="6">#REF!</definedName>
    <definedName name="Excel_BuiltIn__FilterDatabase_2">#REF!</definedName>
    <definedName name="Excel_BuiltIn__FilterDatabase_2_1" localSheetId="6">#REF!</definedName>
    <definedName name="Excel_BuiltIn__FilterDatabase_2_1">#REF!</definedName>
    <definedName name="Excel_BuiltIn_Database" localSheetId="6">#REF!</definedName>
    <definedName name="Excel_BuiltIn_Database">#REF!</definedName>
    <definedName name="Excel_BuiltIn_Database_1" localSheetId="6">#REF!</definedName>
    <definedName name="Excel_BuiltIn_Database_1">#REF!</definedName>
    <definedName name="Excel_BuiltIn_Database_1_1" localSheetId="6">#REF!</definedName>
    <definedName name="Excel_BuiltIn_Database_1_1">#REF!</definedName>
    <definedName name="Excel_BuiltIn_Database_1_1_1" localSheetId="6">#REF!</definedName>
    <definedName name="Excel_BuiltIn_Database_1_1_1">#REF!</definedName>
    <definedName name="ffff" localSheetId="6">#REF!</definedName>
    <definedName name="ffff">#REF!</definedName>
    <definedName name="ffff_1" localSheetId="6">#REF!</definedName>
    <definedName name="ffff_1">#REF!</definedName>
    <definedName name="k">'[6]уд. по КГУ'!$E$17</definedName>
    <definedName name="KKK" localSheetId="6">'[7]1-энерго'!#REF!</definedName>
    <definedName name="KKK" localSheetId="5">'[7]1-энерго'!#REF!</definedName>
    <definedName name="KKK" localSheetId="1">'[7]1-энерго'!#REF!</definedName>
    <definedName name="KKK">'[7]1-энерго'!#REF!</definedName>
    <definedName name="M_6100_ГЭ" localSheetId="6">#REF!</definedName>
    <definedName name="M_6100_ГЭ">#REF!</definedName>
    <definedName name="M_6100_ГЭ_1" localSheetId="6">#REF!</definedName>
    <definedName name="M_6100_ГЭ_1">#REF!</definedName>
    <definedName name="n">'[6]уд. по КГУ'!$E$3</definedName>
    <definedName name="Print_Area" localSheetId="6">#REF!</definedName>
    <definedName name="Print_Area" localSheetId="13">Программа!$A$1:$U$105</definedName>
    <definedName name="Print_Area">#REF!</definedName>
    <definedName name="Print_Titles" localSheetId="13">Программа!$2:$4</definedName>
    <definedName name="rr" localSheetId="6">'[2]1-энерго'!#REF!</definedName>
    <definedName name="rr" localSheetId="2">'[2]1-энерго'!#REF!</definedName>
    <definedName name="rr" localSheetId="5">'[2]1-энерго'!#REF!</definedName>
    <definedName name="rr" localSheetId="1">'[2]1-энерго'!#REF!</definedName>
    <definedName name="rr">'[8]1-энерго'!#REF!</definedName>
    <definedName name="sew" localSheetId="6">'[9]1-энерго'!#REF!</definedName>
    <definedName name="sew" localSheetId="5">'[9]1-энерго'!#REF!</definedName>
    <definedName name="sew" localSheetId="1">'[9]1-энерго'!#REF!</definedName>
    <definedName name="sew">'[9]1-энерго'!#REF!</definedName>
    <definedName name="tнв1">'[10]ОВ пластик'!$J$1</definedName>
    <definedName name="tнв2">'[10]ОВ пластик'!$J$2</definedName>
    <definedName name="tнв3">'[10]ОВ пластик'!$J$3</definedName>
    <definedName name="tнот">'[10]ОВ пластик'!$D$3</definedName>
    <definedName name="YCHET" localSheetId="6">'[2]1-энерго'!#REF!</definedName>
    <definedName name="YCHET" localSheetId="2">'[2]1-энерго'!#REF!</definedName>
    <definedName name="YCHET" localSheetId="13">'[5]1-энерго'!#REF!</definedName>
    <definedName name="YCHET" localSheetId="5">'[2]1-энерго'!#REF!</definedName>
    <definedName name="YCHET" localSheetId="1">'[2]1-энерго'!#REF!</definedName>
    <definedName name="YCHET">'[5]1-энерго'!#REF!</definedName>
    <definedName name="zrt" localSheetId="6">'[11]1-энерго'!#REF!</definedName>
    <definedName name="zrt" localSheetId="5">'[11]1-энерго'!#REF!</definedName>
    <definedName name="zrt" localSheetId="1">'[11]1-энерго'!#REF!</definedName>
    <definedName name="zrt">'[11]1-энерго'!#REF!</definedName>
    <definedName name="Zот">'[10]ОВ пластик'!$D$2</definedName>
    <definedName name="Zот1">[12]ОВ!$H$1</definedName>
    <definedName name="Zот2">[12]ОВ!$H$2</definedName>
    <definedName name="Zот4">[12]ОВ!$H$3</definedName>
    <definedName name="а1845" localSheetId="6">#REF!</definedName>
    <definedName name="а1845" localSheetId="5">#REF!</definedName>
    <definedName name="а1845" localSheetId="1">#REF!</definedName>
    <definedName name="а1845">#REF!</definedName>
    <definedName name="ааа" localSheetId="6">#REF!</definedName>
    <definedName name="ааа" localSheetId="5">#REF!</definedName>
    <definedName name="ааа" localSheetId="1">#REF!</definedName>
    <definedName name="ааа">#REF!</definedName>
    <definedName name="б" localSheetId="6">'[13]1-энерго'!#REF!</definedName>
    <definedName name="б" localSheetId="2">'[13]1-энерго'!#REF!</definedName>
    <definedName name="б" localSheetId="5">'[13]1-энерго'!#REF!</definedName>
    <definedName name="б" localSheetId="1">'[13]1-энерго'!#REF!</definedName>
    <definedName name="б">'[14]1-энерго'!#REF!</definedName>
    <definedName name="баланстэ" localSheetId="6">#REF!</definedName>
    <definedName name="баланстэ">#REF!</definedName>
    <definedName name="Банк" localSheetId="6">#REF!</definedName>
    <definedName name="Банк" localSheetId="2">#REF!</definedName>
    <definedName name="Банк" localSheetId="13">#REF!</definedName>
    <definedName name="Банк" localSheetId="5">#REF!</definedName>
    <definedName name="Банк" localSheetId="1">#REF!</definedName>
    <definedName name="Банк">#REF!</definedName>
    <definedName name="Банк1" localSheetId="6">#REF!</definedName>
    <definedName name="Банк1" localSheetId="2">#REF!</definedName>
    <definedName name="Банк1" localSheetId="13">#REF!</definedName>
    <definedName name="Банк1" localSheetId="5">#REF!</definedName>
    <definedName name="Банк1" localSheetId="1">#REF!</definedName>
    <definedName name="Банк1">#REF!</definedName>
    <definedName name="Банк2" localSheetId="6">#REF!</definedName>
    <definedName name="Банк2" localSheetId="2">#REF!</definedName>
    <definedName name="Банк2" localSheetId="13">#REF!</definedName>
    <definedName name="Банк2" localSheetId="5">#REF!</definedName>
    <definedName name="Банк2" localSheetId="1">#REF!</definedName>
    <definedName name="Банк2">#REF!</definedName>
    <definedName name="БИК" localSheetId="6">#REF!</definedName>
    <definedName name="БИК" localSheetId="2">#REF!</definedName>
    <definedName name="БИК" localSheetId="13">#REF!</definedName>
    <definedName name="БИК" localSheetId="5">#REF!</definedName>
    <definedName name="БИК" localSheetId="1">#REF!</definedName>
    <definedName name="БИК">#REF!</definedName>
    <definedName name="БИК1" localSheetId="6">#REF!</definedName>
    <definedName name="БИК1" localSheetId="2">#REF!</definedName>
    <definedName name="БИК1" localSheetId="13">#REF!</definedName>
    <definedName name="БИК1" localSheetId="5">#REF!</definedName>
    <definedName name="БИК1" localSheetId="1">#REF!</definedName>
    <definedName name="БИК1">#REF!</definedName>
    <definedName name="БИК2" localSheetId="6">#REF!</definedName>
    <definedName name="БИК2" localSheetId="2">#REF!</definedName>
    <definedName name="БИК2" localSheetId="13">#REF!</definedName>
    <definedName name="БИК2" localSheetId="5">#REF!</definedName>
    <definedName name="БИК2" localSheetId="1">#REF!</definedName>
    <definedName name="БИК2">#REF!</definedName>
    <definedName name="Бл.элект." localSheetId="6">#REF!</definedName>
    <definedName name="Бл.элект.">#REF!</definedName>
    <definedName name="Бл.элект._1" localSheetId="6">#REF!</definedName>
    <definedName name="Бл.элект._1">#REF!</definedName>
    <definedName name="Бл.элект._1_1" localSheetId="6">#REF!</definedName>
    <definedName name="Бл.элект._1_1">#REF!</definedName>
    <definedName name="Бл.элект._1_1_1" localSheetId="6">#REF!</definedName>
    <definedName name="Бл.элект._1_1_1">#REF!</definedName>
    <definedName name="Бл.элект._2" localSheetId="6">#REF!</definedName>
    <definedName name="Бл.элект._2">#REF!</definedName>
    <definedName name="Бл.элект._2_1" localSheetId="6">#REF!</definedName>
    <definedName name="Бл.элект._2_1">#REF!</definedName>
    <definedName name="ввыа" localSheetId="6">#REF!</definedName>
    <definedName name="ввыа" localSheetId="5">#REF!</definedName>
    <definedName name="ввыа" localSheetId="1">#REF!</definedName>
    <definedName name="ввыа">#REF!</definedName>
    <definedName name="веко" localSheetId="6">#REF!</definedName>
    <definedName name="веко" localSheetId="5">#REF!</definedName>
    <definedName name="веко" localSheetId="1">#REF!</definedName>
    <definedName name="веко">#REF!</definedName>
    <definedName name="вент" localSheetId="6">#REF!</definedName>
    <definedName name="вент">#REF!</definedName>
    <definedName name="Вид_опл" localSheetId="6">#REF!</definedName>
    <definedName name="Вид_опл" localSheetId="2">#REF!</definedName>
    <definedName name="Вид_опл" localSheetId="13">#REF!</definedName>
    <definedName name="Вид_опл" localSheetId="5">#REF!</definedName>
    <definedName name="Вид_опл" localSheetId="1">#REF!</definedName>
    <definedName name="Вид_опл">#REF!</definedName>
    <definedName name="Вид_платежа" localSheetId="6">#REF!</definedName>
    <definedName name="Вид_платежа" localSheetId="2">#REF!</definedName>
    <definedName name="Вид_платежа" localSheetId="13">#REF!</definedName>
    <definedName name="Вид_платежа" localSheetId="5">#REF!</definedName>
    <definedName name="Вид_платежа" localSheetId="1">#REF!</definedName>
    <definedName name="Вид_платежа">#REF!</definedName>
    <definedName name="Винты" localSheetId="6">#REF!</definedName>
    <definedName name="Винты">#REF!</definedName>
    <definedName name="Винты_1" localSheetId="6">#REF!</definedName>
    <definedName name="Винты_1">#REF!</definedName>
    <definedName name="Винты_1_1" localSheetId="6">#REF!</definedName>
    <definedName name="Винты_1_1">#REF!</definedName>
    <definedName name="Винты_1_1_1" localSheetId="6">#REF!</definedName>
    <definedName name="Винты_1_1_1">#REF!</definedName>
    <definedName name="Винты_2" localSheetId="6">#REF!</definedName>
    <definedName name="Винты_2">#REF!</definedName>
    <definedName name="Винты_2_1" localSheetId="6">#REF!</definedName>
    <definedName name="Винты_2_1">#REF!</definedName>
    <definedName name="вке" localSheetId="6">'[11]1-энерго'!#REF!</definedName>
    <definedName name="вке" localSheetId="5">'[11]1-энерго'!#REF!</definedName>
    <definedName name="вке" localSheetId="1">'[11]1-энерго'!#REF!</definedName>
    <definedName name="вке">'[11]1-энерго'!#REF!</definedName>
    <definedName name="вкр" localSheetId="6">'[15]1-энерго'!#REF!</definedName>
    <definedName name="вкр" localSheetId="5">'[15]1-энерго'!#REF!</definedName>
    <definedName name="вкр" localSheetId="1">'[15]1-энерго'!#REF!</definedName>
    <definedName name="вкр">'[15]1-энерго'!#REF!</definedName>
    <definedName name="ВО_ДА" localSheetId="6">#REF!</definedName>
    <definedName name="ВО_ДА">#REF!</definedName>
    <definedName name="ВО_ДА_1" localSheetId="6">#REF!</definedName>
    <definedName name="ВО_ДА_1">#REF!</definedName>
    <definedName name="вода" localSheetId="6">'[11]1-энерго'!#REF!</definedName>
    <definedName name="вода" localSheetId="2">'[11]1-энерго'!#REF!</definedName>
    <definedName name="вода" localSheetId="13">'[16]1-энерго'!#REF!</definedName>
    <definedName name="вода" localSheetId="5">'[11]1-энерго'!#REF!</definedName>
    <definedName name="вода" localSheetId="1">'[11]1-энерго'!#REF!</definedName>
    <definedName name="вода">'[16]1-энерго'!#REF!</definedName>
    <definedName name="водо" localSheetId="6">'[17]1-энерго'!#REF!</definedName>
    <definedName name="водо" localSheetId="5">'[17]1-энерго'!#REF!</definedName>
    <definedName name="водо" localSheetId="1">'[17]1-энерго'!#REF!</definedName>
    <definedName name="водо">'[17]1-энерго'!#REF!</definedName>
    <definedName name="вр" localSheetId="6">#REF!</definedName>
    <definedName name="вр" localSheetId="5">#REF!</definedName>
    <definedName name="вр" localSheetId="1">#REF!</definedName>
    <definedName name="вр">#REF!</definedName>
    <definedName name="г.в." localSheetId="6">'[11]1-энерго'!#REF!</definedName>
    <definedName name="г.в." localSheetId="2">'[11]1-энерго'!#REF!</definedName>
    <definedName name="г.в." localSheetId="13">'[16]1-энерго'!#REF!</definedName>
    <definedName name="г.в." localSheetId="5">'[11]1-энерго'!#REF!</definedName>
    <definedName name="г.в." localSheetId="1">'[11]1-энерго'!#REF!</definedName>
    <definedName name="г.в.">'[16]1-энерго'!#REF!</definedName>
    <definedName name="ГОД" localSheetId="6">#REF!,#REF!,#REF!,#REF!,#REF!,#REF!,#REF!,#REF!</definedName>
    <definedName name="ГОД">#REF!,#REF!,#REF!,#REF!,#REF!,#REF!,#REF!,#REF!</definedName>
    <definedName name="ГОД_1" localSheetId="6">(#REF!,#REF!,#REF!,#REF!,#REF!,#REF!,#REF!,#REF!)</definedName>
    <definedName name="ГОД_1">(#REF!,#REF!,#REF!,#REF!,#REF!,#REF!,#REF!,#REF!)</definedName>
    <definedName name="График" localSheetId="6">'[18]1-энерго'!#REF!</definedName>
    <definedName name="График" localSheetId="5">'[18]1-энерго'!#REF!</definedName>
    <definedName name="График" localSheetId="1">'[18]1-энерго'!#REF!</definedName>
    <definedName name="График">'[18]1-энерго'!#REF!</definedName>
    <definedName name="ГЭ" localSheetId="6">#REF!</definedName>
    <definedName name="ГЭ">#REF!</definedName>
    <definedName name="ГЭ_1" localSheetId="6">#REF!</definedName>
    <definedName name="ГЭ_1">#REF!</definedName>
    <definedName name="д23" localSheetId="6">#REF!</definedName>
    <definedName name="д23" localSheetId="2">#REF!</definedName>
    <definedName name="д23" localSheetId="5">#REF!</definedName>
    <definedName name="д23" localSheetId="1">#REF!</definedName>
    <definedName name="д23">#REF!</definedName>
    <definedName name="ДА622" localSheetId="6">#REF!</definedName>
    <definedName name="ДА622">#REF!</definedName>
    <definedName name="ДА622_1" localSheetId="6">#REF!</definedName>
    <definedName name="ДА622_1">#REF!</definedName>
    <definedName name="Дата" localSheetId="6">#REF!</definedName>
    <definedName name="Дата" localSheetId="2">#REF!</definedName>
    <definedName name="Дата" localSheetId="13">#REF!</definedName>
    <definedName name="Дата" localSheetId="5">#REF!</definedName>
    <definedName name="Дата" localSheetId="1">#REF!</definedName>
    <definedName name="Дата">#REF!</definedName>
    <definedName name="Динамика" localSheetId="6">'[18]1-энерго'!#REF!</definedName>
    <definedName name="Динамика" localSheetId="5">'[18]1-энерго'!#REF!</definedName>
    <definedName name="Динамика" localSheetId="1">'[18]1-энерго'!#REF!</definedName>
    <definedName name="Динамика">'[18]1-энерго'!#REF!</definedName>
    <definedName name="ДСЕ_Саша" localSheetId="6">#REF!</definedName>
    <definedName name="ДСЕ_Саша">#REF!</definedName>
    <definedName name="ДСЕ_Саша_1" localSheetId="6">#REF!</definedName>
    <definedName name="ДСЕ_Саша_1">#REF!</definedName>
    <definedName name="е" localSheetId="6">#REF!</definedName>
    <definedName name="е">#REF!</definedName>
    <definedName name="ЕОГ" localSheetId="6">#REF!</definedName>
    <definedName name="ЕОГ" localSheetId="5">#REF!</definedName>
    <definedName name="ЕОГ" localSheetId="1">#REF!</definedName>
    <definedName name="ЕОГ">#REF!</definedName>
    <definedName name="ждг" localSheetId="6">'[15]1-энерго'!#REF!</definedName>
    <definedName name="ждг" localSheetId="5">'[15]1-энерго'!#REF!</definedName>
    <definedName name="ждг" localSheetId="1">'[15]1-энерго'!#REF!</definedName>
    <definedName name="ждг">'[15]1-энерго'!#REF!</definedName>
    <definedName name="ждш" localSheetId="6">'[19]1-энерго'!#REF!</definedName>
    <definedName name="ждш" localSheetId="5">'[19]1-энерго'!#REF!</definedName>
    <definedName name="ждш" localSheetId="1">'[19]1-энерго'!#REF!</definedName>
    <definedName name="ждш">'[19]1-энерго'!#REF!</definedName>
    <definedName name="_xlnm.Print_Titles" localSheetId="2">'замена котла'!$2:$3</definedName>
    <definedName name="_xlnm.Print_Titles" localSheetId="13">Программа!$2:$4</definedName>
    <definedName name="Заголовок_списка" localSheetId="6">#REF!</definedName>
    <definedName name="Заголовок_списка" localSheetId="2">#REF!</definedName>
    <definedName name="Заголовок_списка" localSheetId="13">#REF!</definedName>
    <definedName name="Заголовок_списка" localSheetId="5">#REF!</definedName>
    <definedName name="Заголовок_списка" localSheetId="1">#REF!</definedName>
    <definedName name="Заголовок_списка">#REF!</definedName>
    <definedName name="и" localSheetId="6">'[20]1-энерго'!#REF!</definedName>
    <definedName name="и" localSheetId="2">'[20]1-энерго'!#REF!</definedName>
    <definedName name="и" localSheetId="5">'[20]1-энерго'!#REF!</definedName>
    <definedName name="и" localSheetId="1">'[20]1-энерго'!#REF!</definedName>
    <definedName name="и">'[21]1-энерго'!#REF!</definedName>
    <definedName name="Изд.дальн.пер." localSheetId="6">#REF!</definedName>
    <definedName name="Изд.дальн.пер.">#REF!</definedName>
    <definedName name="изд.дальн.пер._" localSheetId="6">#REF!</definedName>
    <definedName name="изд.дальн.пер._">#REF!</definedName>
    <definedName name="изд.дальн.пер.__1" localSheetId="6">#REF!</definedName>
    <definedName name="изд.дальн.пер.__1">#REF!</definedName>
    <definedName name="Изд.дальн.пер._1" localSheetId="6">#REF!</definedName>
    <definedName name="Изд.дальн.пер._1">#REF!</definedName>
    <definedName name="Изд.дальн.пер._1_1" localSheetId="6">#REF!</definedName>
    <definedName name="Изд.дальн.пер._1_1">#REF!</definedName>
    <definedName name="Изд.дальн.пер._1_1_1" localSheetId="6">#REF!</definedName>
    <definedName name="Изд.дальн.пер._1_1_1">#REF!</definedName>
    <definedName name="Изд.дальн.пер._2" localSheetId="6">#REF!</definedName>
    <definedName name="Изд.дальн.пер._2">#REF!</definedName>
    <definedName name="Изд.дальн.пер._2_1" localSheetId="6">#REF!</definedName>
    <definedName name="Изд.дальн.пер._2_1">#REF!</definedName>
    <definedName name="ии" localSheetId="6">'[13]1-энерго'!#REF!</definedName>
    <definedName name="ии" localSheetId="2">'[13]1-энерго'!#REF!</definedName>
    <definedName name="ии" localSheetId="5">'[13]1-энерго'!#REF!</definedName>
    <definedName name="ии" localSheetId="1">'[13]1-энерго'!#REF!</definedName>
    <definedName name="ии">'[14]1-энерго'!#REF!</definedName>
    <definedName name="ИНН" localSheetId="6">#REF!</definedName>
    <definedName name="ИНН" localSheetId="2">#REF!</definedName>
    <definedName name="ИНН" localSheetId="13">#REF!</definedName>
    <definedName name="ИНН" localSheetId="5">#REF!</definedName>
    <definedName name="ИНН" localSheetId="1">#REF!</definedName>
    <definedName name="ИНН">#REF!</definedName>
    <definedName name="ИНН1" localSheetId="6">#REF!</definedName>
    <definedName name="ИНН1" localSheetId="2">#REF!</definedName>
    <definedName name="ИНН1" localSheetId="13">#REF!</definedName>
    <definedName name="ИНН1" localSheetId="5">#REF!</definedName>
    <definedName name="ИНН1" localSheetId="1">#REF!</definedName>
    <definedName name="ИНН1">#REF!</definedName>
    <definedName name="ИНН2" localSheetId="6">#REF!</definedName>
    <definedName name="ИНН2" localSheetId="2">#REF!</definedName>
    <definedName name="ИНН2" localSheetId="13">#REF!</definedName>
    <definedName name="ИНН2" localSheetId="5">#REF!</definedName>
    <definedName name="ИНН2" localSheetId="1">#REF!</definedName>
    <definedName name="ИНН2">#REF!</definedName>
    <definedName name="к" localSheetId="6">#REF!</definedName>
    <definedName name="к">#REF!</definedName>
    <definedName name="кал" localSheetId="6">#REF!</definedName>
    <definedName name="кал" localSheetId="2">#REF!</definedName>
    <definedName name="кал" localSheetId="13">#REF!</definedName>
    <definedName name="кал" localSheetId="5">#REF!</definedName>
    <definedName name="кал" localSheetId="1">#REF!</definedName>
    <definedName name="кал">#REF!</definedName>
    <definedName name="КалорийностьПлан">8043</definedName>
    <definedName name="КалорФактАвг">8087</definedName>
    <definedName name="КалорФактАпр">8055</definedName>
    <definedName name="КалорФактДек">8054</definedName>
    <definedName name="КалорФактИюл">8077</definedName>
    <definedName name="КалорФактИюн">8093</definedName>
    <definedName name="КалорФактМай">8061</definedName>
    <definedName name="КалорФактМар">8048</definedName>
    <definedName name="КалорФактНоя">8056</definedName>
    <definedName name="КалорФактОкт">8059</definedName>
    <definedName name="КалорФактСен">8075</definedName>
    <definedName name="КалорФактФев">8028</definedName>
    <definedName name="КалорФактЯнв">8039</definedName>
    <definedName name="карк" localSheetId="6">#REF!</definedName>
    <definedName name="карк">#REF!</definedName>
    <definedName name="карк_1" localSheetId="6">#REF!</definedName>
    <definedName name="карк_1">#REF!</definedName>
    <definedName name="Квартала" localSheetId="6">#REF!</definedName>
    <definedName name="Квартала">#REF!</definedName>
    <definedName name="Квартала_1" localSheetId="6">#REF!</definedName>
    <definedName name="Квартала_1">#REF!</definedName>
    <definedName name="Код" localSheetId="6">#REF!</definedName>
    <definedName name="Код" localSheetId="2">#REF!</definedName>
    <definedName name="Код" localSheetId="13">#REF!</definedName>
    <definedName name="Код" localSheetId="5">#REF!</definedName>
    <definedName name="Код" localSheetId="1">#REF!</definedName>
    <definedName name="Код">#REF!</definedName>
    <definedName name="Кол_копий" localSheetId="6">#REF!</definedName>
    <definedName name="Кол_копий" localSheetId="2">#REF!</definedName>
    <definedName name="Кол_копий" localSheetId="13">#REF!</definedName>
    <definedName name="Кол_копий" localSheetId="5">#REF!</definedName>
    <definedName name="Кол_копий" localSheetId="1">#REF!</definedName>
    <definedName name="Кол_копий">#REF!</definedName>
    <definedName name="компрессорная2" localSheetId="6">#REF!</definedName>
    <definedName name="компрессорная2">#REF!</definedName>
    <definedName name="Корсчёт" localSheetId="6">#REF!</definedName>
    <definedName name="Корсчёт" localSheetId="2">#REF!</definedName>
    <definedName name="Корсчёт" localSheetId="13">#REF!</definedName>
    <definedName name="Корсчёт" localSheetId="5">#REF!</definedName>
    <definedName name="Корсчёт" localSheetId="1">#REF!</definedName>
    <definedName name="Корсчёт">#REF!</definedName>
    <definedName name="Корсчёт1" localSheetId="6">#REF!</definedName>
    <definedName name="Корсчёт1" localSheetId="2">#REF!</definedName>
    <definedName name="Корсчёт1" localSheetId="13">#REF!</definedName>
    <definedName name="Корсчёт1" localSheetId="5">#REF!</definedName>
    <definedName name="Корсчёт1" localSheetId="1">#REF!</definedName>
    <definedName name="Корсчёт1">#REF!</definedName>
    <definedName name="Корсчёт2" localSheetId="6">#REF!</definedName>
    <definedName name="Корсчёт2" localSheetId="2">#REF!</definedName>
    <definedName name="Корсчёт2" localSheetId="13">#REF!</definedName>
    <definedName name="Корсчёт2" localSheetId="5">#REF!</definedName>
    <definedName name="Корсчёт2" localSheetId="1">#REF!</definedName>
    <definedName name="Корсчёт2">#REF!</definedName>
    <definedName name="л" localSheetId="6">#REF!</definedName>
    <definedName name="л" localSheetId="2">#REF!</definedName>
    <definedName name="л" localSheetId="13">'[22]1-энерго'!#REF!</definedName>
    <definedName name="л" localSheetId="5">#REF!</definedName>
    <definedName name="л" localSheetId="1">#REF!</definedName>
    <definedName name="л">'[22]1-энерго'!#REF!</definedName>
    <definedName name="Л.нерж" localSheetId="6">#REF!</definedName>
    <definedName name="Л.нерж">#REF!</definedName>
    <definedName name="Л.нерж_1" localSheetId="6">#REF!</definedName>
    <definedName name="Л.нерж_1">#REF!</definedName>
    <definedName name="Л.нерж_1_1" localSheetId="6">#REF!</definedName>
    <definedName name="Л.нерж_1_1">#REF!</definedName>
    <definedName name="Л.нерж_1_1_1" localSheetId="6">#REF!</definedName>
    <definedName name="Л.нерж_1_1_1">#REF!</definedName>
    <definedName name="Л.нерж_2" localSheetId="6">#REF!</definedName>
    <definedName name="Л.нерж_2">#REF!</definedName>
    <definedName name="Л.нерж_2_1" localSheetId="6">#REF!</definedName>
    <definedName name="Л.нерж_2_1">#REF!</definedName>
    <definedName name="Латунь" localSheetId="6">#REF!</definedName>
    <definedName name="Латунь">#REF!</definedName>
    <definedName name="Латунь_1" localSheetId="6">#REF!</definedName>
    <definedName name="Латунь_1">#REF!</definedName>
    <definedName name="Латунь_1_1" localSheetId="6">#REF!</definedName>
    <definedName name="Латунь_1_1">#REF!</definedName>
    <definedName name="Латунь_1_1_1" localSheetId="6">#REF!</definedName>
    <definedName name="Латунь_1_1_1">#REF!</definedName>
    <definedName name="Латунь_2" localSheetId="6">#REF!</definedName>
    <definedName name="Латунь_2">#REF!</definedName>
    <definedName name="Латунь_2_1" localSheetId="6">#REF!</definedName>
    <definedName name="Латунь_2_1">#REF!</definedName>
    <definedName name="Лента_нерж" localSheetId="6">#REF!</definedName>
    <definedName name="Лента_нерж">#REF!</definedName>
    <definedName name="Лента_нерж_1" localSheetId="6">#REF!</definedName>
    <definedName name="Лента_нерж_1">#REF!</definedName>
    <definedName name="Лента_нерж_1_1" localSheetId="6">#REF!</definedName>
    <definedName name="Лента_нерж_1_1">#REF!</definedName>
    <definedName name="Лента_нерж_1_1_1" localSheetId="6">#REF!</definedName>
    <definedName name="Лента_нерж_1_1_1">#REF!</definedName>
    <definedName name="Лента_нерж_2" localSheetId="6">#REF!</definedName>
    <definedName name="Лента_нерж_2">#REF!</definedName>
    <definedName name="Лента_нерж_2_1" localSheetId="6">#REF!</definedName>
    <definedName name="Лента_нерж_2_1">#REF!</definedName>
    <definedName name="Лента_ст" localSheetId="6">#REF!</definedName>
    <definedName name="Лента_ст">#REF!</definedName>
    <definedName name="Лента_ст_1" localSheetId="6">#REF!</definedName>
    <definedName name="Лента_ст_1">#REF!</definedName>
    <definedName name="Лента_ст_1_1" localSheetId="6">#REF!</definedName>
    <definedName name="Лента_ст_1_1">#REF!</definedName>
    <definedName name="Лента_ст_1_1_1" localSheetId="6">#REF!</definedName>
    <definedName name="Лента_ст_1_1_1">#REF!</definedName>
    <definedName name="Лента_ст_2" localSheetId="6">#REF!</definedName>
    <definedName name="Лента_ст_2">#REF!</definedName>
    <definedName name="Лента_ст_2_1" localSheetId="6">#REF!</definedName>
    <definedName name="Лента_ст_2_1">#REF!</definedName>
    <definedName name="Литер" localSheetId="6">'[18]1-энерго'!#REF!</definedName>
    <definedName name="Литер" localSheetId="5">'[18]1-энерго'!#REF!</definedName>
    <definedName name="Литер" localSheetId="1">'[18]1-энерго'!#REF!</definedName>
    <definedName name="Литер">'[18]1-энерго'!#REF!</definedName>
    <definedName name="м" localSheetId="6">'[1]1-энерго'!#REF!</definedName>
    <definedName name="м" localSheetId="2">'[1]1-энерго'!#REF!</definedName>
    <definedName name="м" localSheetId="13">'[22]1-энерго'!#REF!</definedName>
    <definedName name="м" localSheetId="5">'[1]1-энерго'!#REF!</definedName>
    <definedName name="м" localSheetId="1">'[1]1-энерго'!#REF!</definedName>
    <definedName name="м">'[22]1-энерго'!#REF!</definedName>
    <definedName name="м1" localSheetId="6">'[4]1-энерго'!#REF!</definedName>
    <definedName name="м1" localSheetId="2">'[4]1-энерго'!#REF!</definedName>
    <definedName name="м1" localSheetId="13">'[23]1-энерго'!#REF!</definedName>
    <definedName name="м1" localSheetId="5">'[4]1-энерго'!#REF!</definedName>
    <definedName name="м1" localSheetId="1">'[4]1-энерго'!#REF!</definedName>
    <definedName name="м1">'[23]1-энерго'!#REF!</definedName>
    <definedName name="маг" localSheetId="6">#REF!</definedName>
    <definedName name="маг" localSheetId="5">#REF!</definedName>
    <definedName name="маг" localSheetId="1">#REF!</definedName>
    <definedName name="маг">#REF!</definedName>
    <definedName name="Мерпр" localSheetId="6">'[15]1-энерго'!#REF!</definedName>
    <definedName name="Мерпр" localSheetId="2">'[15]1-энерго'!#REF!</definedName>
    <definedName name="Мерпр" localSheetId="13">'[24]1-энерго'!#REF!</definedName>
    <definedName name="Мерпр" localSheetId="5">'[15]1-энерго'!#REF!</definedName>
    <definedName name="Мерпр" localSheetId="1">'[15]1-энерго'!#REF!</definedName>
    <definedName name="Мерпр">'[24]1-энерго'!#REF!</definedName>
    <definedName name="ммм" localSheetId="6">'[1]1-энерго'!#REF!</definedName>
    <definedName name="ммм" localSheetId="2">'[1]1-энерго'!#REF!</definedName>
    <definedName name="ммм" localSheetId="5">'[1]1-энерго'!#REF!</definedName>
    <definedName name="ммм" localSheetId="1">'[1]1-энерго'!#REF!</definedName>
    <definedName name="ммм">'[25]1-энерго'!#REF!</definedName>
    <definedName name="н" localSheetId="6">'[7]1-энерго'!#REF!</definedName>
    <definedName name="н" localSheetId="2">'[7]1-энерго'!#REF!</definedName>
    <definedName name="н" localSheetId="13">'[26]1-энерго'!#REF!</definedName>
    <definedName name="н" localSheetId="5">'[7]1-энерго'!#REF!</definedName>
    <definedName name="н" localSheetId="1">'[7]1-энерго'!#REF!</definedName>
    <definedName name="н">'[26]1-энерго'!#REF!</definedName>
    <definedName name="Наз_пл" localSheetId="6">#REF!</definedName>
    <definedName name="Наз_пл" localSheetId="2">#REF!</definedName>
    <definedName name="Наз_пл" localSheetId="13">#REF!</definedName>
    <definedName name="Наз_пл" localSheetId="5">#REF!</definedName>
    <definedName name="Наз_пл" localSheetId="1">#REF!</definedName>
    <definedName name="Наз_пл">#REF!</definedName>
    <definedName name="Назначение" localSheetId="6">#REF!</definedName>
    <definedName name="Назначение" localSheetId="2">#REF!</definedName>
    <definedName name="Назначение" localSheetId="13">#REF!</definedName>
    <definedName name="Назначение" localSheetId="5">#REF!</definedName>
    <definedName name="Назначение" localSheetId="1">#REF!</definedName>
    <definedName name="Назначение">#REF!</definedName>
    <definedName name="Наименование" localSheetId="6">#REF!</definedName>
    <definedName name="Наименование" localSheetId="2">#REF!</definedName>
    <definedName name="Наименование" localSheetId="13">#REF!</definedName>
    <definedName name="Наименование" localSheetId="5">#REF!</definedName>
    <definedName name="Наименование" localSheetId="1">#REF!</definedName>
    <definedName name="Наименование">#REF!</definedName>
    <definedName name="Номер" localSheetId="6">#REF!</definedName>
    <definedName name="Номер" localSheetId="2">#REF!</definedName>
    <definedName name="Номер" localSheetId="13">#REF!</definedName>
    <definedName name="Номер" localSheetId="5">#REF!</definedName>
    <definedName name="Номер" localSheetId="1">#REF!</definedName>
    <definedName name="Номер">#REF!</definedName>
    <definedName name="о1" localSheetId="6">[27]оборудов!#REF!</definedName>
    <definedName name="о1">[27]оборудов!#REF!</definedName>
    <definedName name="_xlnm.Print_Area" localSheetId="2">'замена котла'!$A$1:$M$4</definedName>
    <definedName name="_xlnm.Print_Area" localSheetId="10">'изоляция бака и тд'!$A$1:$I$12</definedName>
    <definedName name="_xlnm.Print_Area" localSheetId="13">Программа!$D$1:$U$539</definedName>
    <definedName name="_xlnm.Print_Area" localSheetId="14">'Прогрессивные нормы'!$C$2:$Q$9</definedName>
    <definedName name="_xlnm.Print_Area">#REF!</definedName>
    <definedName name="оо" localSheetId="6">'[3]1-энерго'!#REF!</definedName>
    <definedName name="оо" localSheetId="2">'[3]1-энерго'!#REF!</definedName>
    <definedName name="оо" localSheetId="13">'[28]1-энерго'!#REF!</definedName>
    <definedName name="оо" localSheetId="5">'[3]1-энерго'!#REF!</definedName>
    <definedName name="оо" localSheetId="1">'[3]1-энерго'!#REF!</definedName>
    <definedName name="оо">'[28]1-энерго'!#REF!</definedName>
    <definedName name="освещение" localSheetId="6">#REF!</definedName>
    <definedName name="освещение" localSheetId="5">#REF!</definedName>
    <definedName name="освещение">#REF!</definedName>
    <definedName name="Отоп" localSheetId="6">#REF!</definedName>
    <definedName name="Отоп" localSheetId="5">#REF!</definedName>
    <definedName name="Отоп" localSheetId="1">#REF!</definedName>
    <definedName name="Отоп">#REF!</definedName>
    <definedName name="отопит" localSheetId="6">'[11]1-энерго'!#REF!</definedName>
    <definedName name="отопит" localSheetId="2">'[11]1-энерго'!#REF!</definedName>
    <definedName name="отопит" localSheetId="13">'[16]1-энерго'!#REF!</definedName>
    <definedName name="отопит" localSheetId="5">'[11]1-энерго'!#REF!</definedName>
    <definedName name="отопит" localSheetId="1">'[11]1-энерго'!#REF!</definedName>
    <definedName name="отопит">'[16]1-энерго'!#REF!</definedName>
    <definedName name="Отопл" localSheetId="6">#REF!</definedName>
    <definedName name="Отопл" localSheetId="5">#REF!</definedName>
    <definedName name="Отопл" localSheetId="1">#REF!</definedName>
    <definedName name="Отопл">#REF!</definedName>
    <definedName name="Отх.возвр." localSheetId="6">#REF!</definedName>
    <definedName name="Отх.возвр.">#REF!</definedName>
    <definedName name="Отх.возвр._1" localSheetId="6">#REF!</definedName>
    <definedName name="Отх.возвр._1">#REF!</definedName>
    <definedName name="Отх.возвр._1_1" localSheetId="6">#REF!</definedName>
    <definedName name="Отх.возвр._1_1">#REF!</definedName>
    <definedName name="Отх.возвр._1_1_1" localSheetId="6">#REF!</definedName>
    <definedName name="Отх.возвр._1_1_1">#REF!</definedName>
    <definedName name="Отх.возвр._2" localSheetId="6">#REF!</definedName>
    <definedName name="Отх.возвр._2">#REF!</definedName>
    <definedName name="Отх.возвр._2_1" localSheetId="6">#REF!</definedName>
    <definedName name="Отх.возвр._2_1">#REF!</definedName>
    <definedName name="Очер.плат." localSheetId="6">#REF!</definedName>
    <definedName name="Очер.плат." localSheetId="2">#REF!</definedName>
    <definedName name="Очер.плат." localSheetId="13">#REF!</definedName>
    <definedName name="Очер.плат." localSheetId="5">#REF!</definedName>
    <definedName name="Очер.плат." localSheetId="1">#REF!</definedName>
    <definedName name="Очер.плат.">#REF!</definedName>
    <definedName name="Очер_плат" localSheetId="6">#REF!</definedName>
    <definedName name="Очер_плат" localSheetId="2">#REF!</definedName>
    <definedName name="Очер_плат" localSheetId="13">#REF!</definedName>
    <definedName name="Очер_плат" localSheetId="5">#REF!</definedName>
    <definedName name="Очер_плат" localSheetId="1">#REF!</definedName>
    <definedName name="Очер_плат">#REF!</definedName>
    <definedName name="очистка" localSheetId="6">'[29]1-энерго'!#REF!</definedName>
    <definedName name="очистка" localSheetId="5">'[29]1-энерго'!#REF!</definedName>
    <definedName name="очистка" localSheetId="1">'[29]1-энерго'!#REF!</definedName>
    <definedName name="очистка">'[29]1-энерго'!#REF!</definedName>
    <definedName name="пар" localSheetId="6">#REF!</definedName>
    <definedName name="пар" localSheetId="5">#REF!</definedName>
    <definedName name="пар" localSheetId="1">#REF!</definedName>
    <definedName name="пар">#REF!</definedName>
    <definedName name="План" localSheetId="6">#REF!</definedName>
    <definedName name="План" localSheetId="5">#REF!</definedName>
    <definedName name="План" localSheetId="1">#REF!</definedName>
    <definedName name="План">#REF!</definedName>
    <definedName name="Плиты_ДА" localSheetId="6">#REF!</definedName>
    <definedName name="Плиты_ДА">#REF!</definedName>
    <definedName name="Плиты_ДА_1" localSheetId="6">#REF!</definedName>
    <definedName name="Плиты_ДА_1">#REF!</definedName>
    <definedName name="по_кварт" localSheetId="6">#REF!</definedName>
    <definedName name="по_кварт" localSheetId="5">#REF!</definedName>
    <definedName name="по_кварт">#REF!</definedName>
    <definedName name="Показывать_0_коп" localSheetId="6">#REF!</definedName>
    <definedName name="Показывать_0_коп" localSheetId="2">#REF!</definedName>
    <definedName name="Показывать_0_коп" localSheetId="13">#REF!</definedName>
    <definedName name="Показывать_0_коп" localSheetId="5">#REF!</definedName>
    <definedName name="Показывать_0_коп" localSheetId="1">#REF!</definedName>
    <definedName name="Показывать_0_коп">#REF!</definedName>
    <definedName name="Покупные" localSheetId="6">#REF!</definedName>
    <definedName name="Покупные">#REF!</definedName>
    <definedName name="Покупные_1" localSheetId="6">#REF!</definedName>
    <definedName name="Покупные_1">#REF!</definedName>
    <definedName name="Покупные_1_1" localSheetId="6">#REF!</definedName>
    <definedName name="Покупные_1_1">#REF!</definedName>
    <definedName name="Покупные_1_1_1" localSheetId="6">#REF!</definedName>
    <definedName name="Покупные_1_1_1">#REF!</definedName>
    <definedName name="Покупные_2" localSheetId="6">#REF!</definedName>
    <definedName name="Покупные_2">#REF!</definedName>
    <definedName name="Покупные_2_1" localSheetId="6">#REF!</definedName>
    <definedName name="Покупные_2_1">#REF!</definedName>
    <definedName name="пор" localSheetId="6">#REF!</definedName>
    <definedName name="пор" localSheetId="5">#REF!</definedName>
    <definedName name="пор" localSheetId="1">#REF!</definedName>
    <definedName name="пор">#REF!</definedName>
    <definedName name="потер" localSheetId="6">'[18]1-энерго'!#REF!</definedName>
    <definedName name="потер" localSheetId="5">'[18]1-энерго'!#REF!</definedName>
    <definedName name="потер" localSheetId="1">'[18]1-энерго'!#REF!</definedName>
    <definedName name="потер">'[18]1-энерго'!#REF!</definedName>
    <definedName name="пппп" localSheetId="6">#REF!</definedName>
    <definedName name="пппп" localSheetId="2">#REF!</definedName>
    <definedName name="пппп" localSheetId="13">#REF!</definedName>
    <definedName name="пппп" localSheetId="5">#REF!</definedName>
    <definedName name="пппп" localSheetId="1">#REF!</definedName>
    <definedName name="пппп">#REF!</definedName>
    <definedName name="Пр.компл." localSheetId="6">#REF!</definedName>
    <definedName name="Пр.компл.">#REF!</definedName>
    <definedName name="Пр.компл._1" localSheetId="6">#REF!</definedName>
    <definedName name="Пр.компл._1">#REF!</definedName>
    <definedName name="Пр.компл._1_1" localSheetId="6">#REF!</definedName>
    <definedName name="Пр.компл._1_1">#REF!</definedName>
    <definedName name="Пр.компл._1_1_1" localSheetId="6">#REF!</definedName>
    <definedName name="Пр.компл._1_1_1">#REF!</definedName>
    <definedName name="Пр.компл._2" localSheetId="6">#REF!</definedName>
    <definedName name="Пр.компл._2">#REF!</definedName>
    <definedName name="Пр.компл._2_1" localSheetId="6">#REF!</definedName>
    <definedName name="Пр.компл._2_1">#REF!</definedName>
    <definedName name="Пр.матер." localSheetId="6">#REF!</definedName>
    <definedName name="Пр.матер.">#REF!</definedName>
    <definedName name="Пр.матер._1" localSheetId="6">#REF!</definedName>
    <definedName name="Пр.матер._1">#REF!</definedName>
    <definedName name="Пр.матер._1_1" localSheetId="6">#REF!</definedName>
    <definedName name="Пр.матер._1_1">#REF!</definedName>
    <definedName name="Пр.матер._1_1_1" localSheetId="6">#REF!</definedName>
    <definedName name="Пр.матер._1_1_1">#REF!</definedName>
    <definedName name="Пр.матер._2" localSheetId="6">#REF!</definedName>
    <definedName name="Пр.матер._2">#REF!</definedName>
    <definedName name="Пр.матер._2_1" localSheetId="6">#REF!</definedName>
    <definedName name="Пр.матер._2_1">#REF!</definedName>
    <definedName name="Предприятие1" localSheetId="6">#REF!</definedName>
    <definedName name="Предприятие1" localSheetId="2">#REF!</definedName>
    <definedName name="Предприятие1" localSheetId="13">#REF!</definedName>
    <definedName name="Предприятие1" localSheetId="5">#REF!</definedName>
    <definedName name="Предприятие1" localSheetId="1">#REF!</definedName>
    <definedName name="Предприятие1">#REF!</definedName>
    <definedName name="Предприятие2" localSheetId="6">#REF!</definedName>
    <definedName name="Предприятие2" localSheetId="2">#REF!</definedName>
    <definedName name="Предприятие2" localSheetId="13">#REF!</definedName>
    <definedName name="Предприятие2" localSheetId="5">#REF!</definedName>
    <definedName name="Предприятие2" localSheetId="1">#REF!</definedName>
    <definedName name="Предприятие2">#REF!</definedName>
    <definedName name="пример" localSheetId="6">#REF!</definedName>
    <definedName name="пример" localSheetId="5">#REF!</definedName>
    <definedName name="пример" localSheetId="1">#REF!</definedName>
    <definedName name="пример">#REF!</definedName>
    <definedName name="Пров.нерж" localSheetId="6">#REF!</definedName>
    <definedName name="Пров.нерж">#REF!</definedName>
    <definedName name="Пров.нерж_1" localSheetId="6">#REF!</definedName>
    <definedName name="Пров.нерж_1">#REF!</definedName>
    <definedName name="Пров.нерж_1_1" localSheetId="6">#REF!</definedName>
    <definedName name="Пров.нерж_1_1">#REF!</definedName>
    <definedName name="Пров.нерж_1_1_1" localSheetId="6">#REF!</definedName>
    <definedName name="Пров.нерж_1_1_1">#REF!</definedName>
    <definedName name="Пров.нерж_2" localSheetId="6">#REF!</definedName>
    <definedName name="Пров.нерж_2">#REF!</definedName>
    <definedName name="Пров.нерж_2_1" localSheetId="6">#REF!</definedName>
    <definedName name="Пров.нерж_2_1">#REF!</definedName>
    <definedName name="Провол" localSheetId="6">#REF!</definedName>
    <definedName name="Провол">#REF!</definedName>
    <definedName name="Провол_1" localSheetId="6">#REF!</definedName>
    <definedName name="Провол_1">#REF!</definedName>
    <definedName name="Провол_1_1" localSheetId="6">#REF!</definedName>
    <definedName name="Провол_1_1">#REF!</definedName>
    <definedName name="Провол_1_1_1" localSheetId="6">#REF!</definedName>
    <definedName name="Провол_1_1_1">#REF!</definedName>
    <definedName name="Провол_2" localSheetId="6">#REF!</definedName>
    <definedName name="Провол_2">#REF!</definedName>
    <definedName name="Провол_2_1" localSheetId="6">#REF!</definedName>
    <definedName name="Провол_2_1">#REF!</definedName>
    <definedName name="Прост" localSheetId="6">#REF!</definedName>
    <definedName name="Прост">#REF!</definedName>
    <definedName name="Прост_1" localSheetId="6">#REF!</definedName>
    <definedName name="Прост_1">#REF!</definedName>
    <definedName name="развернут" localSheetId="6">#REF!</definedName>
    <definedName name="развернут">#REF!</definedName>
    <definedName name="ргол" localSheetId="6">#REF!</definedName>
    <definedName name="ргол" localSheetId="5">#REF!</definedName>
    <definedName name="ргол" localSheetId="1">#REF!</definedName>
    <definedName name="ргол">#REF!</definedName>
    <definedName name="Рез_поле" localSheetId="6">#REF!</definedName>
    <definedName name="Рез_поле" localSheetId="2">#REF!</definedName>
    <definedName name="Рез_поле" localSheetId="13">#REF!</definedName>
    <definedName name="Рез_поле" localSheetId="5">#REF!</definedName>
    <definedName name="Рез_поле" localSheetId="1">#REF!</definedName>
    <definedName name="Рез_поле">#REF!</definedName>
    <definedName name="Содр" localSheetId="6">'[15]1-энерго'!#REF!</definedName>
    <definedName name="Содр" localSheetId="2">'[15]1-энерго'!#REF!</definedName>
    <definedName name="Содр" localSheetId="5">'[15]1-энерго'!#REF!</definedName>
    <definedName name="Содр" localSheetId="1">'[15]1-энерго'!#REF!</definedName>
    <definedName name="Содр">'[24]1-энерго'!#REF!</definedName>
    <definedName name="Список_банк1" localSheetId="6">#REF!</definedName>
    <definedName name="Список_банк1" localSheetId="2">#REF!</definedName>
    <definedName name="Список_банк1" localSheetId="13">#REF!</definedName>
    <definedName name="Список_банк1" localSheetId="5">#REF!</definedName>
    <definedName name="Список_банк1" localSheetId="1">#REF!</definedName>
    <definedName name="Список_банк1">#REF!</definedName>
    <definedName name="Список_банк2" localSheetId="6">#REF!</definedName>
    <definedName name="Список_банк2" localSheetId="2">#REF!</definedName>
    <definedName name="Список_банк2" localSheetId="13">#REF!</definedName>
    <definedName name="Список_банк2" localSheetId="5">#REF!</definedName>
    <definedName name="Список_банк2" localSheetId="1">#REF!</definedName>
    <definedName name="Список_банк2">#REF!</definedName>
    <definedName name="Список_бик1" localSheetId="6">#REF!</definedName>
    <definedName name="Список_бик1" localSheetId="2">#REF!</definedName>
    <definedName name="Список_бик1" localSheetId="13">#REF!</definedName>
    <definedName name="Список_бик1" localSheetId="5">#REF!</definedName>
    <definedName name="Список_бик1" localSheetId="1">#REF!</definedName>
    <definedName name="Список_бик1">#REF!</definedName>
    <definedName name="Список_бик2" localSheetId="6">#REF!</definedName>
    <definedName name="Список_бик2" localSheetId="2">#REF!</definedName>
    <definedName name="Список_бик2" localSheetId="13">#REF!</definedName>
    <definedName name="Список_бик2" localSheetId="5">#REF!</definedName>
    <definedName name="Список_бик2" localSheetId="1">#REF!</definedName>
    <definedName name="Список_бик2">#REF!</definedName>
    <definedName name="Список_вид_опл" localSheetId="6">#REF!</definedName>
    <definedName name="Список_вид_опл" localSheetId="2">#REF!</definedName>
    <definedName name="Список_вид_опл" localSheetId="13">#REF!</definedName>
    <definedName name="Список_вид_опл" localSheetId="5">#REF!</definedName>
    <definedName name="Список_вид_опл" localSheetId="1">#REF!</definedName>
    <definedName name="Список_вид_опл">#REF!</definedName>
    <definedName name="Список_вид_платежа" localSheetId="6">#REF!</definedName>
    <definedName name="Список_вид_платежа" localSheetId="2">#REF!</definedName>
    <definedName name="Список_вид_платежа" localSheetId="13">#REF!</definedName>
    <definedName name="Список_вид_платежа" localSheetId="5">#REF!</definedName>
    <definedName name="Список_вид_платежа" localSheetId="1">#REF!</definedName>
    <definedName name="Список_вид_платежа">#REF!</definedName>
    <definedName name="Список_дата" localSheetId="6">#REF!</definedName>
    <definedName name="Список_дата" localSheetId="2">#REF!</definedName>
    <definedName name="Список_дата" localSheetId="13">#REF!</definedName>
    <definedName name="Список_дата" localSheetId="5">#REF!</definedName>
    <definedName name="Список_дата" localSheetId="1">#REF!</definedName>
    <definedName name="Список_дата">#REF!</definedName>
    <definedName name="Список_инн1" localSheetId="6">#REF!</definedName>
    <definedName name="Список_инн1" localSheetId="2">#REF!</definedName>
    <definedName name="Список_инн1" localSheetId="13">#REF!</definedName>
    <definedName name="Список_инн1" localSheetId="5">#REF!</definedName>
    <definedName name="Список_инн1" localSheetId="1">#REF!</definedName>
    <definedName name="Список_инн1">#REF!</definedName>
    <definedName name="Список_инн2" localSheetId="6">#REF!</definedName>
    <definedName name="Список_инн2" localSheetId="2">#REF!</definedName>
    <definedName name="Список_инн2" localSheetId="13">#REF!</definedName>
    <definedName name="Список_инн2" localSheetId="5">#REF!</definedName>
    <definedName name="Список_инн2" localSheetId="1">#REF!</definedName>
    <definedName name="Список_инн2">#REF!</definedName>
    <definedName name="Список_код" localSheetId="6">#REF!</definedName>
    <definedName name="Список_код" localSheetId="2">#REF!</definedName>
    <definedName name="Список_код" localSheetId="13">#REF!</definedName>
    <definedName name="Список_код" localSheetId="5">#REF!</definedName>
    <definedName name="Список_код" localSheetId="1">#REF!</definedName>
    <definedName name="Список_код">#REF!</definedName>
    <definedName name="Список_корсчёт1" localSheetId="6">#REF!</definedName>
    <definedName name="Список_корсчёт1" localSheetId="2">#REF!</definedName>
    <definedName name="Список_корсчёт1" localSheetId="13">#REF!</definedName>
    <definedName name="Список_корсчёт1" localSheetId="5">#REF!</definedName>
    <definedName name="Список_корсчёт1" localSheetId="1">#REF!</definedName>
    <definedName name="Список_корсчёт1">#REF!</definedName>
    <definedName name="Список_корсчёт2" localSheetId="6">#REF!</definedName>
    <definedName name="Список_корсчёт2" localSheetId="2">#REF!</definedName>
    <definedName name="Список_корсчёт2" localSheetId="13">#REF!</definedName>
    <definedName name="Список_корсчёт2" localSheetId="5">#REF!</definedName>
    <definedName name="Список_корсчёт2" localSheetId="1">#REF!</definedName>
    <definedName name="Список_корсчёт2">#REF!</definedName>
    <definedName name="Список_назн_пл" localSheetId="6">#REF!</definedName>
    <definedName name="Список_назн_пл" localSheetId="2">#REF!</definedName>
    <definedName name="Список_назн_пл" localSheetId="13">#REF!</definedName>
    <definedName name="Список_назн_пл" localSheetId="5">#REF!</definedName>
    <definedName name="Список_назн_пл" localSheetId="1">#REF!</definedName>
    <definedName name="Список_назн_пл">#REF!</definedName>
    <definedName name="Список_назначение" localSheetId="6">#REF!</definedName>
    <definedName name="Список_назначение" localSheetId="2">#REF!</definedName>
    <definedName name="Список_назначение" localSheetId="13">#REF!</definedName>
    <definedName name="Список_назначение" localSheetId="5">#REF!</definedName>
    <definedName name="Список_назначение" localSheetId="1">#REF!</definedName>
    <definedName name="Список_назначение">#REF!</definedName>
    <definedName name="Список_наименование1" localSheetId="6">#REF!</definedName>
    <definedName name="Список_наименование1" localSheetId="2">#REF!</definedName>
    <definedName name="Список_наименование1" localSheetId="13">#REF!</definedName>
    <definedName name="Список_наименование1" localSheetId="5">#REF!</definedName>
    <definedName name="Список_наименование1" localSheetId="1">#REF!</definedName>
    <definedName name="Список_наименование1">#REF!</definedName>
    <definedName name="Список_наименование2" localSheetId="6">#REF!</definedName>
    <definedName name="Список_наименование2" localSheetId="2">#REF!</definedName>
    <definedName name="Список_наименование2" localSheetId="13">#REF!</definedName>
    <definedName name="Список_наименование2" localSheetId="5">#REF!</definedName>
    <definedName name="Список_наименование2" localSheetId="1">#REF!</definedName>
    <definedName name="Список_наименование2">#REF!</definedName>
    <definedName name="Список_номер" localSheetId="6">#REF!</definedName>
    <definedName name="Список_номер" localSheetId="2">#REF!</definedName>
    <definedName name="Список_номер" localSheetId="13">#REF!</definedName>
    <definedName name="Список_номер" localSheetId="5">#REF!</definedName>
    <definedName name="Список_номер" localSheetId="1">#REF!</definedName>
    <definedName name="Список_номер">#REF!</definedName>
    <definedName name="Список_очер" localSheetId="6">#REF!</definedName>
    <definedName name="Список_очер" localSheetId="2">#REF!</definedName>
    <definedName name="Список_очер" localSheetId="13">#REF!</definedName>
    <definedName name="Список_очер" localSheetId="5">#REF!</definedName>
    <definedName name="Список_очер" localSheetId="1">#REF!</definedName>
    <definedName name="Список_очер">#REF!</definedName>
    <definedName name="Список_рез_поле" localSheetId="6">#REF!</definedName>
    <definedName name="Список_рез_поле" localSheetId="2">#REF!</definedName>
    <definedName name="Список_рез_поле" localSheetId="13">#REF!</definedName>
    <definedName name="Список_рез_поле" localSheetId="5">#REF!</definedName>
    <definedName name="Список_рез_поле" localSheetId="1">#REF!</definedName>
    <definedName name="Список_рез_поле">#REF!</definedName>
    <definedName name="Список_срок" localSheetId="6">#REF!</definedName>
    <definedName name="Список_срок" localSheetId="2">#REF!</definedName>
    <definedName name="Список_срок" localSheetId="13">#REF!</definedName>
    <definedName name="Список_срок" localSheetId="5">#REF!</definedName>
    <definedName name="Список_срок" localSheetId="1">#REF!</definedName>
    <definedName name="Список_срок">#REF!</definedName>
    <definedName name="Список_сумма" localSheetId="6">#REF!</definedName>
    <definedName name="Список_сумма" localSheetId="2">#REF!</definedName>
    <definedName name="Список_сумма" localSheetId="13">#REF!</definedName>
    <definedName name="Список_сумма" localSheetId="5">#REF!</definedName>
    <definedName name="Список_сумма" localSheetId="1">#REF!</definedName>
    <definedName name="Список_сумма">#REF!</definedName>
    <definedName name="Список_счёт1" localSheetId="6">#REF!</definedName>
    <definedName name="Список_счёт1" localSheetId="2">#REF!</definedName>
    <definedName name="Список_счёт1" localSheetId="13">#REF!</definedName>
    <definedName name="Список_счёт1" localSheetId="5">#REF!</definedName>
    <definedName name="Список_счёт1" localSheetId="1">#REF!</definedName>
    <definedName name="Список_счёт1">#REF!</definedName>
    <definedName name="Список_счёт2" localSheetId="6">#REF!</definedName>
    <definedName name="Список_счёт2" localSheetId="2">#REF!</definedName>
    <definedName name="Список_счёт2" localSheetId="13">#REF!</definedName>
    <definedName name="Список_счёт2" localSheetId="5">#REF!</definedName>
    <definedName name="Список_счёт2" localSheetId="1">#REF!</definedName>
    <definedName name="Список_счёт2">#REF!</definedName>
    <definedName name="Срок" localSheetId="6">#REF!</definedName>
    <definedName name="Срок" localSheetId="2">#REF!</definedName>
    <definedName name="Срок" localSheetId="13">#REF!</definedName>
    <definedName name="Срок" localSheetId="5">#REF!</definedName>
    <definedName name="Срок" localSheetId="1">#REF!</definedName>
    <definedName name="Срок">#REF!</definedName>
    <definedName name="сссссс" localSheetId="6">'[15]1-энерго'!#REF!</definedName>
    <definedName name="сссссс" localSheetId="2">'[15]1-энерго'!#REF!</definedName>
    <definedName name="сссссс" localSheetId="5">'[15]1-энерго'!#REF!</definedName>
    <definedName name="сссссс" localSheetId="1">'[15]1-энерго'!#REF!</definedName>
    <definedName name="сссссс">'[24]1-энерго'!#REF!</definedName>
    <definedName name="Ст.калибр" localSheetId="6">#REF!</definedName>
    <definedName name="Ст.калибр">#REF!</definedName>
    <definedName name="Ст.калибр_1" localSheetId="6">#REF!</definedName>
    <definedName name="Ст.калибр_1">#REF!</definedName>
    <definedName name="Ст.калибр_1_1" localSheetId="6">#REF!</definedName>
    <definedName name="Ст.калибр_1_1">#REF!</definedName>
    <definedName name="Ст.калибр_1_1_1" localSheetId="6">#REF!</definedName>
    <definedName name="Ст.калибр_1_1_1">#REF!</definedName>
    <definedName name="Ст.калибр_2" localSheetId="6">#REF!</definedName>
    <definedName name="Ст.калибр_2">#REF!</definedName>
    <definedName name="Ст.калибр_2_1" localSheetId="6">#REF!</definedName>
    <definedName name="Ст.калибр_2_1">#REF!</definedName>
    <definedName name="Ст.рулон." localSheetId="6">#REF!</definedName>
    <definedName name="Ст.рулон.">#REF!</definedName>
    <definedName name="Ст.рулон._1" localSheetId="6">#REF!</definedName>
    <definedName name="Ст.рулон._1">#REF!</definedName>
    <definedName name="Ст.рулон._1_1" localSheetId="6">#REF!</definedName>
    <definedName name="Ст.рулон._1_1">#REF!</definedName>
    <definedName name="Ст.рулон._1_1_1" localSheetId="6">#REF!</definedName>
    <definedName name="Ст.рулон._1_1_1">#REF!</definedName>
    <definedName name="Ст.рулон._2" localSheetId="6">#REF!</definedName>
    <definedName name="Ст.рулон._2">#REF!</definedName>
    <definedName name="Ст.рулон._2_1" localSheetId="6">#REF!</definedName>
    <definedName name="Ст.рулон._2_1">#REF!</definedName>
    <definedName name="Сумма" localSheetId="6">#REF!</definedName>
    <definedName name="Сумма" localSheetId="2">#REF!</definedName>
    <definedName name="Сумма" localSheetId="13">#REF!</definedName>
    <definedName name="Сумма" localSheetId="5">#REF!</definedName>
    <definedName name="Сумма" localSheetId="1">#REF!</definedName>
    <definedName name="Сумма">#REF!</definedName>
    <definedName name="Счёт" localSheetId="6">#REF!</definedName>
    <definedName name="Счёт" localSheetId="2">#REF!</definedName>
    <definedName name="Счёт" localSheetId="13">#REF!</definedName>
    <definedName name="Счёт" localSheetId="5">#REF!</definedName>
    <definedName name="Счёт" localSheetId="1">#REF!</definedName>
    <definedName name="Счёт">#REF!</definedName>
    <definedName name="Счёт1" localSheetId="6">#REF!</definedName>
    <definedName name="Счёт1" localSheetId="2">#REF!</definedName>
    <definedName name="Счёт1" localSheetId="13">#REF!</definedName>
    <definedName name="Счёт1" localSheetId="5">#REF!</definedName>
    <definedName name="Счёт1" localSheetId="1">#REF!</definedName>
    <definedName name="Счёт1">#REF!</definedName>
    <definedName name="Счёт2" localSheetId="6">#REF!</definedName>
    <definedName name="Счёт2" localSheetId="2">#REF!</definedName>
    <definedName name="Счёт2" localSheetId="13">#REF!</definedName>
    <definedName name="Счёт2" localSheetId="5">#REF!</definedName>
    <definedName name="Счёт2" localSheetId="1">#REF!</definedName>
    <definedName name="Счёт2">#REF!</definedName>
    <definedName name="т" localSheetId="6">'[11]1-энерго'!#REF!</definedName>
    <definedName name="т" localSheetId="2">'[11]1-энерго'!#REF!</definedName>
    <definedName name="т" localSheetId="13">'[16]1-энерго'!#REF!</definedName>
    <definedName name="т" localSheetId="5">'[11]1-энерго'!#REF!</definedName>
    <definedName name="т" localSheetId="1">'[11]1-энерго'!#REF!</definedName>
    <definedName name="т">'[16]1-энерго'!#REF!</definedName>
    <definedName name="т1" localSheetId="6">#REF!</definedName>
    <definedName name="т1" localSheetId="5">#REF!</definedName>
    <definedName name="т1" localSheetId="1">#REF!</definedName>
    <definedName name="т1">#REF!</definedName>
    <definedName name="Т21" localSheetId="6">#REF!</definedName>
    <definedName name="Т21" localSheetId="5">#REF!</definedName>
    <definedName name="Т21" localSheetId="1">#REF!</definedName>
    <definedName name="Т21">#REF!</definedName>
    <definedName name="т3" localSheetId="6">'[1]1-энерго'!#REF!</definedName>
    <definedName name="т3" localSheetId="5">'[1]1-энерго'!#REF!</definedName>
    <definedName name="т3" localSheetId="1">'[1]1-энерго'!#REF!</definedName>
    <definedName name="т3">'[1]1-энерго'!#REF!</definedName>
    <definedName name="Таб21" localSheetId="6">#REF!</definedName>
    <definedName name="Таб21" localSheetId="5">#REF!</definedName>
    <definedName name="Таб21" localSheetId="1">#REF!</definedName>
    <definedName name="Таб21">#REF!</definedName>
    <definedName name="Текстовый_документ_1" localSheetId="6">#REF!</definedName>
    <definedName name="Текстовый_документ_1">#REF!</definedName>
    <definedName name="Текстовый_документ_1_1" localSheetId="6">#REF!</definedName>
    <definedName name="Текстовый_документ_1_1">#REF!</definedName>
    <definedName name="Текстовый_документ_1_1_1" localSheetId="6">#REF!</definedName>
    <definedName name="Текстовый_документ_1_1_1">#REF!</definedName>
    <definedName name="Текстовый_документ_1_1_1_1" localSheetId="6">#REF!</definedName>
    <definedName name="Текстовый_документ_1_1_1_1">#REF!</definedName>
    <definedName name="Текстовый_документ_1_1_1_1_1" localSheetId="6">#REF!</definedName>
    <definedName name="Текстовый_документ_1_1_1_1_1">#REF!</definedName>
    <definedName name="Текстовый_документ_1_2" localSheetId="6">#REF!</definedName>
    <definedName name="Текстовый_документ_1_2">#REF!</definedName>
    <definedName name="Текстовый_документ_1_2_1" localSheetId="6">#REF!</definedName>
    <definedName name="Текстовый_документ_1_2_1">#REF!</definedName>
    <definedName name="Текстовый_документ_1_20" localSheetId="6">#REF!</definedName>
    <definedName name="Текстовый_документ_1_20">#REF!</definedName>
    <definedName name="Текстовый_документ_1_20_1" localSheetId="6">#REF!</definedName>
    <definedName name="Текстовый_документ_1_20_1">#REF!</definedName>
    <definedName name="Текстовый_документ_1_21" localSheetId="6">#REF!</definedName>
    <definedName name="Текстовый_документ_1_21">#REF!</definedName>
    <definedName name="Текстовый_документ_1_21_1" localSheetId="6">#REF!</definedName>
    <definedName name="Текстовый_документ_1_21_1">#REF!</definedName>
    <definedName name="Текстовый_документ_1_22" localSheetId="6">#REF!</definedName>
    <definedName name="Текстовый_документ_1_22">#REF!</definedName>
    <definedName name="Текстовый_документ_1_22_1" localSheetId="6">#REF!</definedName>
    <definedName name="Текстовый_документ_1_22_1">#REF!</definedName>
    <definedName name="Текстовый_документ_1_23" localSheetId="6">#REF!</definedName>
    <definedName name="Текстовый_документ_1_23">#REF!</definedName>
    <definedName name="Текстовый_документ_1_23_1" localSheetId="6">#REF!</definedName>
    <definedName name="Текстовый_документ_1_23_1">#REF!</definedName>
    <definedName name="Текстовый_документ_1_24" localSheetId="6">'[30]2012-2015г. пл утв в ценах ян12'!#REF!</definedName>
    <definedName name="Текстовый_документ_1_24">'[30]2012-2015г. пл утв в ценах ян12'!#REF!</definedName>
    <definedName name="Текстовый_документ_1_24_1" localSheetId="6">'[30]2012-2015г. пл утв в ценах ян12'!#REF!</definedName>
    <definedName name="Текстовый_документ_1_24_1">'[30]2012-2015г. пл утв в ценах ян12'!#REF!</definedName>
    <definedName name="Текстовый_документ_1_25" localSheetId="6">#REF!</definedName>
    <definedName name="Текстовый_документ_1_25">#REF!</definedName>
    <definedName name="Текстовый_документ_1_25_1" localSheetId="6">#REF!</definedName>
    <definedName name="Текстовый_документ_1_25_1">#REF!</definedName>
    <definedName name="Текстовый_документ_1_5" localSheetId="6">#REF!</definedName>
    <definedName name="Текстовый_документ_1_5">#REF!</definedName>
    <definedName name="Текстовый_документ_1_5_1" localSheetId="6">#REF!</definedName>
    <definedName name="Текстовый_документ_1_5_1">#REF!</definedName>
    <definedName name="Текстовый_документ_2" localSheetId="6">#REF!</definedName>
    <definedName name="Текстовый_документ_2">#REF!</definedName>
    <definedName name="Текстовый_документ_2_1" localSheetId="6">#REF!</definedName>
    <definedName name="Текстовый_документ_2_1">#REF!</definedName>
    <definedName name="Текстовый_документ_20" localSheetId="6">#REF!</definedName>
    <definedName name="Текстовый_документ_20">#REF!</definedName>
    <definedName name="Текстовый_документ_20_1" localSheetId="6">#REF!</definedName>
    <definedName name="Текстовый_документ_20_1">#REF!</definedName>
    <definedName name="Текстовый_документ_21" localSheetId="6">#REF!</definedName>
    <definedName name="Текстовый_документ_21">#REF!</definedName>
    <definedName name="Текстовый_документ_21_1" localSheetId="6">#REF!</definedName>
    <definedName name="Текстовый_документ_21_1">#REF!</definedName>
    <definedName name="Текстовый_документ_22" localSheetId="6">#REF!</definedName>
    <definedName name="Текстовый_документ_22">#REF!</definedName>
    <definedName name="Текстовый_документ_22_1" localSheetId="6">#REF!</definedName>
    <definedName name="Текстовый_документ_22_1">#REF!</definedName>
    <definedName name="Текстовый_документ_23" localSheetId="6">#REF!</definedName>
    <definedName name="Текстовый_документ_23">#REF!</definedName>
    <definedName name="Текстовый_документ_23_1" localSheetId="6">#REF!</definedName>
    <definedName name="Текстовый_документ_23_1">#REF!</definedName>
    <definedName name="Текстовый_документ_24" localSheetId="6">#REF!</definedName>
    <definedName name="Текстовый_документ_24">#REF!</definedName>
    <definedName name="Текстовый_документ_24_1" localSheetId="6">'[31]2016 продукция'!#REF!</definedName>
    <definedName name="Текстовый_документ_24_1">'[31]2016 продукция'!#REF!</definedName>
    <definedName name="Текстовый_документ_25" localSheetId="6">#REF!</definedName>
    <definedName name="Текстовый_документ_25">#REF!</definedName>
    <definedName name="Текстовый_документ_25_1" localSheetId="6">#REF!</definedName>
    <definedName name="Текстовый_документ_25_1">#REF!</definedName>
    <definedName name="Текстовый_документ_5" localSheetId="6">#REF!</definedName>
    <definedName name="Текстовый_документ_5">#REF!</definedName>
    <definedName name="Текстовый_документ_5_1" localSheetId="6">#REF!</definedName>
    <definedName name="Текстовый_документ_5_1">#REF!</definedName>
    <definedName name="Тр.ст" localSheetId="6">#REF!</definedName>
    <definedName name="Тр.ст">#REF!</definedName>
    <definedName name="Тр.ст_1" localSheetId="6">#REF!</definedName>
    <definedName name="Тр.ст_1">#REF!</definedName>
    <definedName name="Тр.ст_1_1" localSheetId="6">#REF!</definedName>
    <definedName name="Тр.ст_1_1">#REF!</definedName>
    <definedName name="Тр.ст_1_1_1" localSheetId="6">#REF!</definedName>
    <definedName name="Тр.ст_1_1_1">#REF!</definedName>
    <definedName name="Тр.ст_2" localSheetId="6">#REF!</definedName>
    <definedName name="Тр.ст_2">#REF!</definedName>
    <definedName name="Тр.ст_2_1" localSheetId="6">#REF!</definedName>
    <definedName name="Тр.ст_2_1">#REF!</definedName>
    <definedName name="Труба_фольга" localSheetId="6">#REF!</definedName>
    <definedName name="Труба_фольга">#REF!</definedName>
    <definedName name="Труба_фольга_1" localSheetId="6">#REF!</definedName>
    <definedName name="Труба_фольга_1">#REF!</definedName>
    <definedName name="Труба_фольга_1_1" localSheetId="6">#REF!</definedName>
    <definedName name="Труба_фольга_1_1">#REF!</definedName>
    <definedName name="Труба_фольга_1_1_1" localSheetId="6">#REF!</definedName>
    <definedName name="Труба_фольга_1_1_1">#REF!</definedName>
    <definedName name="Труба_фольга_2" localSheetId="6">#REF!</definedName>
    <definedName name="Труба_фольга_2">#REF!</definedName>
    <definedName name="Труба_фольга_2_1" localSheetId="6">#REF!</definedName>
    <definedName name="Труба_фольга_2_1">#REF!</definedName>
    <definedName name="тттт" localSheetId="6">'[32]1-энерго'!#REF!</definedName>
    <definedName name="тттт" localSheetId="2">'[32]1-энерго'!#REF!</definedName>
    <definedName name="тттт" localSheetId="5">'[32]1-энерго'!#REF!</definedName>
    <definedName name="тттт" localSheetId="1">'[32]1-энерго'!#REF!</definedName>
    <definedName name="тттт">'[33]1-энерго'!#REF!</definedName>
    <definedName name="ТТТТ1" localSheetId="6">'[32]1-энерго'!#REF!</definedName>
    <definedName name="ТТТТ1" localSheetId="5">'[32]1-энерго'!#REF!</definedName>
    <definedName name="ТТТТ1" localSheetId="1">'[32]1-энерго'!#REF!</definedName>
    <definedName name="ТТТТ1">'[32]1-энерго'!#REF!</definedName>
    <definedName name="Удел" localSheetId="6">'[18]1-энерго'!#REF!</definedName>
    <definedName name="Удел" localSheetId="5">'[18]1-энерго'!#REF!</definedName>
    <definedName name="Удел" localSheetId="1">'[18]1-энерго'!#REF!</definedName>
    <definedName name="Удел">'[18]1-энерго'!#REF!</definedName>
    <definedName name="УК" localSheetId="6">'[11]1-энерго'!#REF!</definedName>
    <definedName name="УК" localSheetId="2">'[11]1-энерго'!#REF!</definedName>
    <definedName name="УК" localSheetId="5">'[11]1-энерго'!#REF!</definedName>
    <definedName name="УК" localSheetId="1">'[11]1-энерго'!#REF!</definedName>
    <definedName name="УК">'[16]1-энерго'!#REF!</definedName>
    <definedName name="утв" localSheetId="6">#REF!</definedName>
    <definedName name="утв">#REF!</definedName>
    <definedName name="фува" localSheetId="6">#REF!</definedName>
    <definedName name="фува" localSheetId="5">#REF!</definedName>
    <definedName name="фува" localSheetId="1">#REF!</definedName>
    <definedName name="фува">#REF!</definedName>
    <definedName name="Химикаты" localSheetId="6">#REF!</definedName>
    <definedName name="Химикаты">#REF!</definedName>
    <definedName name="Химикаты_1" localSheetId="6">#REF!</definedName>
    <definedName name="Химикаты_1">#REF!</definedName>
    <definedName name="Химикаты_1_1" localSheetId="6">#REF!</definedName>
    <definedName name="Химикаты_1_1">#REF!</definedName>
    <definedName name="Химикаты_1_1_1" localSheetId="6">#REF!</definedName>
    <definedName name="Химикаты_1_1_1">#REF!</definedName>
    <definedName name="Химикаты_2" localSheetId="6">#REF!</definedName>
    <definedName name="Химикаты_2">#REF!</definedName>
    <definedName name="Химикаты_2_1" localSheetId="6">#REF!</definedName>
    <definedName name="Химикаты_2_1">#REF!</definedName>
    <definedName name="Цв.литьё" localSheetId="6">#REF!</definedName>
    <definedName name="Цв.литьё">#REF!</definedName>
    <definedName name="Цв.литьё_1" localSheetId="6">#REF!</definedName>
    <definedName name="Цв.литьё_1">#REF!</definedName>
    <definedName name="Цв.литьё_1_1" localSheetId="6">#REF!</definedName>
    <definedName name="Цв.литьё_1_1">#REF!</definedName>
    <definedName name="Цв.литьё_1_1_1" localSheetId="6">#REF!</definedName>
    <definedName name="Цв.литьё_1_1_1">#REF!</definedName>
    <definedName name="Цв.литьё_2" localSheetId="6">#REF!</definedName>
    <definedName name="Цв.литьё_2">#REF!</definedName>
    <definedName name="Цв.литьё_2_1" localSheetId="6">#REF!</definedName>
    <definedName name="Цв.литьё_2_1">#REF!</definedName>
    <definedName name="цена_Гкал">[34]прогр.!$R$6</definedName>
    <definedName name="цена_тут">[34]прогр.!$R$4</definedName>
    <definedName name="цена_тыс.кВт_ч">[34]прогр.!$R$5</definedName>
    <definedName name="ЦенаНТавгП">2.01883</definedName>
    <definedName name="ЦенаНТавгФ">2.05044</definedName>
    <definedName name="ЦенаНТапрП">2.01883</definedName>
    <definedName name="ЦенаНТапрФ">2.045929</definedName>
    <definedName name="ЦенаНТдекП">2.01883</definedName>
    <definedName name="ЦенаНТдекФ">1</definedName>
    <definedName name="ЦенаНТиюлП">2.01883</definedName>
    <definedName name="ЦенаНТиюлФ">2.04706</definedName>
    <definedName name="ЦенаНТиюнП">2.01883</definedName>
    <definedName name="ЦенаНТиюнФ">2.047509</definedName>
    <definedName name="ЦенаНТмайП">2.01883</definedName>
    <definedName name="ЦенаНТмайФ">2.0457</definedName>
    <definedName name="ЦенаНТмарП">2.01883</definedName>
    <definedName name="ЦенаНТмарФ">2.04503</definedName>
    <definedName name="ЦенаНТнояП">2.01883</definedName>
    <definedName name="ЦенаНТнояФ">1</definedName>
    <definedName name="ЦенаНТоктП">2.01883</definedName>
    <definedName name="ЦенаНТоктФ">1</definedName>
    <definedName name="ЦенаНТсенП">2.01883</definedName>
    <definedName name="ЦенаНТсенФ">1</definedName>
    <definedName name="ЦенаНТфевП">2.01883</definedName>
    <definedName name="ЦенаНТфевФ">2.040509</definedName>
    <definedName name="ЦенаНТянвП">2.01883</definedName>
    <definedName name="ЦенаНТянвФ">2.040509</definedName>
    <definedName name="цук" localSheetId="6">'[11]1-энерго'!#REF!</definedName>
    <definedName name="цук" localSheetId="5">'[11]1-энерго'!#REF!</definedName>
    <definedName name="цук" localSheetId="1">'[11]1-энерго'!#REF!</definedName>
    <definedName name="цук">'[11]1-энерго'!#REF!</definedName>
    <definedName name="щш" localSheetId="6">'[35]1-энерго'!#REF!</definedName>
    <definedName name="щш" localSheetId="5">'[35]1-энерго'!#REF!</definedName>
    <definedName name="щш" localSheetId="1">'[35]1-энерго'!#REF!</definedName>
    <definedName name="щш">'[35]1-энерго'!#REF!</definedName>
    <definedName name="щщ" localSheetId="6">'[11]1-энерго'!#REF!</definedName>
    <definedName name="щщ" localSheetId="2">'[11]1-энерго'!#REF!</definedName>
    <definedName name="щщ" localSheetId="5">'[11]1-энерго'!#REF!</definedName>
    <definedName name="щщ" localSheetId="1">'[11]1-энерго'!#REF!</definedName>
    <definedName name="щщ">'[16]1-энерго'!#REF!</definedName>
    <definedName name="ывпа" localSheetId="6">#REF!</definedName>
    <definedName name="ывпа" localSheetId="5">#REF!</definedName>
    <definedName name="ывпа" localSheetId="1">#REF!</definedName>
    <definedName name="ывпа">#REF!</definedName>
    <definedName name="ыыы">'[16]1-энерго'!#REF!</definedName>
    <definedName name="ьь" localSheetId="6">'[9]1-энерго'!#REF!</definedName>
    <definedName name="ьь" localSheetId="2">'[9]1-энерго'!#REF!</definedName>
    <definedName name="ьь" localSheetId="13">'[36]1-энерго'!#REF!</definedName>
    <definedName name="ьь" localSheetId="5">'[9]1-энерго'!#REF!</definedName>
    <definedName name="ьь" localSheetId="1">'[9]1-энерго'!#REF!</definedName>
    <definedName name="ьь">'[36]1-энерго'!#REF!</definedName>
    <definedName name="эжщш" localSheetId="6">#REF!</definedName>
    <definedName name="эжщш" localSheetId="5">#REF!</definedName>
    <definedName name="эжщш" localSheetId="1">#REF!</definedName>
    <definedName name="эжщш">#REF!</definedName>
    <definedName name="электр" localSheetId="6">'[18]1-энерго'!#REF!</definedName>
    <definedName name="электр" localSheetId="5">'[18]1-энерго'!#REF!</definedName>
    <definedName name="электр" localSheetId="1">'[18]1-энерго'!#REF!</definedName>
    <definedName name="электр">'[18]1-энерго'!#REF!</definedName>
    <definedName name="электро" localSheetId="6">'[37]1-энерго'!#REF!</definedName>
    <definedName name="электро" localSheetId="5">'[37]1-энерго'!#REF!</definedName>
    <definedName name="электро" localSheetId="1">'[37]1-энерго'!#REF!</definedName>
    <definedName name="электро">'[37]1-энерго'!#REF!</definedName>
    <definedName name="элетро" localSheetId="6">'[38]1-энерго'!#REF!</definedName>
    <definedName name="элетро" localSheetId="5">'[38]1-энерго'!#REF!</definedName>
    <definedName name="элетро" localSheetId="1">'[38]1-энерго'!#REF!</definedName>
    <definedName name="элетро">'[38]1-энерго'!#REF!</definedName>
    <definedName name="Эмали" localSheetId="6">#REF!</definedName>
    <definedName name="Эмали">#REF!</definedName>
    <definedName name="Эмали_1" localSheetId="6">#REF!</definedName>
    <definedName name="Эмали_1">#REF!</definedName>
    <definedName name="Эмали_1_1" localSheetId="6">#REF!</definedName>
    <definedName name="Эмали_1_1">#REF!</definedName>
    <definedName name="Эмали_1_1_1" localSheetId="6">#REF!</definedName>
    <definedName name="Эмали_1_1_1">#REF!</definedName>
    <definedName name="Эмали_2" localSheetId="6">#REF!</definedName>
    <definedName name="Эмали_2">#REF!</definedName>
    <definedName name="Эмали_2_1" localSheetId="6">#REF!</definedName>
    <definedName name="Эмали_2_1">#REF!</definedName>
    <definedName name="я" localSheetId="6">'[11]1-энерго'!#REF!</definedName>
    <definedName name="я" localSheetId="2">'[11]1-энерго'!#REF!</definedName>
    <definedName name="я" localSheetId="13">'[16]1-энерго'!#REF!</definedName>
    <definedName name="я" localSheetId="5">'[11]1-энерго'!#REF!</definedName>
    <definedName name="я" localSheetId="1">'[11]1-энерго'!#REF!</definedName>
    <definedName name="я">'[16]1-энерго'!#REF!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8" l="1"/>
  <c r="N28" i="28"/>
  <c r="N29" i="28"/>
  <c r="L27" i="28"/>
  <c r="L28" i="28"/>
  <c r="L29" i="28"/>
  <c r="K29" i="28"/>
  <c r="K28" i="28"/>
  <c r="K27" i="28"/>
  <c r="U25" i="28"/>
  <c r="U26" i="28"/>
  <c r="U27" i="28"/>
  <c r="U28" i="28"/>
  <c r="U29" i="28"/>
  <c r="S25" i="28"/>
  <c r="S26" i="28"/>
  <c r="S27" i="28"/>
  <c r="S28" i="28"/>
  <c r="S29" i="28"/>
  <c r="R29" i="28"/>
  <c r="R28" i="28"/>
  <c r="R27" i="28"/>
  <c r="R26" i="28"/>
  <c r="R25" i="28"/>
  <c r="F141" i="29"/>
  <c r="S76" i="29"/>
  <c r="Q383" i="29"/>
  <c r="M383" i="29"/>
  <c r="Q382" i="29"/>
  <c r="M382" i="29"/>
  <c r="Q381" i="29"/>
  <c r="M381" i="29"/>
  <c r="Q380" i="29"/>
  <c r="Q379" i="29"/>
  <c r="M379" i="29"/>
  <c r="N372" i="29"/>
  <c r="S372" i="29" s="1"/>
  <c r="K372" i="29"/>
  <c r="J372" i="29"/>
  <c r="H372" i="29"/>
  <c r="G372" i="29"/>
  <c r="S371" i="29"/>
  <c r="S370" i="29"/>
  <c r="S369" i="29"/>
  <c r="S368" i="29"/>
  <c r="S367" i="29"/>
  <c r="S366" i="29"/>
  <c r="S365" i="29"/>
  <c r="S364" i="29"/>
  <c r="S363" i="29"/>
  <c r="S362" i="29"/>
  <c r="S361" i="29"/>
  <c r="S360" i="29"/>
  <c r="S359" i="29"/>
  <c r="S358" i="29"/>
  <c r="S357" i="29"/>
  <c r="S356" i="29"/>
  <c r="S355" i="29"/>
  <c r="S354" i="29"/>
  <c r="S353" i="29"/>
  <c r="S352" i="29"/>
  <c r="S351" i="29"/>
  <c r="S350" i="29"/>
  <c r="S349" i="29"/>
  <c r="S348" i="29"/>
  <c r="S347" i="29"/>
  <c r="S346" i="29"/>
  <c r="S345" i="29"/>
  <c r="S344" i="29"/>
  <c r="S343" i="29"/>
  <c r="S342" i="29"/>
  <c r="S341" i="29"/>
  <c r="S340" i="29"/>
  <c r="S339" i="29"/>
  <c r="S338" i="29"/>
  <c r="S337" i="29"/>
  <c r="S336" i="29"/>
  <c r="S335" i="29"/>
  <c r="S334" i="29"/>
  <c r="S333" i="29"/>
  <c r="S332" i="29"/>
  <c r="S331" i="29"/>
  <c r="S330" i="29"/>
  <c r="S329" i="29"/>
  <c r="S328" i="29"/>
  <c r="S327" i="29"/>
  <c r="S326" i="29"/>
  <c r="S325" i="29"/>
  <c r="S324" i="29"/>
  <c r="S323" i="29"/>
  <c r="S322" i="29"/>
  <c r="S321" i="29"/>
  <c r="S320" i="29"/>
  <c r="S319" i="29"/>
  <c r="S318" i="29"/>
  <c r="S317" i="29"/>
  <c r="S316" i="29"/>
  <c r="S315" i="29"/>
  <c r="S314" i="29"/>
  <c r="S313" i="29"/>
  <c r="S312" i="29"/>
  <c r="S311" i="29"/>
  <c r="S310" i="29"/>
  <c r="S309" i="29"/>
  <c r="S308" i="29"/>
  <c r="S307" i="29"/>
  <c r="S306" i="29"/>
  <c r="S305" i="29"/>
  <c r="S304" i="29"/>
  <c r="S303" i="29"/>
  <c r="S302" i="29"/>
  <c r="S301" i="29"/>
  <c r="S300" i="29"/>
  <c r="S299" i="29"/>
  <c r="S298" i="29"/>
  <c r="S297" i="29"/>
  <c r="S296" i="29"/>
  <c r="S295" i="29"/>
  <c r="S294" i="29"/>
  <c r="S293" i="29"/>
  <c r="S292" i="29"/>
  <c r="S291" i="29"/>
  <c r="S290" i="29"/>
  <c r="S289" i="29"/>
  <c r="S288" i="29"/>
  <c r="S287" i="29"/>
  <c r="S286" i="29"/>
  <c r="S285" i="29"/>
  <c r="S284" i="29"/>
  <c r="S283" i="29"/>
  <c r="S282" i="29"/>
  <c r="S281" i="29"/>
  <c r="S280" i="29"/>
  <c r="S279" i="29"/>
  <c r="S278" i="29"/>
  <c r="S277" i="29"/>
  <c r="S276" i="29"/>
  <c r="S275" i="29"/>
  <c r="S274" i="29"/>
  <c r="S273" i="29"/>
  <c r="S272" i="29"/>
  <c r="S271" i="29"/>
  <c r="S270" i="29"/>
  <c r="S269" i="29"/>
  <c r="S268" i="29"/>
  <c r="S267" i="29"/>
  <c r="S266" i="29"/>
  <c r="S265" i="29"/>
  <c r="S264" i="29"/>
  <c r="S263" i="29"/>
  <c r="S262" i="29"/>
  <c r="S261" i="29"/>
  <c r="S260" i="29"/>
  <c r="S259" i="29"/>
  <c r="S258" i="29"/>
  <c r="S257" i="29"/>
  <c r="S256" i="29"/>
  <c r="S255" i="29"/>
  <c r="S254" i="29"/>
  <c r="S253" i="29"/>
  <c r="S252" i="29"/>
  <c r="S251" i="29"/>
  <c r="S250" i="29"/>
  <c r="S249" i="29"/>
  <c r="S248" i="29"/>
  <c r="S247" i="29"/>
  <c r="S246" i="29"/>
  <c r="S245" i="29"/>
  <c r="S244" i="29"/>
  <c r="S243" i="29"/>
  <c r="S242" i="29"/>
  <c r="S241" i="29"/>
  <c r="S240" i="29"/>
  <c r="S239" i="29"/>
  <c r="S238" i="29"/>
  <c r="S237" i="29"/>
  <c r="S236" i="29"/>
  <c r="S235" i="29"/>
  <c r="S234" i="29"/>
  <c r="S233" i="29"/>
  <c r="S232" i="29"/>
  <c r="S231" i="29"/>
  <c r="S230" i="29"/>
  <c r="S229" i="29"/>
  <c r="S228" i="29"/>
  <c r="S227" i="29"/>
  <c r="S226" i="29"/>
  <c r="S225" i="29"/>
  <c r="S224" i="29"/>
  <c r="S223" i="29"/>
  <c r="S222" i="29"/>
  <c r="S221" i="29"/>
  <c r="S220" i="29"/>
  <c r="S219" i="29"/>
  <c r="S218" i="29"/>
  <c r="S217" i="29"/>
  <c r="S216" i="29"/>
  <c r="S215" i="29"/>
  <c r="S214" i="29"/>
  <c r="S213" i="29"/>
  <c r="S212" i="29"/>
  <c r="S211" i="29"/>
  <c r="S210" i="29"/>
  <c r="S209" i="29"/>
  <c r="S208" i="29"/>
  <c r="S207" i="29"/>
  <c r="S206" i="29"/>
  <c r="S205" i="29"/>
  <c r="S204" i="29"/>
  <c r="S203" i="29"/>
  <c r="S202" i="29"/>
  <c r="S201" i="29"/>
  <c r="S200" i="29"/>
  <c r="S199" i="29"/>
  <c r="S198" i="29"/>
  <c r="S197" i="29"/>
  <c r="S196" i="29"/>
  <c r="S195" i="29"/>
  <c r="S194" i="29"/>
  <c r="S193" i="29"/>
  <c r="S192" i="29"/>
  <c r="S191" i="29"/>
  <c r="S190" i="29"/>
  <c r="S189" i="29"/>
  <c r="S188" i="29"/>
  <c r="S187" i="29"/>
  <c r="S186" i="29"/>
  <c r="S185" i="29"/>
  <c r="S184" i="29"/>
  <c r="S183" i="29"/>
  <c r="S182" i="29"/>
  <c r="S181" i="29"/>
  <c r="S180" i="29"/>
  <c r="S179" i="29"/>
  <c r="S178" i="29"/>
  <c r="S177" i="29"/>
  <c r="S176" i="29"/>
  <c r="S175" i="29"/>
  <c r="S174" i="29"/>
  <c r="S173" i="29"/>
  <c r="S172" i="29"/>
  <c r="S171" i="29"/>
  <c r="S170" i="29"/>
  <c r="S169" i="29"/>
  <c r="S168" i="29"/>
  <c r="S167" i="29"/>
  <c r="S166" i="29"/>
  <c r="S165" i="29"/>
  <c r="S164" i="29"/>
  <c r="S163" i="29"/>
  <c r="S162" i="29"/>
  <c r="S161" i="29"/>
  <c r="S160" i="29"/>
  <c r="S159" i="29"/>
  <c r="S158" i="29"/>
  <c r="S157" i="29"/>
  <c r="S156" i="29"/>
  <c r="S155" i="29"/>
  <c r="S154" i="29"/>
  <c r="S153" i="29"/>
  <c r="S152" i="29"/>
  <c r="S151" i="29"/>
  <c r="S150" i="29"/>
  <c r="S149" i="29"/>
  <c r="S148" i="29"/>
  <c r="N141" i="29"/>
  <c r="S141" i="29" s="1"/>
  <c r="K141" i="29"/>
  <c r="J141" i="29"/>
  <c r="G375" i="29" s="1"/>
  <c r="H141" i="29"/>
  <c r="S140" i="29"/>
  <c r="S139" i="29"/>
  <c r="S138" i="29"/>
  <c r="S137" i="29"/>
  <c r="S136" i="29"/>
  <c r="S135" i="29"/>
  <c r="S134" i="29"/>
  <c r="S133" i="29"/>
  <c r="S132" i="29"/>
  <c r="S131" i="29"/>
  <c r="S130" i="29"/>
  <c r="S129" i="29"/>
  <c r="S128" i="29"/>
  <c r="S127" i="29"/>
  <c r="S126" i="29"/>
  <c r="S125" i="29"/>
  <c r="S124" i="29"/>
  <c r="S123" i="29"/>
  <c r="S122" i="29"/>
  <c r="S121" i="29"/>
  <c r="S120" i="29"/>
  <c r="S119" i="29"/>
  <c r="S118" i="29"/>
  <c r="S117" i="29"/>
  <c r="S116" i="29"/>
  <c r="S115" i="29"/>
  <c r="S114" i="29"/>
  <c r="S113" i="29"/>
  <c r="S112" i="29"/>
  <c r="S111" i="29"/>
  <c r="S110" i="29"/>
  <c r="S109" i="29"/>
  <c r="S108" i="29"/>
  <c r="S107" i="29"/>
  <c r="S106" i="29"/>
  <c r="S105" i="29"/>
  <c r="S104" i="29"/>
  <c r="S103" i="29"/>
  <c r="S102" i="29"/>
  <c r="S101" i="29"/>
  <c r="S100" i="29"/>
  <c r="S99" i="29"/>
  <c r="S98" i="29"/>
  <c r="S97" i="29"/>
  <c r="S96" i="29"/>
  <c r="S95" i="29"/>
  <c r="S94" i="29"/>
  <c r="S93" i="29"/>
  <c r="S92" i="29"/>
  <c r="S91" i="29"/>
  <c r="S90" i="29"/>
  <c r="S89" i="29"/>
  <c r="S88" i="29"/>
  <c r="S87" i="29"/>
  <c r="S86" i="29"/>
  <c r="S85" i="29"/>
  <c r="S84" i="29"/>
  <c r="S83" i="29"/>
  <c r="S82" i="29"/>
  <c r="S81" i="29"/>
  <c r="S80" i="29"/>
  <c r="S79" i="29"/>
  <c r="S78" i="29"/>
  <c r="S77" i="29"/>
  <c r="S75" i="29"/>
  <c r="S74" i="29"/>
  <c r="S73" i="29"/>
  <c r="S72" i="29"/>
  <c r="S71" i="29"/>
  <c r="S70" i="29"/>
  <c r="S69" i="29"/>
  <c r="S68" i="29"/>
  <c r="S67" i="29"/>
  <c r="S66" i="29"/>
  <c r="S65" i="29"/>
  <c r="S64" i="29"/>
  <c r="S63" i="29"/>
  <c r="S62" i="29"/>
  <c r="S61" i="29"/>
  <c r="S60" i="29"/>
  <c r="S59" i="29"/>
  <c r="S58" i="29"/>
  <c r="S57" i="29"/>
  <c r="S56" i="29"/>
  <c r="S55" i="29"/>
  <c r="S54" i="29"/>
  <c r="S53" i="29"/>
  <c r="S52" i="29"/>
  <c r="S51" i="29"/>
  <c r="S50" i="29"/>
  <c r="S49" i="29"/>
  <c r="S48" i="29"/>
  <c r="S47" i="29"/>
  <c r="S46" i="29"/>
  <c r="S45" i="29"/>
  <c r="S44" i="29"/>
  <c r="S43" i="29"/>
  <c r="S42" i="29"/>
  <c r="S41" i="29"/>
  <c r="S40" i="29"/>
  <c r="S39" i="29"/>
  <c r="S38" i="29"/>
  <c r="S37" i="29"/>
  <c r="S36" i="29"/>
  <c r="S35" i="29"/>
  <c r="S34" i="29"/>
  <c r="S33" i="29"/>
  <c r="S32" i="29"/>
  <c r="S31" i="29"/>
  <c r="S30" i="29"/>
  <c r="S29" i="29"/>
  <c r="S28" i="29"/>
  <c r="S27" i="29"/>
  <c r="S26" i="29"/>
  <c r="S25" i="29"/>
  <c r="S24" i="29"/>
  <c r="S23" i="29"/>
  <c r="S22" i="29"/>
  <c r="S21" i="29"/>
  <c r="G21" i="29"/>
  <c r="M380" i="29" s="1"/>
  <c r="G380" i="29" s="1"/>
  <c r="H380" i="29" s="1"/>
  <c r="S20" i="29"/>
  <c r="S19" i="29"/>
  <c r="S18" i="29"/>
  <c r="S17" i="29"/>
  <c r="U21" i="28"/>
  <c r="S21" i="28"/>
  <c r="R21" i="28"/>
  <c r="U20" i="28"/>
  <c r="S20" i="28"/>
  <c r="R20" i="28"/>
  <c r="U19" i="28"/>
  <c r="S19" i="28"/>
  <c r="R19" i="28"/>
  <c r="U18" i="28"/>
  <c r="S18" i="28"/>
  <c r="R18" i="28"/>
  <c r="U17" i="28"/>
  <c r="S17" i="28"/>
  <c r="R17" i="28"/>
  <c r="N21" i="28"/>
  <c r="L21" i="28"/>
  <c r="K21" i="28"/>
  <c r="N20" i="28"/>
  <c r="L20" i="28"/>
  <c r="K20" i="28"/>
  <c r="N19" i="28"/>
  <c r="L19" i="28"/>
  <c r="K19" i="28"/>
  <c r="N18" i="28"/>
  <c r="L18" i="28"/>
  <c r="K18" i="28"/>
  <c r="N17" i="28"/>
  <c r="L17" i="28"/>
  <c r="K17" i="28"/>
  <c r="H18" i="28"/>
  <c r="F18" i="28"/>
  <c r="E18" i="28"/>
  <c r="H17" i="28"/>
  <c r="F17" i="28"/>
  <c r="E17" i="28"/>
  <c r="U11" i="28"/>
  <c r="U14" i="28" s="1"/>
  <c r="S11" i="28"/>
  <c r="Q13" i="28"/>
  <c r="Q21" i="28" s="1"/>
  <c r="Q12" i="28"/>
  <c r="Q20" i="28" s="1"/>
  <c r="Q11" i="28"/>
  <c r="Q19" i="28" s="1"/>
  <c r="Q10" i="28"/>
  <c r="Q18" i="28" s="1"/>
  <c r="Q9" i="28"/>
  <c r="Q17" i="28" s="1"/>
  <c r="N10" i="28"/>
  <c r="N14" i="28" s="1"/>
  <c r="M10" i="28"/>
  <c r="J13" i="28"/>
  <c r="J21" i="28" s="1"/>
  <c r="J12" i="28"/>
  <c r="J20" i="28" s="1"/>
  <c r="J11" i="28"/>
  <c r="J19" i="28" s="1"/>
  <c r="J10" i="28"/>
  <c r="J18" i="28" s="1"/>
  <c r="J9" i="28"/>
  <c r="J17" i="28" s="1"/>
  <c r="H10" i="28"/>
  <c r="H14" i="28" s="1"/>
  <c r="G10" i="28"/>
  <c r="D13" i="28"/>
  <c r="D21" i="28" s="1"/>
  <c r="D12" i="28"/>
  <c r="D20" i="28" s="1"/>
  <c r="D11" i="28"/>
  <c r="D19" i="28" s="1"/>
  <c r="D10" i="28"/>
  <c r="D18" i="28" s="1"/>
  <c r="D9" i="28"/>
  <c r="D17" i="28" s="1"/>
  <c r="H9" i="4"/>
  <c r="H28" i="28" l="1"/>
  <c r="H29" i="28"/>
  <c r="K30" i="28"/>
  <c r="N30" i="28"/>
  <c r="H22" i="28"/>
  <c r="U22" i="28"/>
  <c r="L30" i="28"/>
  <c r="H26" i="28"/>
  <c r="H27" i="28"/>
  <c r="H25" i="28"/>
  <c r="U30" i="28"/>
  <c r="R30" i="28"/>
  <c r="S30" i="28"/>
  <c r="G141" i="29"/>
  <c r="G379" i="29"/>
  <c r="H379" i="29" s="1"/>
  <c r="G381" i="29"/>
  <c r="H381" i="29" s="1"/>
  <c r="G383" i="29"/>
  <c r="H383" i="29" s="1"/>
  <c r="G382" i="29"/>
  <c r="H382" i="29" s="1"/>
  <c r="E28" i="28"/>
  <c r="E27" i="28"/>
  <c r="R22" i="28"/>
  <c r="E26" i="28"/>
  <c r="E25" i="28"/>
  <c r="E29" i="28"/>
  <c r="E22" i="28"/>
  <c r="K22" i="28"/>
  <c r="N505" i="1"/>
  <c r="K505" i="1"/>
  <c r="J505" i="1"/>
  <c r="H505" i="1"/>
  <c r="G505" i="1"/>
  <c r="S504" i="1"/>
  <c r="H30" i="28" l="1"/>
  <c r="G384" i="29"/>
  <c r="E30" i="28"/>
  <c r="L9" i="4"/>
  <c r="K9" i="4"/>
  <c r="J9" i="4"/>
  <c r="I9" i="4"/>
  <c r="M9" i="4"/>
  <c r="J274" i="1"/>
  <c r="N9" i="4" l="1"/>
  <c r="O9" i="4" s="1"/>
  <c r="P9" i="4" s="1"/>
  <c r="Q9" i="4" s="1"/>
  <c r="I6" i="4"/>
  <c r="S244" i="1" l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05" i="1"/>
  <c r="S206" i="1"/>
  <c r="S207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164" i="1"/>
  <c r="S165" i="1"/>
  <c r="S166" i="1"/>
  <c r="S167" i="1"/>
  <c r="S168" i="1"/>
  <c r="S169" i="1"/>
  <c r="S170" i="1"/>
  <c r="S171" i="1"/>
  <c r="G508" i="1" l="1"/>
  <c r="K274" i="1"/>
  <c r="S434" i="1" l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298" i="1" l="1"/>
  <c r="S297" i="1"/>
  <c r="S296" i="1"/>
  <c r="S286" i="1"/>
  <c r="S287" i="1"/>
  <c r="S288" i="1"/>
  <c r="S289" i="1"/>
  <c r="S290" i="1"/>
  <c r="S291" i="1"/>
  <c r="S292" i="1"/>
  <c r="S293" i="1"/>
  <c r="S294" i="1"/>
  <c r="S295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41" i="1" l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40" i="1"/>
  <c r="S39" i="1"/>
  <c r="S38" i="1"/>
  <c r="S37" i="1"/>
  <c r="S36" i="1"/>
  <c r="S35" i="1"/>
  <c r="S282" i="1" l="1"/>
  <c r="S283" i="1"/>
  <c r="S284" i="1"/>
  <c r="S285" i="1"/>
  <c r="S281" i="1"/>
  <c r="G21" i="1" l="1"/>
  <c r="F10" i="28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17" i="1"/>
  <c r="Q516" i="1" l="1"/>
  <c r="Q515" i="1"/>
  <c r="Q514" i="1"/>
  <c r="Q513" i="1"/>
  <c r="Q512" i="1"/>
  <c r="M516" i="1"/>
  <c r="M515" i="1"/>
  <c r="M514" i="1"/>
  <c r="M513" i="1"/>
  <c r="M512" i="1"/>
  <c r="N274" i="1"/>
  <c r="S274" i="1" s="1"/>
  <c r="H274" i="1"/>
  <c r="G274" i="1"/>
  <c r="M6" i="4" l="1"/>
  <c r="N6" i="4" s="1"/>
  <c r="O6" i="4" s="1"/>
  <c r="P6" i="4" s="1"/>
  <c r="Q6" i="4" s="1"/>
  <c r="S505" i="1" l="1"/>
  <c r="M7" i="4" l="1"/>
  <c r="F6" i="4" l="1"/>
  <c r="F7" i="4" l="1"/>
  <c r="I16" i="27" l="1"/>
  <c r="H16" i="27"/>
  <c r="G16" i="27"/>
  <c r="F16" i="27"/>
  <c r="J16" i="27" l="1"/>
  <c r="K26" i="26"/>
  <c r="J26" i="26"/>
  <c r="I26" i="26"/>
  <c r="H26" i="26"/>
  <c r="B55" i="22"/>
  <c r="J55" i="22"/>
  <c r="I55" i="22"/>
  <c r="H55" i="22"/>
  <c r="G55" i="22"/>
  <c r="L26" i="26" l="1"/>
  <c r="K55" i="22"/>
  <c r="U13" i="18"/>
  <c r="B13" i="26" l="1"/>
  <c r="C13" i="26" s="1"/>
  <c r="B8" i="25" l="1"/>
  <c r="G3" i="25"/>
  <c r="G5" i="25"/>
  <c r="H3" i="25"/>
  <c r="I3" i="25" l="1"/>
  <c r="J3" i="25" s="1"/>
  <c r="F2" i="27"/>
  <c r="N6" i="27"/>
  <c r="M6" i="27"/>
  <c r="L6" i="27" s="1"/>
  <c r="D6" i="27"/>
  <c r="C6" i="27"/>
  <c r="E6" i="27" l="1"/>
  <c r="F6" i="27" s="1"/>
  <c r="G6" i="27" s="1"/>
  <c r="O6" i="27"/>
  <c r="H6" i="27" s="1"/>
  <c r="E7" i="27" l="1"/>
  <c r="H7" i="27"/>
  <c r="F7" i="27"/>
  <c r="G7" i="27" l="1"/>
  <c r="I7" i="27" s="1"/>
  <c r="I6" i="27"/>
  <c r="H9" i="25" l="1"/>
  <c r="B10" i="25"/>
  <c r="B9" i="25" s="1"/>
  <c r="B11" i="25"/>
  <c r="B12" i="25" l="1"/>
  <c r="K3" i="25" s="1"/>
  <c r="B16" i="26" l="1"/>
  <c r="C16" i="26" s="1"/>
  <c r="B15" i="26"/>
  <c r="G6" i="26"/>
  <c r="G5" i="26"/>
  <c r="F6" i="26"/>
  <c r="F5" i="26"/>
  <c r="L3" i="25"/>
  <c r="B14" i="26" l="1"/>
  <c r="C14" i="26" s="1"/>
  <c r="C15" i="26"/>
  <c r="H6" i="26"/>
  <c r="I6" i="26" s="1"/>
  <c r="J6" i="26" s="1"/>
  <c r="H5" i="26"/>
  <c r="B17" i="26" l="1"/>
  <c r="K5" i="26" s="1"/>
  <c r="C17" i="26"/>
  <c r="B18" i="26"/>
  <c r="K6" i="26"/>
  <c r="L6" i="26" s="1"/>
  <c r="I5" i="26"/>
  <c r="I7" i="26" s="1"/>
  <c r="H7" i="26"/>
  <c r="J5" i="26" l="1"/>
  <c r="J7" i="26" s="1"/>
  <c r="K7" i="26"/>
  <c r="L5" i="26" l="1"/>
  <c r="L7" i="26"/>
  <c r="L43" i="22" l="1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M19" i="22"/>
  <c r="N19" i="22" s="1"/>
  <c r="O19" i="22" s="1"/>
  <c r="P19" i="22" s="1"/>
  <c r="S18" i="22"/>
  <c r="S19" i="22" s="1"/>
  <c r="F11" i="22"/>
  <c r="F9" i="22"/>
  <c r="S7" i="22"/>
  <c r="R7" i="22"/>
  <c r="R8" i="22" s="1"/>
  <c r="Q7" i="22"/>
  <c r="Q8" i="22" s="1"/>
  <c r="F7" i="22"/>
  <c r="G7" i="22" s="1"/>
  <c r="F5" i="22"/>
  <c r="G5" i="22" s="1"/>
  <c r="H5" i="22" s="1"/>
  <c r="I5" i="22" s="1"/>
  <c r="F4" i="22"/>
  <c r="G4" i="22" s="1"/>
  <c r="H4" i="22" s="1"/>
  <c r="I4" i="22" s="1"/>
  <c r="F12" i="22" l="1"/>
  <c r="H7" i="22"/>
  <c r="G11" i="22"/>
  <c r="H11" i="22" s="1"/>
  <c r="J4" i="22"/>
  <c r="J5" i="22"/>
  <c r="I7" i="22"/>
  <c r="Q9" i="22"/>
  <c r="S8" i="22"/>
  <c r="S9" i="22" s="1"/>
  <c r="K11" i="22" s="1"/>
  <c r="G9" i="22"/>
  <c r="H9" i="22" s="1"/>
  <c r="R9" i="22"/>
  <c r="K9" i="22" s="1"/>
  <c r="S20" i="22"/>
  <c r="G12" i="22" l="1"/>
  <c r="J7" i="22"/>
  <c r="H12" i="22"/>
  <c r="K7" i="22"/>
  <c r="K5" i="22"/>
  <c r="K4" i="22"/>
  <c r="L4" i="22" s="1"/>
  <c r="L5" i="22"/>
  <c r="L7" i="22"/>
  <c r="I11" i="22"/>
  <c r="J11" i="22" s="1"/>
  <c r="L11" i="22" s="1"/>
  <c r="I9" i="22"/>
  <c r="J9" i="22" s="1"/>
  <c r="L9" i="22" s="1"/>
  <c r="Q6" i="21"/>
  <c r="F6" i="21"/>
  <c r="I6" i="21" s="1"/>
  <c r="N6" i="21" s="1"/>
  <c r="Q5" i="21"/>
  <c r="F5" i="21"/>
  <c r="I5" i="21" s="1"/>
  <c r="N5" i="21" s="1"/>
  <c r="Q4" i="21"/>
  <c r="F4" i="21"/>
  <c r="I4" i="21" s="1"/>
  <c r="N4" i="21" s="1"/>
  <c r="Q3" i="21"/>
  <c r="F3" i="21"/>
  <c r="I3" i="21" s="1"/>
  <c r="N3" i="21" s="1"/>
  <c r="K12" i="22" l="1"/>
  <c r="N7" i="21"/>
  <c r="I12" i="22"/>
  <c r="J12" i="22"/>
  <c r="Q7" i="21"/>
  <c r="O5" i="21"/>
  <c r="P5" i="21" s="1"/>
  <c r="R5" i="21" s="1"/>
  <c r="O6" i="21"/>
  <c r="P6" i="21" s="1"/>
  <c r="R6" i="21" s="1"/>
  <c r="O3" i="21"/>
  <c r="O4" i="21"/>
  <c r="P4" i="21" s="1"/>
  <c r="R4" i="21" s="1"/>
  <c r="L8" i="20"/>
  <c r="C8" i="20"/>
  <c r="I8" i="20" s="1"/>
  <c r="L7" i="20"/>
  <c r="C7" i="20"/>
  <c r="I7" i="20" s="1"/>
  <c r="L6" i="20"/>
  <c r="C6" i="20"/>
  <c r="I6" i="20" s="1"/>
  <c r="L5" i="20"/>
  <c r="C5" i="20"/>
  <c r="I5" i="20" s="1"/>
  <c r="L4" i="20"/>
  <c r="C4" i="20"/>
  <c r="I4" i="20" s="1"/>
  <c r="L12" i="22" l="1"/>
  <c r="P3" i="21"/>
  <c r="P7" i="21" s="1"/>
  <c r="R7" i="21" s="1"/>
  <c r="O7" i="21"/>
  <c r="L9" i="20"/>
  <c r="I9" i="20"/>
  <c r="P9" i="20" s="1"/>
  <c r="P6" i="20"/>
  <c r="P8" i="20"/>
  <c r="P4" i="20"/>
  <c r="J11" i="20"/>
  <c r="K11" i="20" s="1"/>
  <c r="P5" i="20"/>
  <c r="J5" i="20"/>
  <c r="J13" i="20"/>
  <c r="K13" i="20" s="1"/>
  <c r="P7" i="20"/>
  <c r="J7" i="20"/>
  <c r="V5" i="20"/>
  <c r="V7" i="20"/>
  <c r="J10" i="20"/>
  <c r="K10" i="20" s="1"/>
  <c r="J12" i="20"/>
  <c r="K12" i="20" s="1"/>
  <c r="J14" i="20"/>
  <c r="K14" i="20" s="1"/>
  <c r="J4" i="20"/>
  <c r="V4" i="20"/>
  <c r="J6" i="20"/>
  <c r="V6" i="20"/>
  <c r="J8" i="20"/>
  <c r="V8" i="20"/>
  <c r="R3" i="21" l="1"/>
  <c r="J9" i="20"/>
  <c r="R9" i="20" s="1"/>
  <c r="R6" i="20"/>
  <c r="K6" i="20"/>
  <c r="R7" i="20"/>
  <c r="K7" i="20"/>
  <c r="R8" i="20"/>
  <c r="K8" i="20"/>
  <c r="R4" i="20"/>
  <c r="K4" i="20"/>
  <c r="R5" i="20"/>
  <c r="K5" i="20"/>
  <c r="K9" i="20" l="1"/>
  <c r="S5" i="20"/>
  <c r="M5" i="20"/>
  <c r="T5" i="20" s="1"/>
  <c r="S4" i="20"/>
  <c r="M4" i="20"/>
  <c r="T4" i="20" s="1"/>
  <c r="S8" i="20"/>
  <c r="M8" i="20"/>
  <c r="T8" i="20" s="1"/>
  <c r="S7" i="20"/>
  <c r="M7" i="20"/>
  <c r="T7" i="20" s="1"/>
  <c r="S6" i="20"/>
  <c r="M6" i="20"/>
  <c r="T6" i="20" s="1"/>
  <c r="S9" i="20" l="1"/>
  <c r="M9" i="20"/>
  <c r="N8" i="19"/>
  <c r="J7" i="19"/>
  <c r="I7" i="19"/>
  <c r="K7" i="19" l="1"/>
  <c r="K8" i="19"/>
  <c r="L7" i="19"/>
  <c r="M7" i="19" l="1"/>
  <c r="L8" i="19"/>
  <c r="O7" i="19" l="1"/>
  <c r="M8" i="19"/>
  <c r="O12" i="18" l="1"/>
  <c r="N12" i="18"/>
  <c r="M12" i="18"/>
  <c r="Q12" i="18" s="1"/>
  <c r="L12" i="18"/>
  <c r="P12" i="18" s="1"/>
  <c r="O11" i="18"/>
  <c r="N11" i="18"/>
  <c r="M11" i="18"/>
  <c r="Q11" i="18" s="1"/>
  <c r="L11" i="18"/>
  <c r="P11" i="18" s="1"/>
  <c r="O10" i="18"/>
  <c r="N10" i="18"/>
  <c r="M10" i="18"/>
  <c r="Q10" i="18" s="1"/>
  <c r="L10" i="18"/>
  <c r="P10" i="18" s="1"/>
  <c r="O9" i="18"/>
  <c r="N9" i="18"/>
  <c r="M9" i="18"/>
  <c r="Q9" i="18" s="1"/>
  <c r="L9" i="18"/>
  <c r="P9" i="18" s="1"/>
  <c r="O8" i="18"/>
  <c r="N8" i="18"/>
  <c r="M8" i="18"/>
  <c r="Q8" i="18" s="1"/>
  <c r="L8" i="18"/>
  <c r="O7" i="18"/>
  <c r="N7" i="18"/>
  <c r="M7" i="18"/>
  <c r="Q7" i="18" s="1"/>
  <c r="L7" i="18"/>
  <c r="P7" i="18" s="1"/>
  <c r="O6" i="18"/>
  <c r="N6" i="18"/>
  <c r="M6" i="18"/>
  <c r="Q6" i="18" s="1"/>
  <c r="L6" i="18"/>
  <c r="P6" i="18" s="1"/>
  <c r="R6" i="18" s="1"/>
  <c r="P8" i="18" l="1"/>
  <c r="S6" i="18"/>
  <c r="T6" i="18"/>
  <c r="R7" i="18"/>
  <c r="S7" i="18" s="1"/>
  <c r="T7" i="18" s="1"/>
  <c r="V7" i="18" s="1"/>
  <c r="R8" i="18"/>
  <c r="S8" i="18" s="1"/>
  <c r="T8" i="18" s="1"/>
  <c r="V8" i="18" s="1"/>
  <c r="R9" i="18"/>
  <c r="S9" i="18" s="1"/>
  <c r="T9" i="18" s="1"/>
  <c r="V9" i="18" s="1"/>
  <c r="R10" i="18"/>
  <c r="S10" i="18" s="1"/>
  <c r="T10" i="18" s="1"/>
  <c r="V10" i="18" s="1"/>
  <c r="R11" i="18"/>
  <c r="S11" i="18" s="1"/>
  <c r="T11" i="18" s="1"/>
  <c r="V11" i="18" s="1"/>
  <c r="R12" i="18"/>
  <c r="S12" i="18" s="1"/>
  <c r="T12" i="18" s="1"/>
  <c r="V12" i="18" s="1"/>
  <c r="R13" i="18" l="1"/>
  <c r="T13" i="18"/>
  <c r="V13" i="18" s="1"/>
  <c r="S13" i="18"/>
  <c r="V6" i="18"/>
  <c r="L22" i="17"/>
  <c r="M22" i="17" s="1"/>
  <c r="N22" i="17" s="1"/>
  <c r="K22" i="17"/>
  <c r="AB21" i="17"/>
  <c r="Y21" i="17"/>
  <c r="V21" i="17"/>
  <c r="S21" i="17"/>
  <c r="L21" i="17"/>
  <c r="M21" i="17" s="1"/>
  <c r="N21" i="17" s="1"/>
  <c r="K21" i="17"/>
  <c r="AB20" i="17"/>
  <c r="AB19" i="17" s="1"/>
  <c r="Y20" i="17"/>
  <c r="Y19" i="17" s="1"/>
  <c r="V20" i="17"/>
  <c r="V19" i="17" s="1"/>
  <c r="S20" i="17"/>
  <c r="S19" i="17" s="1"/>
  <c r="S22" i="17" s="1"/>
  <c r="O19" i="17" s="1"/>
  <c r="L20" i="17"/>
  <c r="M20" i="17" s="1"/>
  <c r="N20" i="17" s="1"/>
  <c r="K20" i="17"/>
  <c r="L19" i="17"/>
  <c r="K19" i="17"/>
  <c r="L23" i="17" l="1"/>
  <c r="V22" i="17"/>
  <c r="O20" i="17" s="1"/>
  <c r="P20" i="17" s="1"/>
  <c r="Y22" i="17"/>
  <c r="O21" i="17" s="1"/>
  <c r="P21" i="17" s="1"/>
  <c r="AB22" i="17"/>
  <c r="O22" i="17" s="1"/>
  <c r="P22" i="17" s="1"/>
  <c r="M19" i="17"/>
  <c r="N19" i="17" l="1"/>
  <c r="M23" i="17"/>
  <c r="O23" i="17"/>
  <c r="I6" i="16"/>
  <c r="F5" i="16"/>
  <c r="P19" i="17" l="1"/>
  <c r="N23" i="17"/>
  <c r="P23" i="17" s="1"/>
  <c r="G5" i="16"/>
  <c r="H5" i="16" s="1"/>
  <c r="F6" i="16"/>
  <c r="G6" i="16" l="1"/>
  <c r="J5" i="16"/>
  <c r="H6" i="16"/>
  <c r="I11" i="15" l="1"/>
  <c r="F11" i="15"/>
  <c r="G11" i="15" s="1"/>
  <c r="H11" i="15" s="1"/>
  <c r="J11" i="15" s="1"/>
  <c r="I10" i="15"/>
  <c r="F10" i="15"/>
  <c r="G10" i="15" s="1"/>
  <c r="H10" i="15" s="1"/>
  <c r="I8" i="15"/>
  <c r="F8" i="15"/>
  <c r="G8" i="15" s="1"/>
  <c r="H8" i="15" s="1"/>
  <c r="I7" i="15"/>
  <c r="F7" i="15"/>
  <c r="G7" i="15" s="1"/>
  <c r="H7" i="15" s="1"/>
  <c r="I6" i="15"/>
  <c r="F6" i="15"/>
  <c r="F12" i="15" l="1"/>
  <c r="I12" i="15"/>
  <c r="L13" i="15"/>
  <c r="J7" i="15"/>
  <c r="R13" i="15"/>
  <c r="J8" i="15"/>
  <c r="J10" i="15"/>
  <c r="G6" i="15"/>
  <c r="G12" i="15" s="1"/>
  <c r="N13" i="15" l="1"/>
  <c r="H6" i="15"/>
  <c r="H12" i="15" s="1"/>
  <c r="O13" i="15" l="1"/>
  <c r="P13" i="15" s="1"/>
  <c r="J6" i="15"/>
  <c r="G515" i="1" l="1"/>
  <c r="H515" i="1" s="1"/>
  <c r="I7" i="4"/>
  <c r="N7" i="4" s="1"/>
  <c r="G516" i="1"/>
  <c r="H516" i="1" s="1"/>
  <c r="G514" i="1"/>
  <c r="H514" i="1" s="1"/>
  <c r="G513" i="1"/>
  <c r="H513" i="1" s="1"/>
  <c r="G512" i="1"/>
  <c r="L7" i="4"/>
  <c r="J7" i="4"/>
  <c r="K7" i="4"/>
  <c r="G517" i="1" l="1"/>
  <c r="O7" i="4"/>
  <c r="P7" i="4" s="1"/>
  <c r="Q7" i="4" s="1"/>
  <c r="H512" i="1"/>
</calcChain>
</file>

<file path=xl/sharedStrings.xml><?xml version="1.0" encoding="utf-8"?>
<sst xmlns="http://schemas.openxmlformats.org/spreadsheetml/2006/main" count="2376" uniqueCount="898">
  <si>
    <t>код мероприятия</t>
  </si>
  <si>
    <t>код предприятия</t>
  </si>
  <si>
    <t>Наименование предприятий</t>
  </si>
  <si>
    <t>Наименование мероприятия</t>
  </si>
  <si>
    <t>Годовая экономия</t>
  </si>
  <si>
    <t>Всего ТЭР, т у.т.</t>
  </si>
  <si>
    <t>Совершенствование существующих и внедрение новых энергоэффективных технологических процессов, оборудования и материалов</t>
  </si>
  <si>
    <t>-</t>
  </si>
  <si>
    <t>№</t>
  </si>
  <si>
    <t>Срок окупаемости, год</t>
  </si>
  <si>
    <t>Итого:</t>
  </si>
  <si>
    <t>Электрическая энергия, тыс. кВт*ч</t>
  </si>
  <si>
    <t>Тепловая энергия, Гкал</t>
  </si>
  <si>
    <t>Котельно-печное топливо, т у.т.</t>
  </si>
  <si>
    <t>%</t>
  </si>
  <si>
    <t>Объем финансирования, тыс. руб.</t>
  </si>
  <si>
    <t>Годовой экономический эффект, тыс. руб.</t>
  </si>
  <si>
    <t>Вид продукции</t>
  </si>
  <si>
    <t>План производства продукции на год</t>
  </si>
  <si>
    <t>Планируемая экономия ТЭР</t>
  </si>
  <si>
    <t>Прогрессивные нормы ТЭР</t>
  </si>
  <si>
    <t>Ед. изм.</t>
  </si>
  <si>
    <t>Величина</t>
  </si>
  <si>
    <t>год</t>
  </si>
  <si>
    <t>Гкал</t>
  </si>
  <si>
    <t xml:space="preserve"> Электрическая энергия</t>
  </si>
  <si>
    <t>ОЭЗ</t>
  </si>
  <si>
    <t xml:space="preserve">Экономия </t>
  </si>
  <si>
    <t>Ожидаемая дата внедрения, год</t>
  </si>
  <si>
    <t>В том числе по источникам, тыс. руб.</t>
  </si>
  <si>
    <t>т у.т.</t>
  </si>
  <si>
    <t>тыс. руб.</t>
  </si>
  <si>
    <t>ЭЭ</t>
  </si>
  <si>
    <t>ТЭ</t>
  </si>
  <si>
    <t>КПТ</t>
  </si>
  <si>
    <t>Коэфф. снижения планируемой экономии</t>
  </si>
  <si>
    <t>Коэфф. снижения прогрессивной нормы</t>
  </si>
  <si>
    <t>ИТОГО</t>
  </si>
  <si>
    <t>Экономия по годам</t>
  </si>
  <si>
    <t>Текущие нормы</t>
  </si>
  <si>
    <t>Объем внедрения, ед. изм.</t>
  </si>
  <si>
    <t>Экономический эффект</t>
  </si>
  <si>
    <t>Капиталозатраты, тыс. руб.</t>
  </si>
  <si>
    <t xml:space="preserve">Существующая </t>
  </si>
  <si>
    <t>Нормативная</t>
  </si>
  <si>
    <t>Проектные работы</t>
  </si>
  <si>
    <t>Пуско-наладочные работы</t>
  </si>
  <si>
    <t>Итого</t>
  </si>
  <si>
    <t>Капиталовложения, тыс. руб.</t>
  </si>
  <si>
    <t>тыс. кВт*ч</t>
  </si>
  <si>
    <t>Коэффициент использования</t>
  </si>
  <si>
    <t>Установленная мощность, кВт</t>
  </si>
  <si>
    <t>Время работы, ч</t>
  </si>
  <si>
    <t>Потребление электроэнергии, тыс.кВт*ч</t>
  </si>
  <si>
    <t>Сущ.</t>
  </si>
  <si>
    <t>Нов.</t>
  </si>
  <si>
    <t>Внутри</t>
  </si>
  <si>
    <r>
      <t>Площадь ограждающих конструкций оборудования, м</t>
    </r>
    <r>
      <rPr>
        <vertAlign val="superscript"/>
        <sz val="12"/>
        <color theme="1"/>
        <rFont val="Times New Roman"/>
        <family val="1"/>
        <charset val="204"/>
      </rPr>
      <t>2</t>
    </r>
  </si>
  <si>
    <t>Время работы оборудования в году, ч</t>
  </si>
  <si>
    <r>
      <t xml:space="preserve">Температура окружающей среды, </t>
    </r>
    <r>
      <rPr>
        <sz val="12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</si>
  <si>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Средняя температура оборудования, °С</t>
  </si>
  <si>
    <t>Теплообменники котельной NOVITER</t>
  </si>
  <si>
    <t>тыс.руб</t>
  </si>
  <si>
    <t>за 1 м кв.</t>
  </si>
  <si>
    <t>ts-energo.by</t>
  </si>
  <si>
    <t>Запорная арматура</t>
  </si>
  <si>
    <t>1 м кв. уходит на трубу диаметром 100 мм</t>
  </si>
  <si>
    <t>Установленная мощность существующего двигателя, кВт</t>
  </si>
  <si>
    <t>Установленная мощность внедряемого двигателя, кВт</t>
  </si>
  <si>
    <t>Число часов работы в году, ч</t>
  </si>
  <si>
    <t>Капитало-затраты, млн. руб.</t>
  </si>
  <si>
    <t>Срок окупае-мости, год</t>
  </si>
  <si>
    <t>тыс.кВт*ч</t>
  </si>
  <si>
    <t>кВт</t>
  </si>
  <si>
    <t>обороты</t>
  </si>
  <si>
    <t>кпд</t>
  </si>
  <si>
    <t>производительность</t>
  </si>
  <si>
    <t>напор</t>
  </si>
  <si>
    <t>Насос 3К-ВУ</t>
  </si>
  <si>
    <t>K 80-50-200</t>
  </si>
  <si>
    <t>Насос консольный 1К80-50-200а</t>
  </si>
  <si>
    <t>Насос 4К-6</t>
  </si>
  <si>
    <t>К 100-65-250</t>
  </si>
  <si>
    <t>K 100-65-250 А</t>
  </si>
  <si>
    <t>Насос 3К-ВУФГ 51-58</t>
  </si>
  <si>
    <t>K 100-65-200</t>
  </si>
  <si>
    <t>Марка внедряемого насоса</t>
  </si>
  <si>
    <t>Установленная мощность существующего насоса, кВт</t>
  </si>
  <si>
    <t>Установленная мощность внедряемого насоса, кВт</t>
  </si>
  <si>
    <t>КПД существующего насоса,%</t>
  </si>
  <si>
    <t>КПД внедряемого насоса,%</t>
  </si>
  <si>
    <t>Производительность, м³/ч</t>
  </si>
  <si>
    <t>Напор, м</t>
  </si>
  <si>
    <t>Число часов работы существующего насоса, ч</t>
  </si>
  <si>
    <t>Число часов работы внедряемого насоса, ч</t>
  </si>
  <si>
    <t>Потребление электрической энергии, тыс. кВт∙ч</t>
  </si>
  <si>
    <t>Капиталовложения,  руб.</t>
  </si>
  <si>
    <t>Статья расхода</t>
  </si>
  <si>
    <t>Стоимость,  руб.</t>
  </si>
  <si>
    <t xml:space="preserve"> руб.</t>
  </si>
  <si>
    <t>Основное оборудование (воздухопроводы, арматура, задвижки, клапаны и т.п)</t>
  </si>
  <si>
    <t>Строительно-монтажные</t>
  </si>
  <si>
    <t>Тип сварочного аппарата</t>
  </si>
  <si>
    <t>Количество</t>
  </si>
  <si>
    <t>Напряжение на дуге, В</t>
  </si>
  <si>
    <t>Сила тока, А</t>
  </si>
  <si>
    <t>Основное время сварки, ч</t>
  </si>
  <si>
    <t>КПД существующего источника питания</t>
  </si>
  <si>
    <t>Коэффициент холостого хода</t>
  </si>
  <si>
    <t>Коэффициент, учитывающий время горения дуги в общем времени сварки</t>
  </si>
  <si>
    <t>Потребление электроэнергии источника питания в режиме холостого хода, кВт*ч</t>
  </si>
  <si>
    <t>Расход электроэнергии в основное время сварки, тыс. кВт*ч</t>
  </si>
  <si>
    <t>Потери электроэнергии в период холостого хода, тыс. кВт*ч</t>
  </si>
  <si>
    <t>Суммарный расход электроэнергии, тыс. кВт*ч</t>
  </si>
  <si>
    <t>УДГУ-351</t>
  </si>
  <si>
    <t xml:space="preserve">УДГУ-251 </t>
  </si>
  <si>
    <t>ВДМ-1202С УЗ</t>
  </si>
  <si>
    <t>ТДМ-503У2</t>
  </si>
  <si>
    <t>ТС3Э 1,6/42</t>
  </si>
  <si>
    <t>ЛИГА-41</t>
  </si>
  <si>
    <t>TIg 200P AC/DC</t>
  </si>
  <si>
    <t>Месторасположение</t>
  </si>
  <si>
    <t>Наименование</t>
  </si>
  <si>
    <t>КПД печи, %</t>
  </si>
  <si>
    <t>СНОС-10.13</t>
  </si>
  <si>
    <t>Всего:</t>
  </si>
  <si>
    <t>Здание</t>
  </si>
  <si>
    <r>
      <t>Площадь стен, м</t>
    </r>
    <r>
      <rPr>
        <b/>
        <vertAlign val="superscript"/>
        <sz val="12"/>
        <rFont val="Times New Roman"/>
        <family val="1"/>
        <charset val="204"/>
      </rPr>
      <t>2</t>
    </r>
  </si>
  <si>
    <r>
      <t>Сопротивление теплопередаче стен,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</t>
    </r>
    <r>
      <rPr>
        <b/>
        <sz val="12"/>
        <rFont val="Calibri"/>
        <family val="2"/>
        <charset val="204"/>
      </rPr>
      <t>°</t>
    </r>
    <r>
      <rPr>
        <b/>
        <sz val="12"/>
        <rFont val="Times New Roman"/>
        <family val="1"/>
        <charset val="204"/>
      </rPr>
      <t>С/Вт</t>
    </r>
  </si>
  <si>
    <t>Температура воздуха, °С</t>
  </si>
  <si>
    <t>Длительность отопительного периода, сут</t>
  </si>
  <si>
    <t>Поправочный коэффициент на разность температур</t>
  </si>
  <si>
    <t>Существующее</t>
  </si>
  <si>
    <t>Новое</t>
  </si>
  <si>
    <t>Снаружи</t>
  </si>
  <si>
    <t>Дом железнодорожников</t>
  </si>
  <si>
    <t>Здание флоаторной</t>
  </si>
  <si>
    <t>Служебно-техническое здание</t>
  </si>
  <si>
    <t>Насосная станция(база топлива)</t>
  </si>
  <si>
    <t>Склад модузсных узлов</t>
  </si>
  <si>
    <t>Источник уходящих газов</t>
  </si>
  <si>
    <r>
      <t>Расход природного газа, 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/ч</t>
    </r>
  </si>
  <si>
    <t>Теоретический объем уходящих газов</t>
  </si>
  <si>
    <r>
      <t>Концентрация кислорода (O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) при α=1 (для природного газа)</t>
    </r>
  </si>
  <si>
    <r>
      <t>Концентрация кислорода (O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), %</t>
    </r>
  </si>
  <si>
    <t>Коэффициент избытка воздуха (α)</t>
  </si>
  <si>
    <r>
      <t xml:space="preserve">Температура уходящих газов, </t>
    </r>
    <r>
      <rPr>
        <b/>
        <sz val="12"/>
        <color theme="1"/>
        <rFont val="Calibri"/>
        <family val="2"/>
        <charset val="204"/>
      </rPr>
      <t>°</t>
    </r>
    <r>
      <rPr>
        <b/>
        <sz val="12"/>
        <color theme="1"/>
        <rFont val="Times New Roman"/>
        <family val="1"/>
        <charset val="204"/>
      </rPr>
      <t>С</t>
    </r>
  </si>
  <si>
    <r>
      <t>Расчетный объем уходящих газов, 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/ч</t>
    </r>
  </si>
  <si>
    <r>
      <t>Плотность уходящих газов, кг/м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</si>
  <si>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Теплоемкость уходящих газов, ккал/(кг*</t>
    </r>
    <r>
      <rPr>
        <b/>
        <sz val="12"/>
        <color theme="1"/>
        <rFont val="Calibri"/>
        <family val="2"/>
        <charset val="204"/>
      </rPr>
      <t>°</t>
    </r>
    <r>
      <rPr>
        <b/>
        <sz val="12"/>
        <color theme="1"/>
        <rFont val="Times New Roman"/>
        <family val="1"/>
        <charset val="204"/>
      </rPr>
      <t>С)</t>
    </r>
  </si>
  <si>
    <t>Начальная</t>
  </si>
  <si>
    <t>Конечная</t>
  </si>
  <si>
    <t>Теплогенератор №1</t>
  </si>
  <si>
    <t>Теплогенератор №2</t>
  </si>
  <si>
    <t>Теплогенератор №3</t>
  </si>
  <si>
    <t>Теплогенератор №4</t>
  </si>
  <si>
    <t>№ п/п</t>
  </si>
  <si>
    <t>Наименование оборудования</t>
  </si>
  <si>
    <t>Коэф.использования</t>
  </si>
  <si>
    <t>Сумм.уст.мощность, кВт</t>
  </si>
  <si>
    <t>Расход э/э, кВт·ч</t>
  </si>
  <si>
    <t>Расход э/э с рекуперацией, кВт·ч</t>
  </si>
  <si>
    <t>Ср.годовая экономия усл.топлива</t>
  </si>
  <si>
    <t>Срок окупаемости</t>
  </si>
  <si>
    <t>Курс</t>
  </si>
  <si>
    <t>Цех ТО-3, ТО-1</t>
  </si>
  <si>
    <t>Цена усл.т</t>
  </si>
  <si>
    <t>ТАII-10-16,5-12</t>
  </si>
  <si>
    <t>Электромашинный участок</t>
  </si>
  <si>
    <t>Цех КР и ТР-3</t>
  </si>
  <si>
    <t>22,5-12,5/14-У3</t>
  </si>
  <si>
    <t>Склад модусных узлов</t>
  </si>
  <si>
    <t>КМ-3611</t>
  </si>
  <si>
    <t>Стоимость ЧРЭП на краны</t>
  </si>
  <si>
    <t>Стенд топливных насосов высокого давления</t>
  </si>
  <si>
    <t>Ед.измерения</t>
  </si>
  <si>
    <t>Мощность</t>
  </si>
  <si>
    <t>Время работы</t>
  </si>
  <si>
    <t>Ки</t>
  </si>
  <si>
    <t>Расход ээ, тыс. кВт*ч</t>
  </si>
  <si>
    <t>Станок обточки колесных пар</t>
  </si>
  <si>
    <t>Выпрямитель сварочный многопостовой (8 постов) ВДМ-1202С</t>
  </si>
  <si>
    <t>Автоматизированная сушильная камера тяговых электродвигателей</t>
  </si>
  <si>
    <t>Станок обкатки колесно-моторных блоков</t>
  </si>
  <si>
    <t>Моечная машина</t>
  </si>
  <si>
    <t>Автомат электродуговой сварки в среде инертных газов обмоток якоря с коллектором АДГ 507 УХЛ4</t>
  </si>
  <si>
    <t>Кран мостовой</t>
  </si>
  <si>
    <t>Электропривод насоса</t>
  </si>
  <si>
    <t>Токарно-винторезный станок ДИП500</t>
  </si>
  <si>
    <t>Агрегат многоамперный А2420</t>
  </si>
  <si>
    <t>Зарядное устройство</t>
  </si>
  <si>
    <t>Кран мостовой г/п 10т</t>
  </si>
  <si>
    <t>Широкоуниверсальный консольно-фрезерный станок FU 450RApUG</t>
  </si>
  <si>
    <t>Печь электрическая</t>
  </si>
  <si>
    <t>Сварочный выпрямитель</t>
  </si>
  <si>
    <t>Высокочастотный нагревательный комплекс для нагрева деталей ТЭД ЭД-121А, ЭД-133Р</t>
  </si>
  <si>
    <t>Кран козловой</t>
  </si>
  <si>
    <t>1.</t>
  </si>
  <si>
    <t>2.</t>
  </si>
  <si>
    <t>3.</t>
  </si>
  <si>
    <t>4.</t>
  </si>
  <si>
    <t>5.</t>
  </si>
  <si>
    <t>6.</t>
  </si>
  <si>
    <t>7.</t>
  </si>
  <si>
    <t>ч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</si>
  <si>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</si>
  <si>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</si>
  <si>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</si>
  <si>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</si>
  <si>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</si>
  <si>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</si>
  <si>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</si>
  <si>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</si>
  <si>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</si>
  <si>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</si>
  <si>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</si>
  <si>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тыс.руб.</t>
  </si>
  <si>
    <t>19.</t>
  </si>
  <si>
    <t>20.</t>
  </si>
  <si>
    <t>Расход э/э с рекуперацией</t>
  </si>
  <si>
    <t xml:space="preserve"> кВт·ч</t>
  </si>
  <si>
    <t>Расход э/э</t>
  </si>
  <si>
    <t xml:space="preserve"> кВт</t>
  </si>
  <si>
    <t>лет</t>
  </si>
  <si>
    <t>Капиталовложения</t>
  </si>
  <si>
    <t>Сумм.уст.мощность</t>
  </si>
  <si>
    <t>Наименование котельной</t>
  </si>
  <si>
    <t>Существующий удельный расход котельно-печного топлива на отпуск тепловой энергии котельной, кг у.т/Гкал</t>
  </si>
  <si>
    <t>Планируемый среднегодовой КПД нового котлоагрегата, %</t>
  </si>
  <si>
    <t>Допуск на эксплуатационные условия, %</t>
  </si>
  <si>
    <t>Норматив расхода тепловой энергии на собственные нужды, %</t>
  </si>
  <si>
    <t>КПД котельной после реализации мероприятия, %</t>
  </si>
  <si>
    <t>Расход котельно-печного топлива на отпуск тепловой энергии котельной после реализации мероприятия, кг у.т/Гкал</t>
  </si>
  <si>
    <t>Годовая выработка тепловой энергии, Гкал</t>
  </si>
  <si>
    <t>Котельная очистные сооружения</t>
  </si>
  <si>
    <t>Преобразователь тока №1</t>
  </si>
  <si>
    <t>Преобразователь тока №2</t>
  </si>
  <si>
    <t xml:space="preserve">Основное оборудование </t>
  </si>
  <si>
    <t>тут</t>
  </si>
  <si>
    <t>Название объекта</t>
  </si>
  <si>
    <t>Годовое потребление тепловой энергии на отопление, Гкал</t>
  </si>
  <si>
    <t>Экономия тепловой энергии за счет поддержание комфортной температуры воздуха в помещениях зданий, Гкал</t>
  </si>
  <si>
    <t>Экономия тепловой энергии за счет ликвидации весенне-осенних перетопов, Гкал</t>
  </si>
  <si>
    <t>Стоимость, тыс. руб.</t>
  </si>
  <si>
    <t>Оборудование</t>
  </si>
  <si>
    <t>Строительно-монтажные работы</t>
  </si>
  <si>
    <t>Дом отдыха локомтивных бригад</t>
  </si>
  <si>
    <t>Организационно-технические мероприятия</t>
  </si>
  <si>
    <t>Разработка учебных плакатов по энергосбережению</t>
  </si>
  <si>
    <t>Ежегодное повышение квалификации кадров в области энергосбережения</t>
  </si>
  <si>
    <t>Ежегодное обучение персонала главным энергетиком современным методам экономии электроэнергии</t>
  </si>
  <si>
    <t>Закрепление ответственных за работой оборудования и освещения</t>
  </si>
  <si>
    <t>Разработка и внедрение системы энергетического мониторинга</t>
  </si>
  <si>
    <t>Создание энергогруппы</t>
  </si>
  <si>
    <t>2022</t>
  </si>
  <si>
    <t>Проведение ежеквартально конкурса для работников на лучшее предложение по экономии энергоресурсов</t>
  </si>
  <si>
    <t>Разработка и внедрение Положения о материальном стимулировании за экономию топливно-энергетических ресурсов</t>
  </si>
  <si>
    <r>
      <t>Площадь ограждающих конструкций оборудования, м</t>
    </r>
    <r>
      <rPr>
        <vertAlign val="superscript"/>
        <sz val="12"/>
        <color rgb="FF000000"/>
        <rFont val="Times New Roman"/>
        <family val="1"/>
        <charset val="204"/>
      </rPr>
      <t>2</t>
    </r>
  </si>
  <si>
    <t>Температура окружающей среды, °С</t>
  </si>
  <si>
    <t>Котельная (арматура и паропроводы)</t>
  </si>
  <si>
    <t>Ед. измер.</t>
  </si>
  <si>
    <t>Значение</t>
  </si>
  <si>
    <t>Паровой трехходовой котел VAPOPREX 3GN 5000/15 производства «FERROLI S.p.A» (Италия) производительностью 8,529 т пара в час</t>
  </si>
  <si>
    <t>Тыс. евро</t>
  </si>
  <si>
    <t>Тыс. руб.</t>
  </si>
  <si>
    <r>
      <t>Горелка газовая модулируемая Blu 7000.1 PR с низким выбросом NO</t>
    </r>
    <r>
      <rPr>
        <vertAlign val="subscript"/>
        <sz val="12"/>
        <rFont val="Times New Roman"/>
        <family val="1"/>
        <charset val="204"/>
      </rPr>
      <t>x</t>
    </r>
    <r>
      <rPr>
        <sz val="12"/>
        <rFont val="Times New Roman"/>
        <family val="1"/>
        <charset val="204"/>
      </rPr>
      <t xml:space="preserve"> производства Ecoflam (Италия) мощностью 4000-3200 кВт</t>
    </r>
  </si>
  <si>
    <t>Тыс евро</t>
  </si>
  <si>
    <t>Пусконаладочные работы</t>
  </si>
  <si>
    <t>Итого: суммарные капитальные затраты</t>
  </si>
  <si>
    <t>Экономия топлива</t>
  </si>
  <si>
    <t>Экономия денежных средств</t>
  </si>
  <si>
    <t>Объект</t>
  </si>
  <si>
    <t>Средняя активная мощность, кВт</t>
  </si>
  <si>
    <t>Текущий cos ϕ</t>
  </si>
  <si>
    <t>Табличный коэффициент</t>
  </si>
  <si>
    <t>Реактивная мощность компенсирующего устройства, кВАр</t>
  </si>
  <si>
    <t>Коэффициента изменения потерь (экономический эквивалент), кВт/кВАр</t>
  </si>
  <si>
    <t>Время работы компенсирующего устройства, ч</t>
  </si>
  <si>
    <t>Костюковичский спиртзавод</t>
  </si>
  <si>
    <t>ТП 6006</t>
  </si>
  <si>
    <t>ТП 6752</t>
  </si>
  <si>
    <t>Экономия электрической энергии на нагрев воды для поения животных, тыс. кВт*ч</t>
  </si>
  <si>
    <t>Экономия электрической энергии за счет сокращения выработки холода, тыс. кВт*ч</t>
  </si>
  <si>
    <r>
      <t>Площадь ограждающих конструкций оборудования, м</t>
    </r>
    <r>
      <rPr>
        <vertAlign val="superscript"/>
        <sz val="10"/>
        <color rgb="FF000000"/>
        <rFont val="Times New Roman"/>
        <family val="1"/>
        <charset val="204"/>
      </rPr>
      <t>2</t>
    </r>
  </si>
  <si>
    <t>Технологическое оборудование</t>
  </si>
  <si>
    <t>Бак подпиточной воды</t>
  </si>
  <si>
    <t>Место установки</t>
  </si>
  <si>
    <t>Тип</t>
  </si>
  <si>
    <t>Потребление электрической энергии, тыс. кВт*ч</t>
  </si>
  <si>
    <t>Экономия электрической энергии, тыс. кВт*ч</t>
  </si>
  <si>
    <t>МТФ "Свирель"</t>
  </si>
  <si>
    <t>ЛБ</t>
  </si>
  <si>
    <t>LED</t>
  </si>
  <si>
    <t>ДРЛ</t>
  </si>
  <si>
    <t>ЛН</t>
  </si>
  <si>
    <t>МТФ «Хотень»</t>
  </si>
  <si>
    <t>Административное здание</t>
  </si>
  <si>
    <t>МТФ «Коноховка</t>
  </si>
  <si>
    <t>Комплекс «Березки</t>
  </si>
  <si>
    <t>ЛЛ</t>
  </si>
  <si>
    <t>Мехдвор</t>
  </si>
  <si>
    <t>Зерноток</t>
  </si>
  <si>
    <t>Таблица 5.8.1 – Исходные данные и результаты расчета экономии тепловой энергии за счет внедрения энергоэффективных оконных блоков</t>
  </si>
  <si>
    <r>
      <t>Площадь ограждающих конструкций, м</t>
    </r>
    <r>
      <rPr>
        <b/>
        <vertAlign val="superscript"/>
        <sz val="12"/>
        <rFont val="Times New Roman"/>
        <family val="1"/>
        <charset val="204"/>
      </rPr>
      <t>2</t>
    </r>
  </si>
  <si>
    <r>
      <t>Сопротивление теплопередаче существующих ограждающих конструкций,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*°С/Вт</t>
    </r>
  </si>
  <si>
    <r>
      <t>Сопротивление теплопередаче новых ограждающих конструкций,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*°С/Вт</t>
    </r>
  </si>
  <si>
    <t>Коэффициент, учитывающий положение наружной поверхности ограждающей конструкции по отношению к наружному воздуху</t>
  </si>
  <si>
    <t>Коэффициент, учитывающий влияние встречного теплового потока</t>
  </si>
  <si>
    <t>Удельная теплоемкость воздуха, кДж/(кг*°С)</t>
  </si>
  <si>
    <r>
      <t>Сопротивление воздухопроницанию оконных блоков,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*ч*Па/кг</t>
    </r>
  </si>
  <si>
    <t>Высота здания от поверхности земли до верха карниза, м</t>
  </si>
  <si>
    <t>Скорость ветра, м/с</t>
  </si>
  <si>
    <t>Аэродинамический коэффициент для ограждающих конструкций здания</t>
  </si>
  <si>
    <t>Коэффициент учета изменения скоростного давления ветра в зависимости от высоты здания</t>
  </si>
  <si>
    <t>Наветренная</t>
  </si>
  <si>
    <t>Подветренная</t>
  </si>
  <si>
    <t>Котельная Костюковичского спиртзавода</t>
  </si>
  <si>
    <t>Таблица 5.9.2 - Исходные данные и результаты расчетов экономии тепловой энергии за счет термореновации стен.</t>
  </si>
  <si>
    <r>
      <t>Сопротивление теплопередаче стен,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*°С/Вт</t>
    </r>
  </si>
  <si>
    <t>Капиталовложения в мероприятие</t>
  </si>
  <si>
    <t>Тыс. кВт*ч</t>
  </si>
  <si>
    <t>Модульная котельная</t>
  </si>
  <si>
    <t>Плавильники канифоли</t>
  </si>
  <si>
    <t>Тепловая энергия</t>
  </si>
  <si>
    <r>
      <t>(тыс м</t>
    </r>
    <r>
      <rPr>
        <vertAlign val="superscript"/>
        <sz val="12"/>
        <rFont val="Times New Roman"/>
        <family val="1"/>
        <charset val="204"/>
      </rPr>
      <t>3·</t>
    </r>
    <r>
      <rPr>
        <sz val="12"/>
        <rFont val="Times New Roman"/>
        <family val="1"/>
        <charset val="204"/>
      </rPr>
      <t>сут·°С)</t>
    </r>
  </si>
  <si>
    <t>Мероприятия со сроком окупаемости более 10 лет</t>
  </si>
  <si>
    <t>1</t>
  </si>
  <si>
    <t>2</t>
  </si>
  <si>
    <t>3</t>
  </si>
  <si>
    <t>4</t>
  </si>
  <si>
    <t>5</t>
  </si>
  <si>
    <t>6</t>
  </si>
  <si>
    <t>Республиканский бюджет</t>
  </si>
  <si>
    <t>Республиканский бюджет на финансирование госпрограммы</t>
  </si>
  <si>
    <t>Местный бюджет</t>
  </si>
  <si>
    <t>Другие</t>
  </si>
  <si>
    <t>Кредиты банков, займы</t>
  </si>
  <si>
    <t>Иные</t>
  </si>
  <si>
    <t>Собственные средства организаций</t>
  </si>
  <si>
    <t>Перечень энергосберегающих мероприятий для РУП «Белтелеком» филиал «Междугородная связь» на 2023-2027 гг.</t>
  </si>
  <si>
    <t>Отопление и вентиляция</t>
  </si>
  <si>
    <t>Горячее водоснабжение</t>
  </si>
  <si>
    <t>чел</t>
  </si>
  <si>
    <t>тыс. кВт·ч</t>
  </si>
  <si>
    <t>Услуги связи</t>
  </si>
  <si>
    <t>Внедрение энергоэффективных оконных блоков (ОРТПС Ракитница)</t>
  </si>
  <si>
    <r>
      <t>29 м</t>
    </r>
    <r>
      <rPr>
        <vertAlign val="superscript"/>
        <sz val="12"/>
        <rFont val="Times New Roman"/>
        <family val="1"/>
        <charset val="204"/>
      </rPr>
      <t>2</t>
    </r>
  </si>
  <si>
    <t>Внедрение энергоэффективных оконных блоков (ОРТПС Витебск, складские помещения)</t>
  </si>
  <si>
    <t>Внедрение энергоэффективных оконных блоков (ОРТПС Витебск, бытовые помещения)</t>
  </si>
  <si>
    <t>Внедрение энергоэффективных оконных блоков (АРТПС Обухово)</t>
  </si>
  <si>
    <t>Внедрение энергоэффективных оконных блоков (АРТПС Шарковщина)</t>
  </si>
  <si>
    <r>
      <t>9 м</t>
    </r>
    <r>
      <rPr>
        <vertAlign val="superscript"/>
        <sz val="12"/>
        <rFont val="Times New Roman"/>
        <family val="1"/>
        <charset val="204"/>
      </rPr>
      <t>2</t>
    </r>
  </si>
  <si>
    <r>
      <t>22 м</t>
    </r>
    <r>
      <rPr>
        <vertAlign val="superscript"/>
        <sz val="12"/>
        <rFont val="Times New Roman"/>
        <family val="1"/>
        <charset val="204"/>
      </rPr>
      <t>2</t>
    </r>
  </si>
  <si>
    <r>
      <t>73 м</t>
    </r>
    <r>
      <rPr>
        <vertAlign val="superscript"/>
        <sz val="12"/>
        <rFont val="Times New Roman"/>
        <family val="1"/>
        <charset val="204"/>
      </rPr>
      <t>2</t>
    </r>
  </si>
  <si>
    <r>
      <t>17 м</t>
    </r>
    <r>
      <rPr>
        <vertAlign val="superscript"/>
        <sz val="12"/>
        <rFont val="Times New Roman"/>
        <family val="1"/>
        <charset val="204"/>
      </rPr>
      <t>2</t>
    </r>
  </si>
  <si>
    <t>Внедрение системы водоподготовки на котельной ПВП Шарковщина</t>
  </si>
  <si>
    <t>Внедрение современных энергосберегающих входных дверей на ОРТПС Ракитница</t>
  </si>
  <si>
    <r>
      <t>10,5 м</t>
    </r>
    <r>
      <rPr>
        <vertAlign val="superscript"/>
        <sz val="12"/>
        <rFont val="Times New Roman"/>
        <family val="1"/>
        <charset val="204"/>
      </rPr>
      <t>2</t>
    </r>
  </si>
  <si>
    <t>Уменьшение площади оконных проемов (ОРТПС Ракитница)</t>
  </si>
  <si>
    <t>Уменьшение площади оконных проемов (АРТПС Геранёны)</t>
  </si>
  <si>
    <t>Уменьшение площади оконных проемов (АРТПС Ушачи)</t>
  </si>
  <si>
    <r>
      <t>47 м</t>
    </r>
    <r>
      <rPr>
        <vertAlign val="superscript"/>
        <sz val="12"/>
        <rFont val="Times New Roman"/>
        <family val="1"/>
        <charset val="204"/>
      </rPr>
      <t>2</t>
    </r>
  </si>
  <si>
    <r>
      <t>33 м</t>
    </r>
    <r>
      <rPr>
        <vertAlign val="superscript"/>
        <sz val="12"/>
        <rFont val="Times New Roman"/>
        <family val="1"/>
        <charset val="204"/>
      </rPr>
      <t>2</t>
    </r>
  </si>
  <si>
    <r>
      <t>103 м</t>
    </r>
    <r>
      <rPr>
        <vertAlign val="superscript"/>
        <sz val="12"/>
        <rFont val="Times New Roman"/>
        <family val="1"/>
        <charset val="204"/>
      </rPr>
      <t>2</t>
    </r>
  </si>
  <si>
    <t>Внедрение гелиоводонагревательной системы для нужд ГВС (г. Минск, ул. Севастопольская, 121)</t>
  </si>
  <si>
    <t>Оптимизация системы охлаждения в электрощитовой ОРТПС Гомель</t>
  </si>
  <si>
    <t>Внедрение системы фрикулинга (АРТПС Молодечно)</t>
  </si>
  <si>
    <t>Внедрение системы фрикулинга (АРТПС Пруды)</t>
  </si>
  <si>
    <t>Внедрение системы фрикулинга (АРТПС Плещеницы)</t>
  </si>
  <si>
    <t>Внедрение системы фрикулинга (АРТПС Могилев)</t>
  </si>
  <si>
    <t>Внедрение системы фрикулинга (АРТПС Вербовичи)</t>
  </si>
  <si>
    <t>Внедрение системы фрикулинга (АРТПС Добрынь)</t>
  </si>
  <si>
    <t>Внедрение системы фрикулинга (АРТПС Берёзовка)</t>
  </si>
  <si>
    <t>Внедрение системы фрикулинга (АРТПС Славгород)</t>
  </si>
  <si>
    <t>Внедрение системы фрикулинга (АРТПС Техтин)</t>
  </si>
  <si>
    <t>Внедрение системы фрикулинга (АРТПС Обухово)</t>
  </si>
  <si>
    <t>Внедрение системы фрикулинга (АРТПС Бегомль)</t>
  </si>
  <si>
    <t>Внедрение системы фрикулинга (АРТПС Горы)</t>
  </si>
  <si>
    <t>Внедрение системы фрикулинга (АРТПС Долгиново)</t>
  </si>
  <si>
    <t>Внедрение системы фрикулинга (АРТПС Лялевщина)</t>
  </si>
  <si>
    <t>Внедрение системы фрикулинга (АРТПС Сенно)</t>
  </si>
  <si>
    <t>Внедрение системы фрикулинга (АРТПС Брест)</t>
  </si>
  <si>
    <t>Внедрение системы фрикулинга (АРТПС Ракитница)</t>
  </si>
  <si>
    <t>Внедрение системы фрикулинга (АРТПС Барановичи)</t>
  </si>
  <si>
    <t>Внедрение системы фрикулинга (АРТПС Ганцевичи)</t>
  </si>
  <si>
    <t>Внедрение системы фрикулинга (АРТПС Синкевичи)</t>
  </si>
  <si>
    <t>Внедрение системы фрикулинга (АРТПС Кошелево)</t>
  </si>
  <si>
    <t>Внедрение системы фрикулинга (АРТПС Крево)</t>
  </si>
  <si>
    <t>Внедрение системы фрикулинга (АРТПС Луки)</t>
  </si>
  <si>
    <t>Внедрение системы фрикулинга (АРТПС Скерси)</t>
  </si>
  <si>
    <t>Внедрение системы фрикулинга (АРТПС Трокеники)</t>
  </si>
  <si>
    <t>Замена передатчиков радио- и телевизионного вещания на менее энергоемкие (АПГ-2, передатчик TXTU-250-R-2)</t>
  </si>
  <si>
    <t>Замена передатчиков радио- и телевизионного вещания на менее энергоемкие (АРТПС Барановичи, передатчик TXTU-250-R-2)</t>
  </si>
  <si>
    <t>Замена передатчиков радио- и телевизионного вещания на менее энергоемкие (АРТПС Барановичи, передатчик РТЦ-2000)</t>
  </si>
  <si>
    <t>Замена передатчиков радио- и телевизионного вещания на менее энергоемкие (АРТПС Бегомль, передатчик РТЦ-2000)</t>
  </si>
  <si>
    <t>Замена передатчиков радио- и телевизионного вещания на менее энергоемкие (АРТПС Бегомль, передатчик SDT-202 ARK-6)</t>
  </si>
  <si>
    <t>Замена передатчиков радио- и телевизионного вещания на менее энергоемкие (АРТПС Береза, передатчик РТЦ-1000М-Т2)</t>
  </si>
  <si>
    <t>Замена передатчиков радио- и телевизионного вещания на менее энергоемкие (АРТПС Березино, передатчик РТЦ-2000)</t>
  </si>
  <si>
    <t>Замена передатчиков радио- и телевизионного вещания на менее энергоемкие (АРТПС Березино, передатчик SDT-202 ARK-6)</t>
  </si>
  <si>
    <t>Замена передатчиков радио- и телевизионного вещания на менее энергоемкие (АРТПС Березовка, передатчик РТЦ-1000М-Т2)</t>
  </si>
  <si>
    <t>Замена передатчиков радио- и телевизионного вещания на менее энергоемкие (АРТПС Бегомль, передатчик Агат-1000)</t>
  </si>
  <si>
    <t>Замена передатчиков радио- и телевизионного вещания на менее энергоемкие (АРТПС Березовка, передатчик TXTU-1200-R-2)</t>
  </si>
  <si>
    <t>Замена передатчиков радио- и телевизионного вещания на менее энергоемкие (АРТПС Бобруйск, передатчик TXTU-250-R2)</t>
  </si>
  <si>
    <t>Замена передатчиков радио- и телевизионного вещания на менее энергоемкие (АРТПС Бобруйск, передатчик RT-FMS-4001)</t>
  </si>
  <si>
    <t>Замена передатчиков радио- и телевизионного вещания на менее энергоемкие (АРТПС Бобруйск, передатчик РТЦ-2000)</t>
  </si>
  <si>
    <t>Замена передатчиков радио- и телевизионного вещания на менее энергоемкие (АРТПС Бобруйск, передатчик TXTU-1200-R-2)</t>
  </si>
  <si>
    <t>Замена передатчиков радио- и телевизионного вещания на менее энергоемкие (АРТПС Бобруйск, передатчик Агат-1000)</t>
  </si>
  <si>
    <t>Замена передатчиков радио- и телевизионного вещания на менее энергоемкие (АРТПС Богданово, передатчик РТЦ-2000М-Т2)</t>
  </si>
  <si>
    <t>Замена передатчиков радио- и телевизионного вещания на менее энергоемкие (АРТПС Богданово, передатчик Агат-1000)</t>
  </si>
  <si>
    <t>Замена передатчиков радио- и телевизионного вещания на менее энергоемкие (АРТПС Большие Чучевичи, передатчик Агат-1000)</t>
  </si>
  <si>
    <t>Замена передатчиков радио- и телевизионного вещания на менее энергоемкие (АРТПС Борисов, передатчик Агат-1000)</t>
  </si>
  <si>
    <t>Замена передатчиков радио- и телевизионного вещания на менее энергоемкие (АРТПС Борисов, передатчик РТЦ-2000)</t>
  </si>
  <si>
    <t>Замена передатчиков радио- и телевизионного вещания на менее энергоемкие (АРТПС Брагин, передатчик RT-FMS-4001)</t>
  </si>
  <si>
    <t>Замена передатчиков радио- и телевизионного вещания на менее энергоемкие (АРТПС Брагин, передатчик TXTU-1200-R-2)</t>
  </si>
  <si>
    <t>Замена передатчиков радио- и телевизионного вещания на менее энергоемкие (АРТПС Браслав, передатчик RT-FMS-4001)</t>
  </si>
  <si>
    <t>Замена передатчиков радио- и телевизионного вещания на менее энергоемкие (АРТПС Браслав, передатчик РТЦ-2000)</t>
  </si>
  <si>
    <t>Замена передатчиков радио- и телевизионного вещания на менее энергоемкие (АРТПС Браслав, передатчик РТЦ-1000М-Т2)</t>
  </si>
  <si>
    <t>Замена передатчиков радио- и телевизионного вещания на менее энергоемкие (АРТПС Браслав, передатчик TXTU-1200-R-2)</t>
  </si>
  <si>
    <t>Замена передатчиков радио- и телевизионного вещания на менее энергоемкие (АРТПС Бычиха, передатчик Агат-1000)</t>
  </si>
  <si>
    <t>Замена передатчиков радио- и телевизионного вещания на менее энергоемкие (АРТПС Бычиха, передатчик РТЦ-1000М-Т2)</t>
  </si>
  <si>
    <t>Замена передатчиков радио- и телевизионного вещания на менее энергоемкие (АРТПС Бычиха, передатчик TXTU-1200-R-2 (Е))</t>
  </si>
  <si>
    <t>Замена передатчиков радио- и телевизионного вещания на менее энергоемкие (АРТПС Вербовичи, передатчик РТЦ-2000М-Т2)</t>
  </si>
  <si>
    <t>Замена передатчиков радио- и телевизионного вещания на менее энергоемкие (АРТПС Воложин, передатчик TXTU-250-R2)</t>
  </si>
  <si>
    <t>Замена передатчиков радио- и телевизионного вещания на менее энергоемкие (АРТПС Воложин, передатчик РТЦ-600)</t>
  </si>
  <si>
    <t>Замена передатчиков радио- и телевизионного вещания на менее энергоемкие (АРТПС Воложин, передатчик РТЦ-1000М-Т2)</t>
  </si>
  <si>
    <t>Замена передатчиков радио- и телевизионного вещания на менее энергоемкие (АРТПС Волосовичи, передатчик РТЦ-2000)</t>
  </si>
  <si>
    <t>Замена передатчиков радио- и телевизионного вещания на менее энергоемкие (АРТПС Волосовичи, передатчик РТЦ-1000М-Т2)</t>
  </si>
  <si>
    <t>Замена передатчиков радио- и телевизионного вещания на менее энергоемкие (АРТПС Ворновка, передатчик РТЦ-1000М-Т2)</t>
  </si>
  <si>
    <t>Замена передатчиков радио- и телевизионного вещания на менее энергоемкие (АРТПС Ворновка, передатчик RT-FMS-4001)</t>
  </si>
  <si>
    <t>Замена передатчиков радио- и телевизионного вещания на менее энергоемкие (АРТПС Ворновка, передатчик Агат-1000)</t>
  </si>
  <si>
    <t>Замена передатчиков радио- и телевизионного вещания на менее энергоемкие (АРТПС Ганцевичи, передатчик РТЦ-1000М-Т2)</t>
  </si>
  <si>
    <t>Замена передатчиков радио- и телевизионного вещания на менее энергоемкие (АРТПС Ганцевичи, передатчик РТЦ-2000М-Т2)</t>
  </si>
  <si>
    <t>Замена передатчиков радио- и телевизионного вещания на менее энергоемкие (АРТПС Геранены, передатчик РТЦ-2000)</t>
  </si>
  <si>
    <t>Замена передатчиков радио- и телевизионного вещания на менее энергоемкие (АРТПС Горы, передатчик РТЦ-1000М-Т2)</t>
  </si>
  <si>
    <t>Замена передатчиков радио- и телевизионного вещания на менее энергоемкие (АРТПС Горы, передатчик РТЦ-2000)</t>
  </si>
  <si>
    <t>Замена передатчиков радио- и телевизионного вещания на менее энергоемкие (АРТПС Гребёнка, передатчик РТЦ-1000М-Т2)</t>
  </si>
  <si>
    <t>Замена передатчиков радио- и телевизионного вещания на менее энергоемкие (АРТПС Гута, передатчик РТЦ-2000М-Т2)</t>
  </si>
  <si>
    <t>Замена передатчиков радио- и телевизионного вещания на менее энергоемкие (АРТПС Добрынь, передатчик РТЦ-2000М-Т2)</t>
  </si>
  <si>
    <t>Замена передатчиков радио- и телевизионного вещания на менее энергоемкие (АРТПС Добрынь, передатчик Агат-1000)</t>
  </si>
  <si>
    <t>Замена передатчиков радио- и телевизионного вещания на менее энергоемкие (АРТПС Долгиново, передатчик Агат-1000)</t>
  </si>
  <si>
    <t>Замена передатчиков радио- и телевизионного вещания на менее энергоемкие (АРТПС Долгиново, передатчик РТЦ-2000)</t>
  </si>
  <si>
    <t>Замена передатчиков радио- и телевизионного вещания на менее энергоемкие (АРТПС Долгиново, передатчик РТЦ-2000М-Т2)</t>
  </si>
  <si>
    <t>Замена передатчиков радио- и телевизионного вещания на менее энергоемкие (АРТПС Долгиново, передатчик РТЦ-1000М-Т2)</t>
  </si>
  <si>
    <t>Замена передатчиков радио- и телевизионного вещания на менее энергоемкие (АРТПС Дричин, передатчик TXTU-1200-R-2)</t>
  </si>
  <si>
    <t>Замена передатчиков радио- и телевизионного вещания на менее энергоемкие (АРТПС Дричин, передатчик Агат-1000)</t>
  </si>
  <si>
    <t>Замена передатчиков радио- и телевизионного вещания на менее энергоемкие (АРТПС Дричин, передатчик РТЦ-2000)</t>
  </si>
  <si>
    <t>Замена передатчиков радио- и телевизионного вещания на менее энергоемкие (АРТПС Дрогичин, передатчик РТЦ-1000М-Т2)</t>
  </si>
  <si>
    <t>Замена передатчиков радио- и телевизионного вещания на менее энергоемкие (АРТПС Дрогичин, передатчик РТЦ-2000)</t>
  </si>
  <si>
    <t>Замена передатчиков радио- и телевизионного вещания на менее энергоемкие (АРТПС Дрогичин, передатчик TXTU-250-R2)</t>
  </si>
  <si>
    <t>Замена передатчиков радио- и телевизионного вещания на менее энергоемкие (АРТПС Житковичи, передатчик РТЦ-2000)</t>
  </si>
  <si>
    <t>Замена передатчиков радио- и телевизионного вещания на менее энергоемкие (АРТПС Житковичи, передатчик РТЦ-1000М-Т2)</t>
  </si>
  <si>
    <t>Замена передатчиков радио- и телевизионного вещания на менее энергоемкие (АРТПС Жлобин, передатчик Агат-1000)</t>
  </si>
  <si>
    <t>Замена передатчиков радио- и телевизионного вещания на менее энергоемкие (АРТПС Жлобин, передатчик RT-FMS-4001)</t>
  </si>
  <si>
    <t>Замена передатчиков радио- и телевизионного вещания на менее энергоемкие (АРТПС Жлобин, передатчик TXTU-1200-R-2)</t>
  </si>
  <si>
    <t>Замена передатчиков радио- и телевизионного вещания на менее энергоемкие (АРТПС Жлобин, передатчик TXTU-150-R-2)</t>
  </si>
  <si>
    <t>Замена передатчиков радио- и телевизионного вещания на менее энергоемкие (АРТПС Запрудье, передатчик РТЦ-2000М-Т2)</t>
  </si>
  <si>
    <t>Замена передатчиков радио- и телевизионного вещания на менее энергоемкие (АРТПС Запрудье, передатчик Агат-1000)</t>
  </si>
  <si>
    <t>Замена передатчиков радио- и телевизионного вещания на менее энергоемкие (АРТПС Защебье, передатчик TXTU-1200-R-2)</t>
  </si>
  <si>
    <t>Замена передатчиков радио- и телевизионного вещания на менее энергоемкие (АРТПС Копыль, передатчик RT-FMS-4001)</t>
  </si>
  <si>
    <t>Замена передатчиков радио- и телевизионного вещания на менее энергоемкие (АРТПС Копыль, передатчик SDT-202 ARK-6)</t>
  </si>
  <si>
    <t>Замена передатчиков радио- и телевизионного вещания на менее энергоемкие (АРТПС Костюковичи, передатчик RT-FMS-4001)</t>
  </si>
  <si>
    <t>Замена передатчиков радио- и телевизионного вещания на менее энергоемкие (АРТПС Костюковичи, передатчик РТЦ-2000)</t>
  </si>
  <si>
    <t>Замена передатчиков радио- и телевизионного вещания на менее энергоемкие (АРТПС Крево, передатчик TXTU-250-R2)</t>
  </si>
  <si>
    <t>Замена передатчиков радио- и телевизионного вещания на менее энергоемкие (АРТПС Крево, передатчик РТЦ-2000)</t>
  </si>
  <si>
    <t>Замена передатчиков радио- и телевизионного вещания на менее энергоемкие (АРТПС Крево, передатчик Агат-1000)</t>
  </si>
  <si>
    <t>Замена передатчиков радио- и телевизионного вещания на менее энергоемкие (АРТПС Кричев, передатчик РТЦ-2000)</t>
  </si>
  <si>
    <t>Замена передатчиков радио- и телевизионного вещания на менее энергоемкие (АРТПС Кричев, передатчик TXTU-1200-R-2)</t>
  </si>
  <si>
    <t>Замена передатчиков радио- и телевизионного вещания на менее энергоемкие (АРТПС Крулевщина, передатчик РТЦ-2000М-Т2)</t>
  </si>
  <si>
    <t>Замена передатчиков радио- и телевизионного вещания на менее энергоемкие (АРТПС Крулевщина, передатчик РТЦ-1000М-Т2)</t>
  </si>
  <si>
    <t>Замена передатчиков радио- и телевизионного вещания на менее энергоемкие (АРТПС Крулевщина, передатчик Агат-1000)</t>
  </si>
  <si>
    <t>Замена передатчиков радио- и телевизионного вещания на менее энергоемкие (АРТПС Крупский, передатчик RT-FMS-4001)</t>
  </si>
  <si>
    <t>Замена передатчиков радио- и телевизионного вещания на менее энергоемкие (АРТПС Крупский, передатчик РТЦ-2000)</t>
  </si>
  <si>
    <t>Замена передатчиков радио- и телевизионного вещания на менее энергоемкие (АРТПС Крупский, передатчик SDT-202 ARK-6)</t>
  </si>
  <si>
    <t>Замена передатчиков радио- и телевизионного вещания на менее энергоемкие (АРТПС Куплин, передатчик РТЦ-2000)</t>
  </si>
  <si>
    <t>Замена передатчиков радио- и телевизионного вещания на менее энергоемкие (АРТПС Лиозно, передатчик Агат-1000)</t>
  </si>
  <si>
    <t>Замена передатчиков радио- и телевизионного вещания на менее энергоемкие (АРТПС Лиозно, передатчик TXTU-1200-R-2 (Е))</t>
  </si>
  <si>
    <t>Замена передатчиков радио- и телевизионного вещания на менее энергоемкие (АРТПС Лиозно, передатчик РТЦ-1000М-Т2)</t>
  </si>
  <si>
    <t>Замена передатчиков радио- и телевизионного вещания на менее энергоемкие (АРТПС Луки, передатчик TXTU-1200-R-2 (Е))</t>
  </si>
  <si>
    <t>Замена передатчиков радио- и телевизионного вещания на менее энергоемкие (АРТПС Любань, передатчик РТЦ-2000М-Т2)</t>
  </si>
  <si>
    <t>Замена передатчиков радио- и телевизионного вещания на менее энергоемкие (АРТПС Любча, передатчик РТЦ-600)</t>
  </si>
  <si>
    <t>Замена передатчиков радио- и телевизионного вещания на менее энергоемкие (АРТПС Любча, передатчик РТЦ-1000М-Т2)</t>
  </si>
  <si>
    <t>Замена передатчиков радио- и телевизионного вещания на менее энергоемкие (АРТПС Лялевщина, передатчик Агат-1000)</t>
  </si>
  <si>
    <t>Замена передатчиков радио- и телевизионного вещания на менее энергоемкие (АРТПС Минск, передатчик TXTU-1200-R-2)</t>
  </si>
  <si>
    <t>Замена передатчиков радио- и телевизионного вещания на менее энергоемкие (АРТПС Мироненки, передатчик Агат-1000)</t>
  </si>
  <si>
    <t>Замена передатчиков радио- и телевизионного вещания на менее энергоемкие (АРТПС Мироненки, передатчик РТЦ-2000)</t>
  </si>
  <si>
    <t>Замена передатчиков радио- и телевизионного вещания на менее энергоемкие (АРТПС Мишневичи, передатчик РТЦ-1000М-Т2)</t>
  </si>
  <si>
    <t>Замена передатчиков радио- и телевизионного вещания на менее энергоемкие (АРТПС Мишневичи, передатчик TXTU-1200-R-2)</t>
  </si>
  <si>
    <t>Замена передатчиков радио- и телевизионного вещания на менее энергоемкие (АРТПС Мозырь, передатчик РТЦ-1000М-Т2)</t>
  </si>
  <si>
    <t>Замена передатчиков радио- и телевизионного вещания на менее энергоемкие (АРТПС Молодечно, передатчик РТЦ-1000М-Т2)</t>
  </si>
  <si>
    <t>Замена передатчиков радио- и телевизионного вещания на менее энергоемкие (АРТПС Молодечно, передатчик TXTU-250-R2)</t>
  </si>
  <si>
    <t>Замена передатчиков радио- и телевизионного вещания на менее энергоемкие (АРТПС Мосты, передатчик Агат-1000)</t>
  </si>
  <si>
    <t>Замена передатчиков радио- и телевизионного вещания на менее энергоемкие (АРТПС Мосты, передатчик РТЦ-2000)</t>
  </si>
  <si>
    <t>Замена передатчиков радио- и телевизионного вещания на менее энергоемкие (АРТПС Мстиславль, передатчик РТЦ-2000)</t>
  </si>
  <si>
    <t>Замена передатчиков радио- и телевизионного вещания на менее энергоемкие (АРТПС Гребёнка, передатчик РТЦ-2000М-Т2)</t>
  </si>
  <si>
    <t>Замена передатчиков радио- и телевизионного вещания на менее энергоемкие (АРТПС Мстиславль, передатчик Агат-1000)</t>
  </si>
  <si>
    <t>Замена передатчиков радио- и телевизионного вещания на менее энергоемкие (АРТПС Мстиславль, передатчик РТЦ-1000М-Т2)</t>
  </si>
  <si>
    <t>Замена передатчиков радио- и телевизионного вещания на менее энергоемкие (АРТПС Мыто, передатчик РТЦ-2000)</t>
  </si>
  <si>
    <t>Замена передатчиков радио- и телевизионного вещания на менее энергоемкие (АРТПС Мядель, передатчик RT-FMS-4001)</t>
  </si>
  <si>
    <t>Замена передатчиков радио- и телевизионного вещания на менее энергоемкие (АРТПС Мядель, передатчик РТЦ-2000)</t>
  </si>
  <si>
    <t>Замена передатчиков радио- и телевизионного вещания на менее энергоемкие (АРТПС Новая Стража, передатчик РТЦ-2000)</t>
  </si>
  <si>
    <t>Замена передатчиков радио- и телевизионного вещания на менее энергоемкие (АРТПС Новая Стража, передатчик RT-FMS-4001)</t>
  </si>
  <si>
    <t>Замена передатчиков радио- и телевизионного вещания на менее энергоемкие (АРТПС Новоселье, передатчик РТЦ-1000М-Т2)</t>
  </si>
  <si>
    <t>Замена передатчиков радио- и телевизионного вещания на менее энергоемкие (АРТПС Новоселье, передатчик РТЦ-2000)</t>
  </si>
  <si>
    <t>Замена передатчиков радио- и телевизионного вещания на менее энергоемкие (АРТПС Обухово, передатчик РТЦ-1000М-Т2)</t>
  </si>
  <si>
    <t>Замена передатчиков радио- и телевизионного вещания на менее энергоемкие (АРТПС Обухово, передатчик РТЦ-2000)</t>
  </si>
  <si>
    <t>Замена передатчиков радио- и телевизионного вещания на менее энергоемкие (АРТПС Обухово, передатчик TXTU-1200-R-2)</t>
  </si>
  <si>
    <t>Замена передатчиков радио- и телевизионного вещания на менее энергоемкие (АРТПС Озерцы, передатчик TXTU-1200-R-2)</t>
  </si>
  <si>
    <t>Замена передатчиков радио- и телевизионного вещания на менее энергоемкие (АРТПС Освея, передатчик TXTU-1200-R-2)</t>
  </si>
  <si>
    <t>Замена передатчиков радио- и телевизионного вещания на менее энергоемкие (АРТПС Освея, передатчик RT-FMS-4001)</t>
  </si>
  <si>
    <t>Замена передатчиков радио- и телевизионного вещания на менее энергоемкие (АРТПС Освея, передатчик TXTU-1200-R-2 (Е))</t>
  </si>
  <si>
    <t>Замена передатчиков радио- и телевизионного вещания на менее энергоемкие (АРТПС Осиповичи, передатчик TXTU-1200-R-2)</t>
  </si>
  <si>
    <t>Замена передатчиков радио- и телевизионного вещания на менее энергоемкие (АРТПС Осиповичи, передатчик RT-FMS-4001)</t>
  </si>
  <si>
    <t>Замена передатчиков радио- и телевизионного вещания на менее энергоемкие (АРТПС Осиповичи, передатчик РТЦ-2000)</t>
  </si>
  <si>
    <t>Замена передатчиков радио- и телевизионного вещания на менее энергоемкие (АРТПС Острино, передатчик РТЦ-2000)</t>
  </si>
  <si>
    <t>Замена передатчиков радио- и телевизионного вещания на менее энергоемкие (АРТПС Острино, передатчик РТЦ-2000М-Т2)</t>
  </si>
  <si>
    <t>Замена передатчиков радио- и телевизионного вещания на менее энергоемкие (АРТПС Острино, передатчик Агат-1000)</t>
  </si>
  <si>
    <t>Замена передатчиков радио- и телевизионного вещания на менее энергоемкие (АРТПС Пинск, передатчик TXTU-250-R2)</t>
  </si>
  <si>
    <t>Замена передатчиков радио- и телевизионного вещания на менее энергоемкие (АРТПС Пинск, передатчик RT-FMS-4001)</t>
  </si>
  <si>
    <t>Замена передатчиков радио- и телевизионного вещания на менее энергоемкие (АРТПС Плещеницы, передатчик Агат-1000)</t>
  </si>
  <si>
    <t>Замена передатчиков радио- и телевизионного вещания на менее энергоемкие (АРТПС Плещеницы, передатчик РТЦ-1000М-Т2)</t>
  </si>
  <si>
    <t>Замена передатчиков радио- и телевизионного вещания на менее энергоемкие (АРТПС Пруды, передатчик РТЦ-2000М-Т2)</t>
  </si>
  <si>
    <t>Замена передатчиков радио- и телевизионного вещания на менее энергоемкие (АРТПС Пруды, передатчик SDT-202 ARK-6)</t>
  </si>
  <si>
    <t>Замена передатчиков радио- и телевизионного вещания на менее энергоемкие (АРТПС Радашковичи, передатчик Агат-1000)</t>
  </si>
  <si>
    <t>Замена передатчиков радио- и телевизионного вещания на менее энергоемкие (АРТПС Свислочь, передатчик Агат-1000)</t>
  </si>
  <si>
    <t>Замена передатчиков радио- и телевизионного вещания на менее энергоемкие (АРТПС Радашковичи, передатчик РТЦ-2000)</t>
  </si>
  <si>
    <t>Замена передатчиков радио- и телевизионного вещания на менее энергоемкие (АРТПС Свислочь, передатчик РТЦ-2000)</t>
  </si>
  <si>
    <t>Замена передатчиков радио- и телевизионного вещания на менее энергоемкие (АРТПС Сенно, передатчик РТЦ-2000)</t>
  </si>
  <si>
    <t>Замена передатчиков радио- и телевизионного вещания на менее энергоемкие (АРТПС Сенно, передатчик РТЦ-1000М-Т2)</t>
  </si>
  <si>
    <t>Замена передатчиков радио- и телевизионного вещания на менее энергоемкие (АРТПС Скерси, передатчик Агат-1000)</t>
  </si>
  <si>
    <t>Замена передатчиков радио- и телевизионного вещания на менее энергоемкие (АРТПС Скерси, передатчик РТЦ-1000М-Т2)</t>
  </si>
  <si>
    <t>Замена передатчиков радио- и телевизионного вещания на менее энергоемкие (АРТПС Скерси, передатчик RT-FMS-1001)</t>
  </si>
  <si>
    <t>Замена передатчиков радио- и телевизионного вещания на менее энергоемкие (АРТПС Славгород, передатчик РТЦ-2000)</t>
  </si>
  <si>
    <t>Замена передатчиков радио- и телевизионного вещания на менее энергоемкие (АРТПС Славгород, передатчик TXTU-1200-R-2)</t>
  </si>
  <si>
    <t>Замена передатчиков радио- и телевизионного вещания на менее энергоемкие (АРТПС Следюки, передатчик Агат-1000)</t>
  </si>
  <si>
    <t>Замена передатчиков радио- и телевизионного вещания на менее энергоемкие (АРТПС Слобода, передатчик РТЦ-2000М-Т2)</t>
  </si>
  <si>
    <t>Замена передатчиков радио- и телевизионного вещания на менее энергоемкие (АРТПС Слобода, передатчик РТЦ-2000)</t>
  </si>
  <si>
    <t>Замена передатчиков радио- и телевизионного вещания на менее энергоемкие (АРТПС Слобода, передатчик TXTU-1200-R-2)</t>
  </si>
  <si>
    <t>Замена передатчиков радио- и телевизионного вещания на менее энергоемкие (АРТПС Сметаничи, передатчик RT-FMS-4001)</t>
  </si>
  <si>
    <t>Замена передатчиков радио- и телевизионного вещания на менее энергоемкие (АРТПС Сметаничи, передатчик РТЦ-1000М-Т2)</t>
  </si>
  <si>
    <t>Замена передатчиков радио- и телевизионного вещания на менее энергоемкие (АРТПС Сморгонь, передатчик TXTU-1200-R-2)</t>
  </si>
  <si>
    <t>Замена передатчиков радио- и телевизионного вещания на менее энергоемкие (АРТПС Солигорск, передатчик TXTU-1200-R-2)</t>
  </si>
  <si>
    <t>Замена передатчиков радио- и телевизионного вещания на менее энергоемкие (АРТПС Солигорск, передатчик РТЦ-2000)</t>
  </si>
  <si>
    <t>Замена передатчиков радио- и телевизионного вещания на менее энергоемкие (АРТПС Солигорск, передатчик RT-FMS-4001)</t>
  </si>
  <si>
    <t>Замена передатчиков радио- и телевизионного вещания на менее энергоемкие (АРТПС Солигорск, передатчик РТЦ-1000М-Т2)</t>
  </si>
  <si>
    <t>Замена передатчиков радио- и телевизионного вещания на менее энергоемкие (АРТПС Солигорск, передатчик Агат-1000)</t>
  </si>
  <si>
    <t>Замена передатчиков радио- и телевизионного вещания на менее энергоемкие (АРТПС Солтаново, передатчик Агат-1000)</t>
  </si>
  <si>
    <t>Замена передатчиков радио- и телевизионного вещания на менее энергоемкие (АРТПС Солтаново, передатчик TXTU-1200-R-2)</t>
  </si>
  <si>
    <t>Замена передатчиков радио- и телевизионного вещания на менее энергоемкие (АРТПС Сосны, передатчик TXTU-1200-R-2)</t>
  </si>
  <si>
    <t>Замена передатчиков радио- и телевизионного вещания на менее энергоемкие (АРТПС Сосны, передатчик Агат-1000)</t>
  </si>
  <si>
    <t>Замена передатчиков радио- и телевизионного вещания на менее энергоемкие (АРТПС Сосны, передатчик РТЦ-1000М-Т2)</t>
  </si>
  <si>
    <t>Замена передатчиков радио- и телевизионного вещания на менее энергоемкие (АРТПС Старые Дороги, передатчик РТЦ-2000)</t>
  </si>
  <si>
    <t>Замена передатчиков радио- и телевизионного вещания на менее энергоемкие (АРТПС Старые Дороги, передатчик Агат-1000)</t>
  </si>
  <si>
    <t>Замена передатчиков радио- и телевизионного вещания на менее энергоемкие (АРТПС Стодоличи, передатчик TXTU-1200-R-2)</t>
  </si>
  <si>
    <t>Замена передатчиков радио- и телевизионного вещания на менее энергоемкие (АРТПС Стодоличи, передатчик РТЦ-1000М-Т2)</t>
  </si>
  <si>
    <t>Замена передатчиков радио- и телевизионного вещания на менее энергоемкие (АРТПС Столбцы, передатчик РТЦ-2000)</t>
  </si>
  <si>
    <t>Замена передатчиков радио- и телевизионного вещания на менее энергоемкие (АРТПС Столбцы, передатчик SDT-202 ARK-6)</t>
  </si>
  <si>
    <t>Замена передатчиков радио- и телевизионного вещания на менее энергоемкие (АРТПС Столбцы, передатчик Агат-1000)</t>
  </si>
  <si>
    <t>Замена передатчиков радио- и телевизионного вещания на менее энергоемкие (АРТПС Столин, передатчик РТЦ-1000М-Т2)</t>
  </si>
  <si>
    <t>Замена передатчиков радио- и телевизионного вещания на менее энергоемкие (АРТПС Столин, передатчик РТЦ-600)</t>
  </si>
  <si>
    <t>Замена передатчиков радио- и телевизионного вещания на менее энергоемкие (АРТПС Стрельчики, передатчик Агат-1000)</t>
  </si>
  <si>
    <t>Замена передатчиков радио- и телевизионного вещания на менее энергоемкие (АРТПС Струбки, передатчик Агат-1000)</t>
  </si>
  <si>
    <t>Замена передатчиков радио- и телевизионного вещания на менее энергоемкие (АРТПС Струбки, передатчик РТЦ-1000М-Т2)</t>
  </si>
  <si>
    <t>Замена передатчиков радио- и телевизионного вещания на менее энергоемкие (АРТПС Техтин, передатчик РТЦ-2000)</t>
  </si>
  <si>
    <t>Замена передатчиков радио- и телевизионного вещания на менее энергоемкие (АРТПС Техтин, передатчик SDT-202 ARK-6)</t>
  </si>
  <si>
    <t>Замена передатчиков радио- и телевизионного вещания на менее энергоемкие (АРТПС Трокеники, передатчик РТЦ-1000М-Т2)</t>
  </si>
  <si>
    <t>Замена передатчиков радио- и телевизионного вещания на менее энергоемкие (АРТПС Ушачи, передатчик RT-FMS-4001)</t>
  </si>
  <si>
    <t>Замена передатчиков радио- и телевизионного вещания на менее энергоемкие (АРТПС Ушачи, передатчик SDT-202 ARK-6)</t>
  </si>
  <si>
    <t>Замена передатчиков радио- и телевизионного вещания на менее энергоемкие (АРТПС Ушачи, передатчик TXTU-1200-R-2)</t>
  </si>
  <si>
    <t>Замена передатчиков радио- и телевизионного вещания на менее энергоемкие (АРТПС Шарковщина, передатчик РТЦ-2000)</t>
  </si>
  <si>
    <t>Замена передатчиков радио- и телевизионного вещания на менее энергоемкие (АРТПС Шарковщина, передатчик РТЦ-1000М-Т2)</t>
  </si>
  <si>
    <t>Замена передатчиков радио- и телевизионного вещания на менее энергоемкие (АРТПС Ярошовка, передатчик SDT-202 ARK-6)</t>
  </si>
  <si>
    <t>Замена передатчиков радио- и телевизионного вещания на менее энергоемкие (АРТПС Ярошовка, передатчик РТЦ-2000М-Т2)</t>
  </si>
  <si>
    <t>Замена передатчиков радио- и телевизионного вещания на менее энергоемкие (ОРТПС Витебск, передатчик TXTU-1200-R-2)</t>
  </si>
  <si>
    <t>Замена передатчиков радио- и телевизионного вещания на менее энергоемкие (ОРТПС Витебск, передатчик Агат-1000)</t>
  </si>
  <si>
    <t>Замена передатчиков радио- и телевизионного вещания на менее энергоемкие (ОРТПС Витебск, передатчик RT-FMS-4001)</t>
  </si>
  <si>
    <t>Замена передатчиков радио- и телевизионного вещания на менее энергоемкие (ОРТПС Витебск, передатчик РТЦ-2000М-Т2)</t>
  </si>
  <si>
    <t>Замена передатчиков радио- и телевизионного вещания на менее энергоемкие (ОРТПС Витебск, передатчик РТЦ-2000)</t>
  </si>
  <si>
    <t>Замена передатчиков радио- и телевизионного вещания на менее энергоемкие (ОРТПС Гомель, передатчик РТЦ-2000)</t>
  </si>
  <si>
    <t>Замена передатчиков радио- и телевизионного вещания на менее энергоемкие (ОРТПС Гомель, передатчик Агат-1000)</t>
  </si>
  <si>
    <t>Замена передатчиков радио- и телевизионного вещания на менее энергоемкие (ОРТПС Гродно, передатчик Агат-1000)</t>
  </si>
  <si>
    <t>Замена передатчиков радио- и телевизионного вещания на менее энергоемкие (ОРТПС Гродно, передатчик TXTU-250-R2)</t>
  </si>
  <si>
    <t>Замена передатчиков радио- и телевизионного вещания на менее энергоемкие (ОРТПС Могилёв, передатчик RT-FMS-4001)</t>
  </si>
  <si>
    <t>Замена передатчиков радио- и телевизионного вещания на менее энергоемкие (ОРТПС Могилёв, передатчик РТЦ-1000М-Т2)</t>
  </si>
  <si>
    <t>Замена передатчиков радио- и телевизионного вещания на менее энергоемкие (ОРТПС Могилёв, передатчик TXTU-1200-R-2)</t>
  </si>
  <si>
    <t>Замена передатчиков радио- и телевизионного вещания на менее энергоемкие (ОРТПС Могилёв, передатчик Агат-1000)</t>
  </si>
  <si>
    <t>Замена передатчиков радио- и телевизионного вещания на менее энергоемкие (ОРТПС Ракитница, передатчик RT-FMS-4001)</t>
  </si>
  <si>
    <t>Замена передатчиков радио- и телевизионного вещания на менее энергоемкие (ОРТПС Ракитница, передатчик TXTU-250-R2)</t>
  </si>
  <si>
    <t>Замена передатчиков радио- и телевизионного вещания на менее энергоемкие (ОРТПС Колодищи, передатчик RT-FMS-4001)</t>
  </si>
  <si>
    <t>Замена передатчиков радио- и телевизионного вещания на менее энергоемкие (АРТПС Колодищи, передатчик SDT-202 ARK-6)</t>
  </si>
  <si>
    <t>Замена передатчиков радио- и телевизионного вещания на менее энергоемкие (ОРТПС Колодищи, передатчик РТЦ-2000)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</si>
  <si>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</si>
  <si>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</si>
  <si>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</si>
  <si>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</si>
  <si>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</si>
  <si>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</si>
  <si>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</si>
  <si>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</si>
  <si>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</si>
  <si>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</si>
  <si>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</si>
  <si>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</si>
  <si>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</si>
  <si>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</si>
  <si>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</si>
  <si>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</si>
  <si>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</si>
  <si>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</si>
  <si>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</si>
  <si>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</si>
  <si>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</si>
  <si>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</si>
  <si>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</si>
  <si>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</si>
  <si>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</si>
  <si>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</si>
  <si>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</si>
  <si>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</si>
  <si>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</si>
  <si>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</si>
  <si>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</si>
  <si>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</si>
  <si>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</si>
  <si>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</si>
  <si>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</si>
  <si>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</si>
  <si>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</si>
  <si>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</si>
  <si>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</si>
  <si>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</si>
  <si>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</si>
  <si>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</si>
  <si>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</si>
  <si>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</si>
  <si>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</si>
  <si>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</si>
  <si>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</si>
  <si>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</si>
  <si>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</si>
  <si>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</si>
  <si>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</si>
  <si>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</si>
  <si>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</si>
  <si>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</si>
  <si>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</si>
  <si>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</si>
  <si>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</si>
  <si>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</si>
  <si>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</si>
  <si>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</si>
  <si>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</si>
  <si>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</si>
  <si>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</si>
  <si>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</si>
  <si>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</si>
  <si>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</si>
  <si>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</si>
  <si>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</si>
  <si>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</si>
  <si>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</si>
  <si>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</si>
  <si>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</si>
  <si>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</si>
  <si>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</si>
  <si>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</si>
  <si>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</si>
  <si>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</si>
  <si>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</si>
  <si>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</si>
  <si>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</si>
  <si>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</si>
  <si>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</si>
  <si>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</si>
  <si>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</si>
  <si>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</si>
  <si>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</si>
  <si>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</si>
  <si>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</si>
  <si>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</si>
  <si>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</si>
  <si>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</si>
  <si>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</si>
  <si>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</si>
  <si>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</si>
  <si>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</si>
  <si>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</si>
  <si>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</si>
  <si>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</si>
  <si>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</si>
  <si>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</si>
  <si>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</si>
  <si>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</si>
  <si>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</si>
  <si>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</si>
  <si>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</si>
  <si>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</si>
  <si>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</si>
  <si>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</si>
  <si>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</si>
  <si>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</si>
  <si>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</si>
  <si>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</si>
  <si>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</si>
  <si>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</si>
  <si>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</si>
  <si>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</si>
  <si>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</si>
  <si>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</si>
  <si>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</si>
  <si>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</si>
  <si>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</si>
  <si>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</si>
  <si>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</si>
  <si>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</si>
  <si>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</si>
  <si>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</si>
  <si>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</si>
  <si>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</si>
  <si>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</si>
  <si>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</si>
  <si>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</si>
  <si>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</si>
  <si>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</si>
  <si>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</si>
  <si>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</si>
  <si>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</si>
  <si>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</si>
  <si>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</si>
  <si>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</si>
  <si>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</si>
  <si>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</si>
  <si>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</si>
  <si>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</si>
  <si>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</si>
  <si>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</si>
  <si>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</si>
  <si>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</si>
  <si>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</si>
  <si>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</si>
  <si>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</si>
  <si>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</si>
  <si>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</si>
  <si>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</si>
  <si>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</si>
  <si>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</si>
  <si>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</si>
  <si>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</si>
  <si>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</si>
  <si>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</si>
  <si>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</si>
  <si>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</si>
  <si>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</si>
  <si>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</si>
  <si>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</si>
  <si>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</si>
  <si>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</si>
  <si>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</si>
  <si>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</si>
  <si>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</si>
  <si>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</si>
  <si>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</si>
  <si>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</si>
  <si>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</si>
  <si>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</si>
  <si>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</si>
  <si>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</si>
  <si>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</si>
  <si>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</si>
  <si>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</si>
  <si>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</si>
  <si>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</si>
  <si>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</si>
  <si>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</si>
  <si>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</si>
  <si>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</si>
  <si>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</si>
  <si>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</si>
  <si>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</si>
  <si>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</si>
  <si>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</si>
  <si>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</si>
  <si>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</si>
  <si>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</si>
  <si>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</si>
  <si>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</si>
  <si>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</si>
  <si>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</si>
  <si>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</si>
  <si>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</si>
  <si>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</si>
  <si>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</si>
  <si>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</si>
  <si>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</si>
  <si>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</si>
  <si>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</si>
  <si>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</si>
  <si>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</si>
  <si>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</si>
  <si>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</si>
  <si>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</si>
  <si>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</si>
  <si>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</si>
  <si>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</si>
  <si>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</si>
  <si>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</si>
  <si>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</si>
  <si>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</si>
  <si>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Внедрение энергоэкономичных осветительных приборов (г. Минск, ул. Севастопольская. 121)</t>
  </si>
  <si>
    <t>Внедрение энергоэкономичных осветительных приборов (ОРПТС Могилёв)</t>
  </si>
  <si>
    <t>Внедрение энергоэкономичных осветительных приборов (ОРПТС Ракитница)</t>
  </si>
  <si>
    <t>Внедрение энергоэкономичных осветительных приборов (АРПТС Борисов)</t>
  </si>
  <si>
    <t>Внедрение энергоэкономичных осветительных приборов (АРПТС Березино)</t>
  </si>
  <si>
    <t>Внедрение энергоэкономичных осветительных приборов (АРПТС Крупки)</t>
  </si>
  <si>
    <t>Внедрение энергоэкономичных осветительных приборов (АРПТС Плещеницы)</t>
  </si>
  <si>
    <t>Внедрение энергоэкономичных осветительных приборов (АРПТС Гребёнка)</t>
  </si>
  <si>
    <t>Внедрение энергоэкономичных осветительных приборов (АРПТС Любань)</t>
  </si>
  <si>
    <t>Внедрение энергоэкономичных осветительных приборов (АРПТС Долгиново)</t>
  </si>
  <si>
    <t>Внедрение энергоэкономичных осветительных приборов (ПРС Ижа)</t>
  </si>
  <si>
    <t>Внедрение энергоэкономичных осветительных приборов (Головная площадка, уличное освещение)</t>
  </si>
  <si>
    <t>Внедрение энергоэкономичных осветительных приборов (ОУП Борисов)</t>
  </si>
  <si>
    <t>Внедрение энергоэкономичных осветительных приборов (АРТПС Дричин)</t>
  </si>
  <si>
    <t>Внедрение энергоэкономичных осветительных приборов (АРТПС Ярошовка)</t>
  </si>
  <si>
    <t>Внедрение энергоэкономичных осветительных приборов (АРТПС Новоселье)</t>
  </si>
  <si>
    <t>Внедрение энергоэкономичных осветительных приборов (АРТПС Пруды)</t>
  </si>
  <si>
    <t>Внедрение энергоэкономичных осветительных приборов (АРТПС Молодечно)</t>
  </si>
  <si>
    <t>Внедрение энергоэкономичных осветительных приборов (АРТПС Воложин)</t>
  </si>
  <si>
    <t>Внедрение энергоэкономичных осветительных приборов (АРТПС Минск)</t>
  </si>
  <si>
    <t>Внедрение энергоэкономичных осветительных приборов (АРТПС Защебье)</t>
  </si>
  <si>
    <t>Внедрение энергоэкономичных осветительных приборов (АРТПС Мозырь)</t>
  </si>
  <si>
    <t>Внедрение энергоэкономичных осветительных приборов (АРТПС Вороновка)</t>
  </si>
  <si>
    <t>Внедрение энергоэкономичных осветительных приборов (АРТПС Солтаново)</t>
  </si>
  <si>
    <t>Внедрение энергоэкономичных осветительных приборов (АРТПС Вербовичи)</t>
  </si>
  <si>
    <t>Внедрение энергоэкономичных осветительных приборов (АРТПС Слобода)</t>
  </si>
  <si>
    <t>Внедрение энергоэкономичных осветительных приборов (АРТПС Славгород)</t>
  </si>
  <si>
    <t>Внедрение энергоэкономичных осветительных приборов (АРТПС Запрудье)</t>
  </si>
  <si>
    <t>Внедрение энергоэкономичных осветительных приборов (АРТПС Бегомль)</t>
  </si>
  <si>
    <t>Внедрение энергоэкономичных осветительных приборов (АРТПС Крулевщина)</t>
  </si>
  <si>
    <t>Внедрение энергоэкономичных осветительных приборов (АРТПС Шарковщина)</t>
  </si>
  <si>
    <t>Внедрение энергоэкономичных осветительных приборов (АРТПС Долгиново)</t>
  </si>
  <si>
    <t>Внедрение энергоэкономичных осветительных приборов (АРТПС Струбки)</t>
  </si>
  <si>
    <t>Внедрение энергоэкономичных осветительных приборов (АРТПС Горы)</t>
  </si>
  <si>
    <t>Внедрение энергоэкономичных осветительных приборов (АРТПС Озерцы)</t>
  </si>
  <si>
    <t>Внедрение энергоэкономичных осветительных приборов (АРТПС Сенно)</t>
  </si>
  <si>
    <t>Внедрение энергоэкономичных осветительных приборов (АРТПС Бычиха)</t>
  </si>
  <si>
    <t>Внедрение энергоэкономичных осветительных приборов (АРТПС Лиозно)</t>
  </si>
  <si>
    <t>Внедрение энергоэкономичных осветительных приборов (АРТПС Богданово)</t>
  </si>
  <si>
    <t>Внедрение энергоэкономичных осветительных приборов (АРТПС Лялевщина)</t>
  </si>
  <si>
    <t>Внедрение энергоэкономичных осветительных приборов (АРТПС Мишневичи)</t>
  </si>
  <si>
    <t>Внедрение энергоэкономичных осветительных приборов (ОУП Обухово)</t>
  </si>
  <si>
    <t>Внедрение энергоэкономичных осветительных приборов (ОРТПС Витебск, освещение мачты)</t>
  </si>
  <si>
    <t>Внедрение энергоэкономичных осветительных приборов (ОРТПС Брест)</t>
  </si>
  <si>
    <t>Внедрение энергоэкономичных осветительных приборов (ОРТПС Гродно)</t>
  </si>
  <si>
    <t>Внедрение энергоэкономичных осветительных приборов (ОРТПС Геранёны)</t>
  </si>
  <si>
    <t>Внедрение энергоэкономичных осветительных приборов (База МУЭС-6)</t>
  </si>
  <si>
    <t>Внедрение энергоэкономичных осветительных приборов (АРТПС Кошелево)</t>
  </si>
  <si>
    <t>Внедрение энергоэкономичных осветительных приборов (АРТПС Любча)</t>
  </si>
  <si>
    <t>Внедрение энергоэкономичных осветительных приборов (АРТПС Луки)</t>
  </si>
  <si>
    <t>Внедрение энергоэкономичных осветительных приборов (АРТПС Столбцы)</t>
  </si>
  <si>
    <t>Внедрение энергоэкономичных осветительных приборов (АРТПС Копыль)</t>
  </si>
  <si>
    <t>Внедрение энергоэкономичных осветительных приборов (АРТПС Барановичи)</t>
  </si>
  <si>
    <t>Внедрение энергоэкономичных осветительных приборов (АРТПС Солигорск)</t>
  </si>
  <si>
    <t>Внедрение энергоэкономичных осветительных приборов (АРТПС Старые Дороги)</t>
  </si>
  <si>
    <t>Внедрение энергоэкономичных осветительных приборов (АРТПС Сосны)</t>
  </si>
  <si>
    <t>Внедрение энергоэкономичных осветительных приборов (АРТПС Мосты)</t>
  </si>
  <si>
    <t>Внедрение энергоэкономичных осветительных приборов (АРТПС Скерси)</t>
  </si>
  <si>
    <t>Внедрение энергоэкономичных осветительных приборов (АРТПС Новая Стража)</t>
  </si>
  <si>
    <t>Внедрение энергоэкономичных осветительных приборов (АРТПС Свислочь)</t>
  </si>
  <si>
    <t>Внедрение энергоэкономичных осветительных приборов (АРТПС Лида)</t>
  </si>
  <si>
    <t>Внедрение энергоэкономичных осветительных приборов (АРТПС Острино)</t>
  </si>
  <si>
    <t>Внедрение энергоэкономичных осветительных приборов (АРТПС Мыто)</t>
  </si>
  <si>
    <t>Внедрение энергоэкономичных осветительных приборов (АРТПС Крево)</t>
  </si>
  <si>
    <t>Внедрение энергоэкономичных осветительных приборов (АРТПС Стрельчики)</t>
  </si>
  <si>
    <t>Внедрение энергоэкономичных осветительных приборов (АРТПС Трокеники)</t>
  </si>
  <si>
    <t>Внедрение энергоэкономичных осветительных приборов (АРТПС Сморгонь)</t>
  </si>
  <si>
    <t>Внедрение энергоэкономичных осветительных приборов (АРТПС Посеничи)</t>
  </si>
  <si>
    <t>Внедрение энергоэкономичных осветительных приборов (АРТПС Столин)</t>
  </si>
  <si>
    <t>Внедрение энергоэкономичных осветительных приборов (АРТПС Сенкевичи)</t>
  </si>
  <si>
    <t>Внедрение энергоэкономичных осветительных приборов (АРТПС Житковичи)</t>
  </si>
  <si>
    <t>Внедрение энергоэкономичных осветительных приборов (АРТПС Б. Чучевичи)</t>
  </si>
  <si>
    <t>Внедрение энергоэкономичных осветительных приборов (АРТПС Ганцевичи)</t>
  </si>
  <si>
    <t>Внедрение энергоэкономичных осветительных приборов (АРТПС Дрогичин)</t>
  </si>
  <si>
    <t>Внедрение энергоэкономичных осветительных приборов (АРТПС Берёза)</t>
  </si>
  <si>
    <t>Внедрение энергоэкономичных осветительных приборов (АРТПС Пружаны)</t>
  </si>
  <si>
    <t>Внедрение энергоэкономичных осветительных приборов (АРТПС Кобрин, база)</t>
  </si>
  <si>
    <t>Внедрение энергоэкономичных осветительных приборов (АРТПС Гута)</t>
  </si>
  <si>
    <t>Внедрение ветроэнергетической установки для частичного покрытия нужд предприятия в электрической энергии</t>
  </si>
  <si>
    <t>224</t>
  </si>
  <si>
    <t>Разработка и внедрение системы энергетического менеджмента в соответствии с требованиями стандарта ГОСТ ISO 50001-2021</t>
  </si>
  <si>
    <t>Окна</t>
  </si>
  <si>
    <t>Кол-во</t>
  </si>
  <si>
    <r>
      <t>150 м</t>
    </r>
    <r>
      <rPr>
        <vertAlign val="superscript"/>
        <sz val="12"/>
        <rFont val="Times New Roman"/>
        <family val="1"/>
        <charset val="204"/>
      </rPr>
      <t>2</t>
    </r>
  </si>
  <si>
    <r>
      <t>183 м</t>
    </r>
    <r>
      <rPr>
        <vertAlign val="superscript"/>
        <sz val="12"/>
        <rFont val="Times New Roman"/>
        <family val="1"/>
        <charset val="204"/>
      </rPr>
      <t>2</t>
    </r>
  </si>
  <si>
    <t xml:space="preserve">Уменьшение площади оконных проемов </t>
  </si>
  <si>
    <t>Оптимизация системы охлаждения в электрощитовой</t>
  </si>
  <si>
    <t>Замена передатчиков радио- и телевизионного вещания на менее энергоемкие</t>
  </si>
  <si>
    <t>Внедрение энергоэкономичных осветительных приборов</t>
  </si>
  <si>
    <t>Внедрение системы фрикулинга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</si>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</sst>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\$#,##0\ ;\(\$#,##0\)"/>
    <numFmt numFmtId="166" formatCode="_-* #,##0.00[$€-1]_-;\-* #,##0.00[$€-1]_-;_-* &quot;-&quot;??[$€-1]_-"/>
    <numFmt numFmtId="167" formatCode="0.0;\-0.0;\-"/>
    <numFmt numFmtId="168" formatCode="0.0_ ;\-0.0\ "/>
    <numFmt numFmtId="169" formatCode="0.000"/>
  </numFmts>
  <fonts count="5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24"/>
      <name val="Arial"/>
      <family val="2"/>
      <charset val="204"/>
    </font>
    <font>
      <b/>
      <sz val="18"/>
      <color indexed="24"/>
      <name val="Arial"/>
      <family val="2"/>
      <charset val="204"/>
    </font>
    <font>
      <b/>
      <sz val="12"/>
      <color indexed="24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Arial Cyr"/>
      <charset val="204"/>
    </font>
    <font>
      <sz val="9"/>
      <color rgb="FF8E0101"/>
      <name val="Verdana"/>
      <family val="2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0"/>
      <name val="Arial Cyr"/>
      <charset val="204"/>
    </font>
    <font>
      <b/>
      <sz val="10"/>
      <name val="Arial Cyr"/>
      <charset val="1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14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6" fillId="0" borderId="0"/>
    <xf numFmtId="0" fontId="6" fillId="0" borderId="0"/>
    <xf numFmtId="0" fontId="5" fillId="0" borderId="0"/>
    <xf numFmtId="0" fontId="11" fillId="0" borderId="0"/>
    <xf numFmtId="0" fontId="4" fillId="0" borderId="0"/>
    <xf numFmtId="0" fontId="4" fillId="0" borderId="0"/>
    <xf numFmtId="0" fontId="7" fillId="0" borderId="0"/>
    <xf numFmtId="0" fontId="11" fillId="0" borderId="0" applyNumberFormat="0" applyFont="0" applyFill="0" applyBorder="0" applyAlignment="0" applyProtection="0">
      <alignment vertical="top"/>
    </xf>
    <xf numFmtId="0" fontId="21" fillId="0" borderId="0"/>
    <xf numFmtId="0" fontId="11" fillId="0" borderId="0"/>
    <xf numFmtId="0" fontId="38" fillId="0" borderId="0"/>
    <xf numFmtId="0" fontId="19" fillId="0" borderId="0"/>
    <xf numFmtId="0" fontId="21" fillId="0" borderId="0"/>
    <xf numFmtId="9" fontId="19" fillId="0" borderId="0" applyFont="0" applyFill="0" applyBorder="0" applyAlignment="0" applyProtection="0"/>
    <xf numFmtId="0" fontId="21" fillId="0" borderId="0"/>
    <xf numFmtId="0" fontId="3" fillId="0" borderId="0"/>
    <xf numFmtId="0" fontId="2" fillId="0" borderId="0"/>
    <xf numFmtId="0" fontId="1" fillId="0" borderId="0"/>
  </cellStyleXfs>
  <cellXfs count="550">
    <xf numFmtId="0" fontId="0" fillId="0" borderId="0" xfId="0"/>
    <xf numFmtId="0" fontId="13" fillId="0" borderId="0" xfId="0" applyFont="1" applyAlignment="1">
      <alignment horizontal="center" vertical="top" wrapText="1"/>
    </xf>
    <xf numFmtId="1" fontId="12" fillId="0" borderId="0" xfId="10" applyNumberFormat="1" applyFont="1" applyAlignment="1">
      <alignment horizontal="center" vertical="top"/>
    </xf>
    <xf numFmtId="49" fontId="12" fillId="0" borderId="0" xfId="10" applyNumberFormat="1" applyFont="1" applyAlignment="1">
      <alignment horizontal="center" vertical="top"/>
    </xf>
    <xf numFmtId="49" fontId="12" fillId="0" borderId="0" xfId="10" applyNumberFormat="1" applyFont="1" applyAlignment="1">
      <alignment vertical="top"/>
    </xf>
    <xf numFmtId="1" fontId="12" fillId="0" borderId="0" xfId="10" applyNumberFormat="1" applyFont="1" applyAlignment="1">
      <alignment vertical="top"/>
    </xf>
    <xf numFmtId="49" fontId="12" fillId="0" borderId="0" xfId="10" applyNumberFormat="1" applyFont="1" applyAlignment="1">
      <alignment horizontal="left" vertical="top" wrapText="1"/>
    </xf>
    <xf numFmtId="164" fontId="12" fillId="0" borderId="0" xfId="10" applyNumberFormat="1" applyFont="1" applyAlignment="1">
      <alignment horizontal="center" vertical="top"/>
    </xf>
    <xf numFmtId="49" fontId="13" fillId="0" borderId="0" xfId="10" applyNumberFormat="1" applyFont="1" applyAlignment="1">
      <alignment vertical="top"/>
    </xf>
    <xf numFmtId="49" fontId="12" fillId="0" borderId="2" xfId="1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1" fontId="12" fillId="0" borderId="2" xfId="10" applyNumberFormat="1" applyFont="1" applyBorder="1" applyAlignment="1">
      <alignment horizontal="center" vertical="center" wrapText="1"/>
    </xf>
    <xf numFmtId="164" fontId="13" fillId="0" borderId="2" xfId="10" applyNumberFormat="1" applyFont="1" applyBorder="1" applyAlignment="1">
      <alignment horizontal="center" vertical="center" wrapText="1"/>
    </xf>
    <xf numFmtId="1" fontId="12" fillId="0" borderId="0" xfId="10" applyNumberFormat="1" applyFont="1" applyAlignment="1">
      <alignment horizontal="center" vertical="top" wrapText="1"/>
    </xf>
    <xf numFmtId="49" fontId="13" fillId="0" borderId="0" xfId="10" applyNumberFormat="1" applyFont="1" applyAlignment="1">
      <alignment horizontal="center" vertical="top" wrapText="1"/>
    </xf>
    <xf numFmtId="49" fontId="12" fillId="0" borderId="2" xfId="10" applyNumberFormat="1" applyFont="1" applyBorder="1" applyAlignment="1">
      <alignment horizontal="left" vertical="center" wrapText="1"/>
    </xf>
    <xf numFmtId="0" fontId="12" fillId="0" borderId="2" xfId="12" applyFont="1" applyBorder="1" applyAlignment="1">
      <alignment horizontal="left" vertical="center" wrapText="1"/>
    </xf>
    <xf numFmtId="0" fontId="12" fillId="0" borderId="2" xfId="12" applyFont="1" applyBorder="1" applyAlignment="1">
      <alignment horizontal="center" vertical="center" wrapText="1"/>
    </xf>
    <xf numFmtId="164" fontId="12" fillId="0" borderId="2" xfId="13" applyNumberFormat="1" applyFont="1" applyBorder="1" applyAlignment="1">
      <alignment horizontal="center" vertical="center" wrapText="1"/>
    </xf>
    <xf numFmtId="1" fontId="12" fillId="0" borderId="2" xfId="12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164" fontId="12" fillId="0" borderId="2" xfId="11" applyNumberFormat="1" applyFont="1" applyBorder="1" applyAlignment="1">
      <alignment horizontal="center" vertical="center" wrapText="1"/>
    </xf>
    <xf numFmtId="49" fontId="13" fillId="0" borderId="0" xfId="10" applyNumberFormat="1" applyFont="1" applyAlignment="1">
      <alignment horizontal="center" vertical="center"/>
    </xf>
    <xf numFmtId="49" fontId="12" fillId="0" borderId="0" xfId="10" applyNumberFormat="1" applyFont="1" applyAlignment="1">
      <alignment horizontal="center" vertical="center"/>
    </xf>
    <xf numFmtId="167" fontId="16" fillId="0" borderId="2" xfId="9" applyNumberFormat="1" applyFont="1" applyBorder="1" applyAlignment="1">
      <alignment horizontal="center" vertical="center"/>
    </xf>
    <xf numFmtId="0" fontId="12" fillId="0" borderId="0" xfId="12" applyFont="1" applyAlignment="1">
      <alignment horizontal="center" vertical="center" wrapText="1"/>
    </xf>
    <xf numFmtId="1" fontId="12" fillId="0" borderId="0" xfId="12" applyNumberFormat="1" applyFont="1" applyAlignment="1">
      <alignment horizontal="center" vertical="center" wrapText="1"/>
    </xf>
    <xf numFmtId="167" fontId="16" fillId="0" borderId="0" xfId="9" applyNumberFormat="1" applyFont="1" applyAlignment="1">
      <alignment horizontal="center" vertical="center"/>
    </xf>
    <xf numFmtId="164" fontId="12" fillId="0" borderId="0" xfId="13" applyNumberFormat="1" applyFont="1" applyAlignment="1">
      <alignment horizontal="center" vertical="center" wrapText="1"/>
    </xf>
    <xf numFmtId="49" fontId="12" fillId="2" borderId="0" xfId="1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2" fillId="0" borderId="0" xfId="11" applyNumberFormat="1" applyFont="1" applyAlignment="1">
      <alignment horizontal="center" vertical="center" textRotation="90" wrapText="1"/>
    </xf>
    <xf numFmtId="0" fontId="12" fillId="0" borderId="0" xfId="0" applyFont="1" applyAlignment="1">
      <alignment horizontal="center" vertical="center" textRotation="90" wrapText="1"/>
    </xf>
    <xf numFmtId="0" fontId="13" fillId="0" borderId="0" xfId="11" applyFont="1" applyAlignment="1">
      <alignment horizontal="center" vertical="center" wrapText="1"/>
    </xf>
    <xf numFmtId="0" fontId="12" fillId="0" borderId="0" xfId="11" applyFont="1" applyAlignment="1">
      <alignment horizontal="center" vertical="center" wrapText="1"/>
    </xf>
    <xf numFmtId="49" fontId="12" fillId="2" borderId="2" xfId="10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2" xfId="12" applyFont="1" applyBorder="1" applyAlignment="1">
      <alignment horizontal="center" vertical="center" wrapText="1"/>
    </xf>
    <xf numFmtId="0" fontId="13" fillId="0" borderId="2" xfId="12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13" applyFont="1" applyAlignment="1">
      <alignment horizontal="center" vertical="center" wrapText="1"/>
    </xf>
    <xf numFmtId="0" fontId="16" fillId="0" borderId="0" xfId="9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2" borderId="2" xfId="10" applyFont="1" applyFill="1" applyBorder="1" applyAlignment="1">
      <alignment horizontal="center" vertical="center"/>
    </xf>
    <xf numFmtId="49" fontId="19" fillId="2" borderId="2" xfId="10" applyNumberFormat="1" applyFont="1" applyFill="1" applyBorder="1" applyAlignment="1">
      <alignment horizontal="center" vertical="center" wrapText="1"/>
    </xf>
    <xf numFmtId="0" fontId="12" fillId="0" borderId="2" xfId="10" applyFont="1" applyBorder="1" applyAlignment="1">
      <alignment horizontal="center" vertical="center" wrapText="1"/>
    </xf>
    <xf numFmtId="49" fontId="13" fillId="0" borderId="2" xfId="10" applyNumberFormat="1" applyFont="1" applyBorder="1" applyAlignment="1">
      <alignment horizontal="center" vertical="top" wrapText="1"/>
    </xf>
    <xf numFmtId="49" fontId="12" fillId="0" borderId="0" xfId="10" applyNumberFormat="1" applyFont="1" applyAlignment="1">
      <alignment horizontal="center" vertical="top" wrapText="1"/>
    </xf>
    <xf numFmtId="164" fontId="12" fillId="0" borderId="2" xfId="10" applyNumberFormat="1" applyFont="1" applyBorder="1" applyAlignment="1">
      <alignment horizontal="center" vertical="center"/>
    </xf>
    <xf numFmtId="164" fontId="12" fillId="3" borderId="0" xfId="11" applyNumberFormat="1" applyFont="1" applyFill="1" applyAlignment="1">
      <alignment horizontal="center" vertical="center" wrapText="1"/>
    </xf>
    <xf numFmtId="0" fontId="13" fillId="2" borderId="2" xfId="10" applyFont="1" applyFill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 wrapText="1"/>
    </xf>
    <xf numFmtId="2" fontId="12" fillId="0" borderId="2" xfId="10" applyNumberFormat="1" applyFont="1" applyBorder="1" applyAlignment="1">
      <alignment vertical="center" wrapText="1"/>
    </xf>
    <xf numFmtId="168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top"/>
    </xf>
    <xf numFmtId="1" fontId="12" fillId="0" borderId="0" xfId="10" applyNumberFormat="1" applyFont="1" applyAlignment="1">
      <alignment horizontal="left" vertical="top"/>
    </xf>
    <xf numFmtId="164" fontId="13" fillId="0" borderId="2" xfId="10" applyNumberFormat="1" applyFont="1" applyBorder="1" applyAlignment="1">
      <alignment horizontal="center" vertical="top"/>
    </xf>
    <xf numFmtId="164" fontId="13" fillId="0" borderId="2" xfId="11" applyNumberFormat="1" applyFont="1" applyBorder="1" applyAlignment="1">
      <alignment horizontal="center" vertical="center" wrapText="1"/>
    </xf>
    <xf numFmtId="0" fontId="21" fillId="0" borderId="0" xfId="14" applyAlignment="1">
      <alignment horizontal="center" vertical="center" wrapText="1"/>
    </xf>
    <xf numFmtId="0" fontId="21" fillId="0" borderId="2" xfId="14" applyBorder="1" applyAlignment="1">
      <alignment horizontal="center" vertical="center" wrapText="1"/>
    </xf>
    <xf numFmtId="164" fontId="21" fillId="0" borderId="2" xfId="14" applyNumberFormat="1" applyBorder="1" applyAlignment="1">
      <alignment horizontal="center" vertical="center" wrapText="1"/>
    </xf>
    <xf numFmtId="0" fontId="13" fillId="0" borderId="2" xfId="12" applyFont="1" applyBorder="1" applyAlignment="1">
      <alignment horizontal="center" vertical="center" textRotation="90" wrapText="1"/>
    </xf>
    <xf numFmtId="164" fontId="12" fillId="0" borderId="2" xfId="12" applyNumberFormat="1" applyFont="1" applyBorder="1" applyAlignment="1">
      <alignment horizontal="center" vertical="center" wrapText="1"/>
    </xf>
    <xf numFmtId="164" fontId="12" fillId="0" borderId="0" xfId="12" applyNumberFormat="1" applyFont="1" applyAlignment="1">
      <alignment horizontal="center" vertical="center" wrapText="1"/>
    </xf>
    <xf numFmtId="0" fontId="13" fillId="0" borderId="2" xfId="21" applyFont="1" applyBorder="1" applyAlignment="1">
      <alignment horizontal="center" vertical="center" textRotation="90" wrapText="1"/>
    </xf>
    <xf numFmtId="0" fontId="12" fillId="0" borderId="2" xfId="21" applyFont="1" applyBorder="1" applyAlignment="1">
      <alignment horizontal="center" vertical="center" wrapText="1"/>
    </xf>
    <xf numFmtId="164" fontId="12" fillId="0" borderId="2" xfId="21" applyNumberFormat="1" applyFont="1" applyBorder="1" applyAlignment="1">
      <alignment horizontal="center" vertical="center" wrapText="1"/>
    </xf>
    <xf numFmtId="49" fontId="27" fillId="0" borderId="2" xfId="10" applyNumberFormat="1" applyFont="1" applyBorder="1" applyAlignment="1">
      <alignment horizontal="left" vertical="center" wrapText="1"/>
    </xf>
    <xf numFmtId="0" fontId="21" fillId="0" borderId="2" xfId="14" applyBorder="1" applyAlignment="1">
      <alignment horizontal="center" vertical="center" textRotation="90" wrapText="1"/>
    </xf>
    <xf numFmtId="164" fontId="21" fillId="0" borderId="0" xfId="14" applyNumberFormat="1" applyAlignment="1">
      <alignment horizontal="center" vertical="center" wrapText="1"/>
    </xf>
    <xf numFmtId="0" fontId="12" fillId="0" borderId="0" xfId="0" applyFont="1"/>
    <xf numFmtId="0" fontId="12" fillId="0" borderId="2" xfId="0" applyFont="1" applyBorder="1" applyAlignment="1">
      <alignment horizontal="center" vertical="center" wrapText="1"/>
    </xf>
    <xf numFmtId="0" fontId="32" fillId="0" borderId="0" xfId="0" applyFont="1"/>
    <xf numFmtId="164" fontId="12" fillId="5" borderId="2" xfId="0" applyNumberFormat="1" applyFont="1" applyFill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12" fillId="5" borderId="0" xfId="0" applyNumberFormat="1" applyFont="1" applyFill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4" fillId="0" borderId="2" xfId="23" applyFont="1" applyBorder="1" applyAlignment="1">
      <alignment horizontal="center" vertical="center" wrapText="1"/>
    </xf>
    <xf numFmtId="0" fontId="13" fillId="0" borderId="2" xfId="22" applyFont="1" applyBorder="1" applyAlignment="1">
      <alignment horizontal="center" vertical="center" wrapText="1"/>
    </xf>
    <xf numFmtId="0" fontId="35" fillId="0" borderId="2" xfId="0" applyFont="1" applyBorder="1" applyAlignment="1">
      <alignment horizontal="justify" vertical="center" wrapText="1"/>
    </xf>
    <xf numFmtId="164" fontId="19" fillId="0" borderId="2" xfId="23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12" fillId="0" borderId="2" xfId="22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0" fontId="19" fillId="0" borderId="2" xfId="23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164" fontId="34" fillId="0" borderId="2" xfId="23" applyNumberFormat="1" applyFont="1" applyBorder="1" applyAlignment="1">
      <alignment horizontal="center" vertical="center" wrapText="1"/>
    </xf>
    <xf numFmtId="2" fontId="12" fillId="0" borderId="0" xfId="12" applyNumberFormat="1" applyFont="1" applyAlignment="1">
      <alignment horizontal="center" vertical="center" wrapText="1"/>
    </xf>
    <xf numFmtId="0" fontId="12" fillId="7" borderId="2" xfId="12" applyFont="1" applyFill="1" applyBorder="1" applyAlignment="1">
      <alignment horizontal="center" vertical="center" wrapText="1"/>
    </xf>
    <xf numFmtId="164" fontId="12" fillId="7" borderId="2" xfId="12" applyNumberFormat="1" applyFont="1" applyFill="1" applyBorder="1" applyAlignment="1">
      <alignment horizontal="center" vertical="center" wrapText="1"/>
    </xf>
    <xf numFmtId="1" fontId="12" fillId="7" borderId="2" xfId="12" applyNumberFormat="1" applyFont="1" applyFill="1" applyBorder="1" applyAlignment="1">
      <alignment horizontal="center" vertical="center" wrapText="1"/>
    </xf>
    <xf numFmtId="0" fontId="12" fillId="4" borderId="2" xfId="12" applyFont="1" applyFill="1" applyBorder="1" applyAlignment="1">
      <alignment horizontal="center" vertical="center" wrapText="1"/>
    </xf>
    <xf numFmtId="164" fontId="12" fillId="4" borderId="2" xfId="12" applyNumberFormat="1" applyFont="1" applyFill="1" applyBorder="1" applyAlignment="1">
      <alignment horizontal="center" vertical="center" wrapText="1"/>
    </xf>
    <xf numFmtId="0" fontId="12" fillId="0" borderId="2" xfId="12" applyFont="1" applyBorder="1" applyAlignment="1">
      <alignment horizontal="center" vertical="center" textRotation="90" wrapText="1"/>
    </xf>
    <xf numFmtId="1" fontId="13" fillId="0" borderId="2" xfId="12" applyNumberFormat="1" applyFont="1" applyBorder="1" applyAlignment="1">
      <alignment horizontal="center" vertical="center" wrapText="1"/>
    </xf>
    <xf numFmtId="0" fontId="12" fillId="0" borderId="0" xfId="21" applyFont="1"/>
    <xf numFmtId="0" fontId="12" fillId="0" borderId="2" xfId="21" applyFont="1" applyBorder="1" applyAlignment="1">
      <alignment horizontal="left" vertical="center" wrapText="1"/>
    </xf>
    <xf numFmtId="0" fontId="12" fillId="0" borderId="2" xfId="21" applyFont="1" applyBorder="1" applyAlignment="1">
      <alignment horizontal="center" vertical="center"/>
    </xf>
    <xf numFmtId="2" fontId="12" fillId="0" borderId="2" xfId="21" applyNumberFormat="1" applyFont="1" applyBorder="1" applyAlignment="1">
      <alignment horizontal="center" vertical="center"/>
    </xf>
    <xf numFmtId="164" fontId="12" fillId="0" borderId="2" xfId="21" applyNumberFormat="1" applyFont="1" applyBorder="1" applyAlignment="1">
      <alignment horizontal="center" vertical="center"/>
    </xf>
    <xf numFmtId="0" fontId="12" fillId="0" borderId="2" xfId="24" applyFont="1" applyBorder="1" applyAlignment="1">
      <alignment horizontal="center" vertical="center" wrapText="1"/>
    </xf>
    <xf numFmtId="164" fontId="12" fillId="0" borderId="0" xfId="21" applyNumberFormat="1" applyFont="1" applyAlignment="1">
      <alignment horizontal="center" vertical="center"/>
    </xf>
    <xf numFmtId="1" fontId="12" fillId="0" borderId="0" xfId="21" applyNumberFormat="1" applyFont="1" applyAlignment="1">
      <alignment horizontal="center" vertical="center"/>
    </xf>
    <xf numFmtId="164" fontId="12" fillId="0" borderId="0" xfId="21" applyNumberFormat="1" applyFont="1"/>
    <xf numFmtId="0" fontId="12" fillId="0" borderId="2" xfId="21" applyFont="1" applyBorder="1"/>
    <xf numFmtId="0" fontId="12" fillId="0" borderId="2" xfId="21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22" fillId="0" borderId="2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39" fillId="0" borderId="13" xfId="25" applyFont="1" applyBorder="1" applyAlignment="1">
      <alignment horizontal="center" vertical="center" wrapText="1"/>
    </xf>
    <xf numFmtId="0" fontId="39" fillId="0" borderId="14" xfId="25" applyFont="1" applyBorder="1" applyAlignment="1">
      <alignment horizontal="center" vertical="center" wrapText="1"/>
    </xf>
    <xf numFmtId="0" fontId="38" fillId="0" borderId="0" xfId="25"/>
    <xf numFmtId="0" fontId="39" fillId="0" borderId="2" xfId="25" applyFont="1" applyBorder="1" applyAlignment="1">
      <alignment horizontal="center" vertical="center" wrapText="1"/>
    </xf>
    <xf numFmtId="0" fontId="39" fillId="0" borderId="2" xfId="25" applyFont="1" applyBorder="1" applyAlignment="1">
      <alignment horizontal="center" vertical="center"/>
    </xf>
    <xf numFmtId="164" fontId="39" fillId="0" borderId="11" xfId="25" applyNumberFormat="1" applyFont="1" applyBorder="1" applyAlignment="1">
      <alignment horizontal="center" vertical="center" wrapText="1"/>
    </xf>
    <xf numFmtId="0" fontId="38" fillId="4" borderId="0" xfId="25" applyFill="1"/>
    <xf numFmtId="0" fontId="39" fillId="0" borderId="17" xfId="25" applyFont="1" applyBorder="1" applyAlignment="1">
      <alignment horizontal="center" vertical="center" wrapText="1"/>
    </xf>
    <xf numFmtId="0" fontId="39" fillId="0" borderId="11" xfId="25" applyFont="1" applyBorder="1" applyAlignment="1">
      <alignment vertical="center" wrapText="1"/>
    </xf>
    <xf numFmtId="0" fontId="39" fillId="0" borderId="11" xfId="25" applyFont="1" applyBorder="1" applyAlignment="1">
      <alignment horizontal="center" vertical="center" wrapText="1"/>
    </xf>
    <xf numFmtId="2" fontId="39" fillId="0" borderId="11" xfId="25" applyNumberFormat="1" applyFont="1" applyBorder="1" applyAlignment="1">
      <alignment horizontal="center" vertical="center" wrapText="1"/>
    </xf>
    <xf numFmtId="0" fontId="18" fillId="0" borderId="2" xfId="25" applyFont="1" applyBorder="1" applyAlignment="1">
      <alignment vertical="center"/>
    </xf>
    <xf numFmtId="0" fontId="22" fillId="0" borderId="2" xfId="25" applyFont="1" applyBorder="1" applyAlignment="1">
      <alignment horizontal="center" vertical="center"/>
    </xf>
    <xf numFmtId="0" fontId="18" fillId="0" borderId="2" xfId="25" applyFont="1" applyBorder="1" applyAlignment="1">
      <alignment horizontal="center" vertical="center" wrapText="1"/>
    </xf>
    <xf numFmtId="0" fontId="22" fillId="0" borderId="2" xfId="25" applyFont="1" applyBorder="1" applyAlignment="1">
      <alignment horizontal="center" vertical="center" wrapText="1"/>
    </xf>
    <xf numFmtId="0" fontId="20" fillId="0" borderId="2" xfId="25" applyFont="1" applyBorder="1" applyAlignment="1">
      <alignment vertical="center"/>
    </xf>
    <xf numFmtId="0" fontId="16" fillId="0" borderId="2" xfId="25" applyFont="1" applyBorder="1" applyAlignment="1">
      <alignment horizontal="center" vertical="center"/>
    </xf>
    <xf numFmtId="0" fontId="20" fillId="0" borderId="2" xfId="25" applyFont="1" applyBorder="1" applyAlignment="1">
      <alignment horizontal="center" vertical="center" wrapText="1"/>
    </xf>
    <xf numFmtId="0" fontId="16" fillId="0" borderId="2" xfId="25" applyFont="1" applyBorder="1" applyAlignment="1">
      <alignment horizontal="center" vertical="center" wrapText="1"/>
    </xf>
    <xf numFmtId="164" fontId="16" fillId="0" borderId="2" xfId="25" applyNumberFormat="1" applyFont="1" applyBorder="1" applyAlignment="1">
      <alignment horizontal="center" vertical="center" wrapText="1"/>
    </xf>
    <xf numFmtId="0" fontId="12" fillId="0" borderId="2" xfId="26" applyFont="1" applyBorder="1" applyAlignment="1">
      <alignment horizontal="center" vertical="center" wrapText="1"/>
    </xf>
    <xf numFmtId="0" fontId="12" fillId="0" borderId="0" xfId="26" applyFont="1"/>
    <xf numFmtId="0" fontId="12" fillId="0" borderId="2" xfId="26" applyFont="1" applyBorder="1" applyAlignment="1">
      <alignment horizontal="center" vertical="center"/>
    </xf>
    <xf numFmtId="0" fontId="12" fillId="0" borderId="2" xfId="26" applyFont="1" applyBorder="1"/>
    <xf numFmtId="0" fontId="12" fillId="0" borderId="2" xfId="26" applyFont="1" applyBorder="1" applyAlignment="1">
      <alignment horizontal="center"/>
    </xf>
    <xf numFmtId="0" fontId="12" fillId="0" borderId="2" xfId="26" applyFont="1" applyBorder="1" applyAlignment="1">
      <alignment vertical="center" wrapText="1"/>
    </xf>
    <xf numFmtId="1" fontId="12" fillId="0" borderId="2" xfId="26" applyNumberFormat="1" applyFont="1" applyBorder="1" applyAlignment="1">
      <alignment horizontal="center" vertical="center" wrapText="1"/>
    </xf>
    <xf numFmtId="164" fontId="12" fillId="0" borderId="2" xfId="26" applyNumberFormat="1" applyFont="1" applyBorder="1" applyAlignment="1">
      <alignment horizontal="center" vertical="center" wrapText="1"/>
    </xf>
    <xf numFmtId="164" fontId="38" fillId="0" borderId="0" xfId="25" applyNumberFormat="1"/>
    <xf numFmtId="164" fontId="39" fillId="0" borderId="2" xfId="25" applyNumberFormat="1" applyFont="1" applyBorder="1" applyAlignment="1">
      <alignment horizontal="center" vertical="center" wrapText="1"/>
    </xf>
    <xf numFmtId="164" fontId="39" fillId="0" borderId="2" xfId="25" applyNumberFormat="1" applyFont="1" applyBorder="1" applyAlignment="1">
      <alignment vertical="center" wrapText="1"/>
    </xf>
    <xf numFmtId="1" fontId="39" fillId="0" borderId="2" xfId="25" applyNumberFormat="1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textRotation="90" wrapText="1"/>
    </xf>
    <xf numFmtId="0" fontId="12" fillId="0" borderId="9" xfId="12" applyFont="1" applyBorder="1" applyAlignment="1">
      <alignment horizontal="center" vertical="center" wrapText="1"/>
    </xf>
    <xf numFmtId="0" fontId="19" fillId="0" borderId="0" xfId="26"/>
    <xf numFmtId="0" fontId="35" fillId="0" borderId="2" xfId="26" applyFont="1" applyBorder="1" applyAlignment="1">
      <alignment horizontal="justify" vertical="center" wrapText="1"/>
    </xf>
    <xf numFmtId="0" fontId="19" fillId="8" borderId="0" xfId="26" applyFill="1"/>
    <xf numFmtId="0" fontId="12" fillId="0" borderId="2" xfId="26" applyFont="1" applyBorder="1" applyAlignment="1">
      <alignment horizontal="justify" vertical="center"/>
    </xf>
    <xf numFmtId="9" fontId="12" fillId="0" borderId="2" xfId="26" applyNumberFormat="1" applyFont="1" applyBorder="1" applyAlignment="1">
      <alignment horizontal="center" vertical="center"/>
    </xf>
    <xf numFmtId="164" fontId="12" fillId="0" borderId="2" xfId="26" applyNumberFormat="1" applyFont="1" applyBorder="1" applyAlignment="1">
      <alignment horizontal="center" vertical="center"/>
    </xf>
    <xf numFmtId="164" fontId="36" fillId="0" borderId="2" xfId="26" applyNumberFormat="1" applyFont="1" applyBorder="1" applyAlignment="1">
      <alignment horizontal="center" vertical="center" wrapText="1"/>
    </xf>
    <xf numFmtId="49" fontId="19" fillId="2" borderId="4" xfId="1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2" fillId="0" borderId="0" xfId="10" applyNumberFormat="1" applyFont="1" applyAlignment="1">
      <alignment horizontal="center" vertical="top"/>
    </xf>
    <xf numFmtId="0" fontId="20" fillId="0" borderId="17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2" fontId="12" fillId="0" borderId="2" xfId="12" applyNumberFormat="1" applyFont="1" applyBorder="1" applyAlignment="1">
      <alignment horizontal="center" vertical="center" wrapText="1"/>
    </xf>
    <xf numFmtId="164" fontId="13" fillId="0" borderId="2" xfId="12" applyNumberFormat="1" applyFont="1" applyBorder="1" applyAlignment="1">
      <alignment horizontal="center" vertical="center" wrapText="1"/>
    </xf>
    <xf numFmtId="2" fontId="0" fillId="0" borderId="0" xfId="0" applyNumberFormat="1"/>
    <xf numFmtId="0" fontId="16" fillId="0" borderId="0" xfId="31" applyFont="1" applyAlignment="1">
      <alignment horizontal="right" vertical="center"/>
    </xf>
    <xf numFmtId="0" fontId="16" fillId="0" borderId="0" xfId="31" applyFont="1" applyAlignment="1">
      <alignment vertical="center"/>
    </xf>
    <xf numFmtId="0" fontId="22" fillId="0" borderId="0" xfId="24" applyFont="1" applyAlignment="1">
      <alignment horizontal="center" vertical="center" wrapText="1"/>
    </xf>
    <xf numFmtId="0" fontId="16" fillId="0" borderId="2" xfId="31" applyFont="1" applyBorder="1" applyAlignment="1">
      <alignment horizontal="center" vertical="center" textRotation="90" wrapText="1"/>
    </xf>
    <xf numFmtId="0" fontId="16" fillId="0" borderId="0" xfId="31" applyFont="1" applyAlignment="1">
      <alignment vertical="center" wrapText="1"/>
    </xf>
    <xf numFmtId="0" fontId="22" fillId="0" borderId="2" xfId="31" applyFont="1" applyBorder="1" applyAlignment="1">
      <alignment horizontal="center" vertical="center" wrapText="1"/>
    </xf>
    <xf numFmtId="0" fontId="22" fillId="0" borderId="2" xfId="24" applyFont="1" applyBorder="1" applyAlignment="1">
      <alignment horizontal="center" vertical="center" wrapText="1"/>
    </xf>
    <xf numFmtId="0" fontId="16" fillId="0" borderId="2" xfId="31" applyFont="1" applyBorder="1" applyAlignment="1">
      <alignment horizontal="left" vertical="center" wrapText="1"/>
    </xf>
    <xf numFmtId="164" fontId="16" fillId="0" borderId="2" xfId="31" applyNumberFormat="1" applyFont="1" applyBorder="1" applyAlignment="1">
      <alignment horizontal="center" vertical="center" wrapText="1"/>
    </xf>
    <xf numFmtId="164" fontId="16" fillId="0" borderId="2" xfId="24" applyNumberFormat="1" applyFont="1" applyBorder="1" applyAlignment="1">
      <alignment horizontal="center" vertical="center" wrapText="1"/>
    </xf>
    <xf numFmtId="164" fontId="16" fillId="0" borderId="19" xfId="24" applyNumberFormat="1" applyFont="1" applyBorder="1" applyAlignment="1">
      <alignment horizontal="center" vertical="center" wrapText="1"/>
    </xf>
    <xf numFmtId="164" fontId="22" fillId="0" borderId="2" xfId="31" applyNumberFormat="1" applyFont="1" applyBorder="1" applyAlignment="1">
      <alignment horizontal="center" vertical="center"/>
    </xf>
    <xf numFmtId="164" fontId="22" fillId="0" borderId="2" xfId="31" applyNumberFormat="1" applyFont="1" applyBorder="1" applyAlignment="1">
      <alignment horizontal="center" vertical="center" wrapText="1"/>
    </xf>
    <xf numFmtId="0" fontId="16" fillId="0" borderId="0" xfId="31" applyFont="1" applyAlignment="1">
      <alignment horizontal="left" vertical="center"/>
    </xf>
    <xf numFmtId="0" fontId="40" fillId="0" borderId="13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169" fontId="12" fillId="0" borderId="0" xfId="10" applyNumberFormat="1" applyFont="1" applyAlignment="1">
      <alignment horizontal="center" vertical="top"/>
    </xf>
    <xf numFmtId="164" fontId="12" fillId="0" borderId="0" xfId="0" applyNumberFormat="1" applyFont="1" applyAlignment="1">
      <alignment horizontal="center" vertical="top"/>
    </xf>
    <xf numFmtId="164" fontId="40" fillId="0" borderId="17" xfId="0" applyNumberFormat="1" applyFont="1" applyBorder="1" applyAlignment="1">
      <alignment horizontal="center" vertical="center" wrapText="1"/>
    </xf>
    <xf numFmtId="1" fontId="12" fillId="0" borderId="3" xfId="11" applyNumberFormat="1" applyFont="1" applyBorder="1" applyAlignment="1">
      <alignment horizontal="center" vertical="center" textRotation="90" wrapText="1"/>
    </xf>
    <xf numFmtId="49" fontId="12" fillId="0" borderId="3" xfId="11" applyNumberFormat="1" applyFont="1" applyBorder="1" applyAlignment="1">
      <alignment horizontal="center" vertical="center" textRotation="90" wrapText="1"/>
    </xf>
    <xf numFmtId="0" fontId="12" fillId="0" borderId="3" xfId="11" applyFont="1" applyBorder="1" applyAlignment="1">
      <alignment horizontal="center" vertical="center" wrapText="1"/>
    </xf>
    <xf numFmtId="49" fontId="19" fillId="2" borderId="0" xfId="10" applyNumberFormat="1" applyFont="1" applyFill="1" applyAlignment="1">
      <alignment horizontal="center" vertical="center" wrapText="1"/>
    </xf>
    <xf numFmtId="49" fontId="12" fillId="0" borderId="2" xfId="10" applyNumberFormat="1" applyFont="1" applyBorder="1" applyAlignment="1">
      <alignment horizontal="center" vertical="center"/>
    </xf>
    <xf numFmtId="2" fontId="19" fillId="0" borderId="2" xfId="23" applyNumberFormat="1" applyFont="1" applyBorder="1" applyAlignment="1">
      <alignment horizontal="center" vertical="center" wrapText="1"/>
    </xf>
    <xf numFmtId="164" fontId="0" fillId="0" borderId="0" xfId="0" applyNumberFormat="1"/>
    <xf numFmtId="0" fontId="20" fillId="0" borderId="17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textRotation="90" wrapText="1"/>
    </xf>
    <xf numFmtId="0" fontId="42" fillId="0" borderId="13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18" fillId="0" borderId="11" xfId="0" applyFont="1" applyBorder="1" applyAlignment="1">
      <alignment horizontal="center" vertical="center" textRotation="90" wrapText="1"/>
    </xf>
    <xf numFmtId="0" fontId="18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textRotation="90" wrapText="1"/>
    </xf>
    <xf numFmtId="0" fontId="35" fillId="0" borderId="17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textRotation="90" wrapText="1"/>
    </xf>
    <xf numFmtId="0" fontId="40" fillId="0" borderId="0" xfId="0" applyFont="1" applyAlignment="1">
      <alignment horizontal="justify" vertical="center"/>
    </xf>
    <xf numFmtId="0" fontId="13" fillId="0" borderId="11" xfId="0" applyFont="1" applyBorder="1" applyAlignment="1">
      <alignment horizontal="center" vertical="center" textRotation="90"/>
    </xf>
    <xf numFmtId="0" fontId="12" fillId="0" borderId="1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textRotation="90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0" xfId="12" applyFont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2" fontId="12" fillId="0" borderId="0" xfId="10" applyNumberFormat="1" applyFont="1" applyAlignment="1">
      <alignment horizontal="center" vertical="center" wrapText="1"/>
    </xf>
    <xf numFmtId="2" fontId="12" fillId="0" borderId="0" xfId="10" applyNumberFormat="1" applyFont="1" applyAlignment="1">
      <alignment vertical="center" wrapText="1"/>
    </xf>
    <xf numFmtId="0" fontId="12" fillId="2" borderId="0" xfId="10" applyFont="1" applyFill="1" applyAlignment="1">
      <alignment horizontal="center" vertical="center"/>
    </xf>
    <xf numFmtId="2" fontId="12" fillId="0" borderId="2" xfId="13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vertical="center"/>
    </xf>
    <xf numFmtId="2" fontId="12" fillId="0" borderId="0" xfId="0" applyNumberFormat="1" applyFont="1" applyAlignment="1">
      <alignment vertical="center"/>
    </xf>
    <xf numFmtId="0" fontId="12" fillId="9" borderId="0" xfId="0" applyFont="1" applyFill="1" applyAlignment="1">
      <alignment vertical="center"/>
    </xf>
    <xf numFmtId="0" fontId="12" fillId="9" borderId="0" xfId="0" applyFont="1" applyFill="1" applyAlignment="1">
      <alignment horizontal="center" vertical="center"/>
    </xf>
    <xf numFmtId="164" fontId="12" fillId="9" borderId="0" xfId="0" applyNumberFormat="1" applyFont="1" applyFill="1" applyAlignment="1">
      <alignment vertical="center"/>
    </xf>
    <xf numFmtId="2" fontId="12" fillId="9" borderId="0" xfId="0" applyNumberFormat="1" applyFont="1" applyFill="1" applyAlignment="1">
      <alignment vertical="center"/>
    </xf>
    <xf numFmtId="0" fontId="12" fillId="2" borderId="23" xfId="10" applyFont="1" applyFill="1" applyBorder="1" applyAlignment="1">
      <alignment horizontal="center" vertical="center"/>
    </xf>
    <xf numFmtId="0" fontId="12" fillId="2" borderId="24" xfId="10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12" fillId="9" borderId="2" xfId="11" applyNumberFormat="1" applyFont="1" applyFill="1" applyBorder="1" applyAlignment="1">
      <alignment horizontal="center" vertical="center" wrapText="1"/>
    </xf>
    <xf numFmtId="0" fontId="12" fillId="9" borderId="2" xfId="10" applyFont="1" applyFill="1" applyBorder="1" applyAlignment="1">
      <alignment horizontal="center" vertical="center" wrapText="1"/>
    </xf>
    <xf numFmtId="0" fontId="12" fillId="2" borderId="4" xfId="10" applyFont="1" applyFill="1" applyBorder="1" applyAlignment="1">
      <alignment horizontal="center" vertical="center"/>
    </xf>
    <xf numFmtId="0" fontId="12" fillId="2" borderId="6" xfId="10" applyFont="1" applyFill="1" applyBorder="1" applyAlignment="1">
      <alignment horizontal="center" vertical="center"/>
    </xf>
    <xf numFmtId="164" fontId="13" fillId="0" borderId="5" xfId="10" applyNumberFormat="1" applyFont="1" applyBorder="1" applyAlignment="1">
      <alignment horizontal="center" vertical="center" wrapText="1"/>
    </xf>
    <xf numFmtId="164" fontId="12" fillId="0" borderId="5" xfId="11" applyNumberFormat="1" applyFont="1" applyBorder="1" applyAlignment="1">
      <alignment horizontal="center" vertical="center" wrapText="1"/>
    </xf>
    <xf numFmtId="164" fontId="13" fillId="0" borderId="6" xfId="10" applyNumberFormat="1" applyFont="1" applyBorder="1" applyAlignment="1">
      <alignment horizontal="center" vertical="center" wrapText="1"/>
    </xf>
    <xf numFmtId="2" fontId="12" fillId="0" borderId="7" xfId="10" applyNumberFormat="1" applyFont="1" applyBorder="1" applyAlignment="1">
      <alignment horizontal="center" vertical="center" wrapText="1"/>
    </xf>
    <xf numFmtId="2" fontId="12" fillId="0" borderId="7" xfId="10" applyNumberFormat="1" applyFont="1" applyBorder="1" applyAlignment="1">
      <alignment vertical="center" wrapText="1"/>
    </xf>
    <xf numFmtId="49" fontId="13" fillId="0" borderId="25" xfId="10" applyNumberFormat="1" applyFont="1" applyBorder="1" applyAlignment="1">
      <alignment horizontal="center" vertical="center" wrapText="1"/>
    </xf>
    <xf numFmtId="164" fontId="13" fillId="0" borderId="7" xfId="11" applyNumberFormat="1" applyFont="1" applyBorder="1" applyAlignment="1">
      <alignment horizontal="center" vertical="center" wrapText="1"/>
    </xf>
    <xf numFmtId="164" fontId="13" fillId="0" borderId="4" xfId="10" applyNumberFormat="1" applyFont="1" applyBorder="1" applyAlignment="1">
      <alignment horizontal="center" vertical="center" wrapText="1"/>
    </xf>
    <xf numFmtId="164" fontId="13" fillId="0" borderId="10" xfId="10" applyNumberFormat="1" applyFont="1" applyBorder="1" applyAlignment="1">
      <alignment horizontal="center" vertical="center" wrapText="1"/>
    </xf>
    <xf numFmtId="164" fontId="13" fillId="0" borderId="7" xfId="10" applyNumberFormat="1" applyFont="1" applyBorder="1" applyAlignment="1">
      <alignment horizontal="center" vertical="center" wrapText="1"/>
    </xf>
    <xf numFmtId="164" fontId="12" fillId="0" borderId="4" xfId="11" applyNumberFormat="1" applyFont="1" applyBorder="1" applyAlignment="1">
      <alignment horizontal="center" vertical="center" wrapText="1"/>
    </xf>
    <xf numFmtId="0" fontId="13" fillId="2" borderId="0" xfId="10" applyFont="1" applyFill="1" applyAlignment="1">
      <alignment horizontal="center" vertical="center"/>
    </xf>
    <xf numFmtId="0" fontId="12" fillId="9" borderId="2" xfId="0" applyFont="1" applyFill="1" applyBorder="1" applyAlignment="1">
      <alignment horizontal="left" vertical="center" wrapText="1"/>
    </xf>
    <xf numFmtId="49" fontId="12" fillId="9" borderId="2" xfId="0" applyNumberFormat="1" applyFont="1" applyFill="1" applyBorder="1" applyAlignment="1">
      <alignment horizontal="left" vertical="center" wrapText="1"/>
    </xf>
    <xf numFmtId="0" fontId="12" fillId="2" borderId="19" xfId="10" applyFont="1" applyFill="1" applyBorder="1" applyAlignment="1">
      <alignment horizontal="center" vertical="center"/>
    </xf>
    <xf numFmtId="0" fontId="12" fillId="2" borderId="22" xfId="10" applyFont="1" applyFill="1" applyBorder="1" applyAlignment="1">
      <alignment horizontal="center" vertical="center"/>
    </xf>
    <xf numFmtId="2" fontId="12" fillId="4" borderId="2" xfId="10" applyNumberFormat="1" applyFont="1" applyFill="1" applyBorder="1" applyAlignment="1">
      <alignment horizontal="center" vertical="center" wrapText="1"/>
    </xf>
    <xf numFmtId="2" fontId="12" fillId="4" borderId="2" xfId="10" applyNumberFormat="1" applyFont="1" applyFill="1" applyBorder="1" applyAlignment="1">
      <alignment vertical="center" wrapText="1"/>
    </xf>
    <xf numFmtId="0" fontId="12" fillId="4" borderId="0" xfId="11" applyFont="1" applyFill="1" applyAlignment="1">
      <alignment horizontal="center" vertical="center" wrapText="1"/>
    </xf>
    <xf numFmtId="0" fontId="12" fillId="4" borderId="2" xfId="10" applyFont="1" applyFill="1" applyBorder="1" applyAlignment="1">
      <alignment horizontal="center" vertical="center"/>
    </xf>
    <xf numFmtId="49" fontId="12" fillId="4" borderId="0" xfId="10" applyNumberFormat="1" applyFont="1" applyFill="1" applyAlignment="1">
      <alignment vertical="top"/>
    </xf>
    <xf numFmtId="164" fontId="12" fillId="4" borderId="0" xfId="11" applyNumberFormat="1" applyFont="1" applyFill="1" applyAlignment="1">
      <alignment horizontal="center" vertical="center" wrapText="1"/>
    </xf>
    <xf numFmtId="0" fontId="13" fillId="4" borderId="2" xfId="10" applyFont="1" applyFill="1" applyBorder="1" applyAlignment="1">
      <alignment horizontal="center" vertical="center"/>
    </xf>
    <xf numFmtId="0" fontId="12" fillId="4" borderId="23" xfId="10" applyFont="1" applyFill="1" applyBorder="1" applyAlignment="1">
      <alignment horizontal="center" vertical="center"/>
    </xf>
    <xf numFmtId="0" fontId="12" fillId="4" borderId="24" xfId="10" applyFont="1" applyFill="1" applyBorder="1" applyAlignment="1">
      <alignment horizontal="center" vertical="center"/>
    </xf>
    <xf numFmtId="1" fontId="12" fillId="9" borderId="2" xfId="0" applyNumberFormat="1" applyFont="1" applyFill="1" applyBorder="1" applyAlignment="1">
      <alignment horizontal="center" vertical="center" wrapText="1"/>
    </xf>
    <xf numFmtId="1" fontId="12" fillId="9" borderId="0" xfId="10" applyNumberFormat="1" applyFont="1" applyFill="1" applyAlignment="1">
      <alignment vertical="top"/>
    </xf>
    <xf numFmtId="0" fontId="12" fillId="9" borderId="8" xfId="11" applyFont="1" applyFill="1" applyBorder="1" applyAlignment="1">
      <alignment vertical="center" wrapText="1"/>
    </xf>
    <xf numFmtId="0" fontId="15" fillId="9" borderId="0" xfId="0" applyFont="1" applyFill="1" applyAlignment="1">
      <alignment horizontal="left" vertical="center" wrapText="1"/>
    </xf>
    <xf numFmtId="164" fontId="12" fillId="9" borderId="2" xfId="10" applyNumberFormat="1" applyFont="1" applyFill="1" applyBorder="1" applyAlignment="1">
      <alignment horizontal="center" vertical="center"/>
    </xf>
    <xf numFmtId="0" fontId="12" fillId="9" borderId="3" xfId="11" applyFont="1" applyFill="1" applyBorder="1" applyAlignment="1">
      <alignment horizontal="center" vertical="center" wrapText="1"/>
    </xf>
    <xf numFmtId="0" fontId="12" fillId="9" borderId="0" xfId="11" applyFont="1" applyFill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4" fontId="12" fillId="4" borderId="0" xfId="13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164" fontId="12" fillId="4" borderId="0" xfId="0" applyNumberFormat="1" applyFont="1" applyFill="1" applyAlignment="1">
      <alignment horizontal="center" vertical="center"/>
    </xf>
    <xf numFmtId="0" fontId="12" fillId="9" borderId="2" xfId="12" applyFont="1" applyFill="1" applyBorder="1" applyAlignment="1">
      <alignment vertical="center" wrapText="1"/>
    </xf>
    <xf numFmtId="0" fontId="12" fillId="9" borderId="2" xfId="12" applyFont="1" applyFill="1" applyBorder="1" applyAlignment="1">
      <alignment horizontal="center" vertical="center" wrapText="1"/>
    </xf>
    <xf numFmtId="1" fontId="12" fillId="9" borderId="2" xfId="12" applyNumberFormat="1" applyFont="1" applyFill="1" applyBorder="1" applyAlignment="1">
      <alignment horizontal="center" vertical="center" wrapText="1"/>
    </xf>
    <xf numFmtId="164" fontId="12" fillId="9" borderId="2" xfId="12" applyNumberFormat="1" applyFont="1" applyFill="1" applyBorder="1" applyAlignment="1">
      <alignment horizontal="center" vertical="center" wrapText="1"/>
    </xf>
    <xf numFmtId="0" fontId="12" fillId="9" borderId="2" xfId="12" applyFont="1" applyFill="1" applyBorder="1" applyAlignment="1">
      <alignment horizontal="left" vertical="center" wrapText="1"/>
    </xf>
    <xf numFmtId="167" fontId="16" fillId="9" borderId="2" xfId="9" applyNumberFormat="1" applyFont="1" applyFill="1" applyBorder="1" applyAlignment="1">
      <alignment horizontal="center" vertical="center"/>
    </xf>
    <xf numFmtId="164" fontId="12" fillId="9" borderId="2" xfId="13" applyNumberFormat="1" applyFont="1" applyFill="1" applyBorder="1" applyAlignment="1">
      <alignment horizontal="center" vertical="center" wrapText="1"/>
    </xf>
    <xf numFmtId="1" fontId="12" fillId="9" borderId="2" xfId="10" applyNumberFormat="1" applyFont="1" applyFill="1" applyBorder="1" applyAlignment="1">
      <alignment horizontal="center" vertical="center"/>
    </xf>
    <xf numFmtId="49" fontId="12" fillId="9" borderId="4" xfId="10" applyNumberFormat="1" applyFont="1" applyFill="1" applyBorder="1" applyAlignment="1">
      <alignment horizontal="center" vertical="center" wrapText="1"/>
    </xf>
    <xf numFmtId="0" fontId="12" fillId="9" borderId="3" xfId="11" applyFont="1" applyFill="1" applyBorder="1" applyAlignment="1">
      <alignment vertical="center" wrapText="1"/>
    </xf>
    <xf numFmtId="49" fontId="13" fillId="0" borderId="0" xfId="10" applyNumberFormat="1" applyFont="1" applyAlignment="1">
      <alignment horizontal="center" vertical="center" wrapText="1"/>
    </xf>
    <xf numFmtId="164" fontId="12" fillId="9" borderId="0" xfId="10" applyNumberFormat="1" applyFont="1" applyFill="1" applyAlignment="1">
      <alignment horizontal="center" vertical="center"/>
    </xf>
    <xf numFmtId="1" fontId="12" fillId="9" borderId="0" xfId="0" applyNumberFormat="1" applyFont="1" applyFill="1" applyAlignment="1">
      <alignment horizontal="center" vertical="top"/>
    </xf>
    <xf numFmtId="1" fontId="12" fillId="9" borderId="0" xfId="10" applyNumberFormat="1" applyFont="1" applyFill="1" applyAlignment="1">
      <alignment horizontal="center" vertical="top"/>
    </xf>
    <xf numFmtId="164" fontId="12" fillId="9" borderId="0" xfId="10" applyNumberFormat="1" applyFont="1" applyFill="1" applyAlignment="1">
      <alignment horizontal="center" vertical="top"/>
    </xf>
    <xf numFmtId="164" fontId="12" fillId="9" borderId="2" xfId="10" applyNumberFormat="1" applyFont="1" applyFill="1" applyBorder="1" applyAlignment="1">
      <alignment horizontal="center" vertical="top"/>
    </xf>
    <xf numFmtId="164" fontId="13" fillId="9" borderId="2" xfId="11" applyNumberFormat="1" applyFont="1" applyFill="1" applyBorder="1" applyAlignment="1">
      <alignment horizontal="center" vertical="center" wrapText="1"/>
    </xf>
    <xf numFmtId="164" fontId="13" fillId="9" borderId="2" xfId="10" applyNumberFormat="1" applyFont="1" applyFill="1" applyBorder="1" applyAlignment="1">
      <alignment horizontal="center" vertical="center" wrapText="1"/>
    </xf>
    <xf numFmtId="49" fontId="12" fillId="9" borderId="2" xfId="10" applyNumberFormat="1" applyFont="1" applyFill="1" applyBorder="1" applyAlignment="1">
      <alignment horizontal="center" vertical="center"/>
    </xf>
    <xf numFmtId="164" fontId="12" fillId="9" borderId="5" xfId="11" applyNumberFormat="1" applyFont="1" applyFill="1" applyBorder="1" applyAlignment="1">
      <alignment horizontal="center" vertical="center" wrapText="1"/>
    </xf>
    <xf numFmtId="2" fontId="12" fillId="4" borderId="0" xfId="10" applyNumberFormat="1" applyFont="1" applyFill="1" applyAlignment="1">
      <alignment vertical="top"/>
    </xf>
    <xf numFmtId="1" fontId="12" fillId="0" borderId="0" xfId="0" applyNumberFormat="1" applyFont="1" applyAlignment="1">
      <alignment horizontal="center" vertical="center"/>
    </xf>
    <xf numFmtId="1" fontId="12" fillId="4" borderId="2" xfId="10" applyNumberFormat="1" applyFont="1" applyFill="1" applyBorder="1" applyAlignment="1">
      <alignment horizontal="center" vertical="center" wrapText="1"/>
    </xf>
    <xf numFmtId="49" fontId="12" fillId="4" borderId="0" xfId="10" applyNumberFormat="1" applyFont="1" applyFill="1" applyAlignment="1">
      <alignment horizontal="center" vertical="top" wrapText="1"/>
    </xf>
    <xf numFmtId="169" fontId="12" fillId="9" borderId="2" xfId="11" applyNumberFormat="1" applyFont="1" applyFill="1" applyBorder="1" applyAlignment="1">
      <alignment horizontal="center" vertical="center" wrapText="1"/>
    </xf>
    <xf numFmtId="49" fontId="12" fillId="9" borderId="2" xfId="10" applyNumberFormat="1" applyFont="1" applyFill="1" applyBorder="1" applyAlignment="1">
      <alignment horizontal="left" vertical="center" wrapText="1"/>
    </xf>
    <xf numFmtId="1" fontId="12" fillId="9" borderId="2" xfId="10" applyNumberFormat="1" applyFont="1" applyFill="1" applyBorder="1" applyAlignment="1">
      <alignment horizontal="center" vertical="center" wrapText="1"/>
    </xf>
    <xf numFmtId="2" fontId="12" fillId="9" borderId="2" xfId="11" applyNumberFormat="1" applyFont="1" applyFill="1" applyBorder="1" applyAlignment="1">
      <alignment horizontal="center" vertical="center" wrapText="1"/>
    </xf>
    <xf numFmtId="49" fontId="13" fillId="9" borderId="4" xfId="10" applyNumberFormat="1" applyFont="1" applyFill="1" applyBorder="1" applyAlignment="1">
      <alignment horizontal="center" vertical="center" wrapText="1"/>
    </xf>
    <xf numFmtId="164" fontId="12" fillId="9" borderId="2" xfId="10" applyNumberFormat="1" applyFont="1" applyFill="1" applyBorder="1" applyAlignment="1">
      <alignment horizontal="center" vertical="center" wrapText="1"/>
    </xf>
    <xf numFmtId="49" fontId="12" fillId="9" borderId="0" xfId="10" applyNumberFormat="1" applyFont="1" applyFill="1" applyAlignment="1">
      <alignment horizontal="center" vertical="top" wrapText="1"/>
    </xf>
    <xf numFmtId="1" fontId="12" fillId="9" borderId="0" xfId="10" applyNumberFormat="1" applyFont="1" applyFill="1" applyAlignment="1">
      <alignment horizontal="center" vertical="top" wrapText="1"/>
    </xf>
    <xf numFmtId="164" fontId="12" fillId="9" borderId="0" xfId="10" applyNumberFormat="1" applyFont="1" applyFill="1" applyAlignment="1">
      <alignment horizontal="center" vertical="top" wrapText="1"/>
    </xf>
    <xf numFmtId="0" fontId="12" fillId="9" borderId="13" xfId="0" applyFont="1" applyFill="1" applyBorder="1" applyAlignment="1">
      <alignment vertical="center"/>
    </xf>
    <xf numFmtId="0" fontId="12" fillId="9" borderId="17" xfId="0" applyFont="1" applyFill="1" applyBorder="1" applyAlignment="1">
      <alignment vertical="center"/>
    </xf>
    <xf numFmtId="164" fontId="13" fillId="9" borderId="7" xfId="10" applyNumberFormat="1" applyFont="1" applyFill="1" applyBorder="1" applyAlignment="1">
      <alignment horizontal="center" vertical="center" wrapText="1"/>
    </xf>
    <xf numFmtId="2" fontId="12" fillId="0" borderId="0" xfId="10" applyNumberFormat="1" applyFont="1" applyAlignment="1">
      <alignment vertical="top"/>
    </xf>
    <xf numFmtId="1" fontId="12" fillId="4" borderId="0" xfId="10" applyNumberFormat="1" applyFont="1" applyFill="1" applyAlignment="1">
      <alignment horizontal="center" vertical="top"/>
    </xf>
    <xf numFmtId="49" fontId="12" fillId="4" borderId="0" xfId="10" applyNumberFormat="1" applyFont="1" applyFill="1" applyAlignment="1">
      <alignment horizontal="center" vertical="top"/>
    </xf>
    <xf numFmtId="1" fontId="12" fillId="4" borderId="0" xfId="10" applyNumberFormat="1" applyFont="1" applyFill="1" applyAlignment="1">
      <alignment vertical="top"/>
    </xf>
    <xf numFmtId="2" fontId="12" fillId="9" borderId="2" xfId="10" applyNumberFormat="1" applyFont="1" applyFill="1" applyBorder="1" applyAlignment="1">
      <alignment horizontal="center" vertical="center"/>
    </xf>
    <xf numFmtId="2" fontId="12" fillId="9" borderId="0" xfId="10" applyNumberFormat="1" applyFont="1" applyFill="1" applyAlignment="1">
      <alignment horizontal="center" vertical="center"/>
    </xf>
    <xf numFmtId="2" fontId="12" fillId="9" borderId="3" xfId="10" applyNumberFormat="1" applyFont="1" applyFill="1" applyBorder="1" applyAlignment="1">
      <alignment horizontal="center" vertical="center"/>
    </xf>
    <xf numFmtId="2" fontId="12" fillId="9" borderId="8" xfId="10" applyNumberFormat="1" applyFont="1" applyFill="1" applyBorder="1" applyAlignment="1">
      <alignment horizontal="center" vertical="center"/>
    </xf>
    <xf numFmtId="2" fontId="12" fillId="9" borderId="7" xfId="1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/>
    </xf>
    <xf numFmtId="0" fontId="50" fillId="0" borderId="0" xfId="0" applyFont="1"/>
    <xf numFmtId="0" fontId="12" fillId="10" borderId="2" xfId="0" applyFont="1" applyFill="1" applyBorder="1" applyAlignment="1">
      <alignment horizontal="left" vertical="center" wrapText="1"/>
    </xf>
    <xf numFmtId="49" fontId="13" fillId="9" borderId="4" xfId="10" applyNumberFormat="1" applyFont="1" applyFill="1" applyBorder="1" applyAlignment="1">
      <alignment horizontal="center" vertical="center" wrapText="1"/>
    </xf>
    <xf numFmtId="0" fontId="12" fillId="2" borderId="23" xfId="10" applyFont="1" applyFill="1" applyBorder="1" applyAlignment="1">
      <alignment horizontal="center" vertical="center"/>
    </xf>
    <xf numFmtId="0" fontId="12" fillId="2" borderId="24" xfId="10" applyFont="1" applyFill="1" applyBorder="1" applyAlignment="1">
      <alignment horizontal="center" vertical="center"/>
    </xf>
    <xf numFmtId="0" fontId="12" fillId="2" borderId="4" xfId="10" applyFont="1" applyFill="1" applyBorder="1" applyAlignment="1">
      <alignment horizontal="center" vertical="center"/>
    </xf>
    <xf numFmtId="0" fontId="12" fillId="2" borderId="6" xfId="10" applyFont="1" applyFill="1" applyBorder="1" applyAlignment="1">
      <alignment horizontal="center" vertical="center"/>
    </xf>
    <xf numFmtId="1" fontId="12" fillId="0" borderId="3" xfId="11" applyNumberFormat="1" applyFont="1" applyBorder="1" applyAlignment="1">
      <alignment horizontal="center" vertical="center" textRotation="90" wrapText="1"/>
    </xf>
    <xf numFmtId="49" fontId="12" fillId="0" borderId="3" xfId="11" applyNumberFormat="1" applyFont="1" applyBorder="1" applyAlignment="1">
      <alignment horizontal="center" vertical="center" textRotation="90" wrapText="1"/>
    </xf>
    <xf numFmtId="0" fontId="12" fillId="9" borderId="3" xfId="11" applyFont="1" applyFill="1" applyBorder="1" applyAlignment="1">
      <alignment horizontal="center" vertical="center" wrapText="1"/>
    </xf>
    <xf numFmtId="0" fontId="12" fillId="0" borderId="3" xfId="1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4" fontId="50" fillId="0" borderId="0" xfId="0" applyNumberFormat="1" applyFont="1"/>
    <xf numFmtId="164" fontId="50" fillId="0" borderId="0" xfId="0" applyNumberFormat="1" applyFont="1" applyAlignment="1">
      <alignment horizontal="center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vertical="center" wrapText="1"/>
    </xf>
    <xf numFmtId="0" fontId="12" fillId="10" borderId="2" xfId="0" applyFont="1" applyFill="1" applyBorder="1" applyAlignment="1">
      <alignment horizontal="center" vertical="center"/>
    </xf>
    <xf numFmtId="164" fontId="50" fillId="4" borderId="0" xfId="0" applyNumberFormat="1" applyFont="1" applyFill="1"/>
    <xf numFmtId="164" fontId="0" fillId="0" borderId="2" xfId="0" applyNumberFormat="1" applyBorder="1"/>
    <xf numFmtId="0" fontId="0" fillId="0" borderId="2" xfId="0" applyBorder="1"/>
    <xf numFmtId="0" fontId="12" fillId="0" borderId="6" xfId="0" applyFont="1" applyBorder="1" applyAlignment="1">
      <alignment horizontal="center" vertical="center"/>
    </xf>
    <xf numFmtId="0" fontId="0" fillId="0" borderId="6" xfId="0" applyBorder="1"/>
    <xf numFmtId="164" fontId="49" fillId="0" borderId="2" xfId="0" applyNumberFormat="1" applyFon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4" fontId="50" fillId="4" borderId="2" xfId="0" applyNumberFormat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164" fontId="39" fillId="0" borderId="2" xfId="25" applyNumberFormat="1" applyFont="1" applyBorder="1" applyAlignment="1">
      <alignment horizontal="center" vertical="center" wrapText="1"/>
    </xf>
    <xf numFmtId="0" fontId="39" fillId="0" borderId="15" xfId="25" applyFont="1" applyBorder="1" applyAlignment="1">
      <alignment horizontal="center" vertical="center" wrapText="1"/>
    </xf>
    <xf numFmtId="0" fontId="39" fillId="0" borderId="16" xfId="25" applyFont="1" applyBorder="1" applyAlignment="1">
      <alignment horizontal="center" vertical="center" wrapText="1"/>
    </xf>
    <xf numFmtId="0" fontId="39" fillId="0" borderId="14" xfId="25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textRotation="90" wrapText="1"/>
    </xf>
    <xf numFmtId="0" fontId="20" fillId="0" borderId="17" xfId="0" applyFont="1" applyBorder="1" applyAlignment="1">
      <alignment horizontal="center" vertical="center" textRotation="90" wrapText="1"/>
    </xf>
    <xf numFmtId="0" fontId="20" fillId="0" borderId="15" xfId="0" applyFont="1" applyBorder="1" applyAlignment="1">
      <alignment horizontal="center" vertical="center" textRotation="90" wrapText="1"/>
    </xf>
    <xf numFmtId="0" fontId="20" fillId="0" borderId="14" xfId="0" applyFont="1" applyBorder="1" applyAlignment="1">
      <alignment horizontal="center" vertical="center" textRotation="90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2" fillId="0" borderId="2" xfId="12" applyFont="1" applyBorder="1" applyAlignment="1">
      <alignment horizontal="center" vertical="center" wrapText="1"/>
    </xf>
    <xf numFmtId="0" fontId="39" fillId="0" borderId="2" xfId="25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textRotation="90" wrapText="1"/>
    </xf>
    <xf numFmtId="0" fontId="22" fillId="0" borderId="2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2" xfId="21" applyFont="1" applyBorder="1" applyAlignment="1">
      <alignment horizontal="center" vertical="center" wrapText="1"/>
    </xf>
    <xf numFmtId="0" fontId="13" fillId="0" borderId="2" xfId="21" applyFont="1" applyBorder="1" applyAlignment="1">
      <alignment horizontal="center" vertical="center" wrapText="1"/>
    </xf>
    <xf numFmtId="0" fontId="13" fillId="0" borderId="2" xfId="21" applyFont="1" applyBorder="1" applyAlignment="1">
      <alignment horizontal="center" vertical="center" textRotation="90" wrapText="1"/>
    </xf>
    <xf numFmtId="0" fontId="13" fillId="0" borderId="2" xfId="21" applyFont="1" applyBorder="1" applyAlignment="1">
      <alignment horizontal="center" vertical="center" textRotation="90" wrapText="1" shrinkToFit="1"/>
    </xf>
    <xf numFmtId="0" fontId="13" fillId="0" borderId="18" xfId="0" applyFont="1" applyBorder="1" applyAlignment="1">
      <alignment horizontal="center" vertical="center" textRotation="90" wrapText="1"/>
    </xf>
    <xf numFmtId="0" fontId="13" fillId="0" borderId="17" xfId="0" applyFont="1" applyBorder="1" applyAlignment="1">
      <alignment horizontal="center" vertical="center" textRotation="90" wrapText="1"/>
    </xf>
    <xf numFmtId="0" fontId="13" fillId="0" borderId="2" xfId="12" applyFont="1" applyBorder="1" applyAlignment="1">
      <alignment horizontal="center" vertical="center" textRotation="90" wrapText="1"/>
    </xf>
    <xf numFmtId="0" fontId="13" fillId="0" borderId="2" xfId="12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20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textRotation="90" wrapText="1"/>
    </xf>
    <xf numFmtId="0" fontId="13" fillId="0" borderId="15" xfId="0" applyFont="1" applyBorder="1" applyAlignment="1">
      <alignment horizontal="center" vertical="center" textRotation="90"/>
    </xf>
    <xf numFmtId="0" fontId="13" fillId="0" borderId="16" xfId="0" applyFont="1" applyBorder="1" applyAlignment="1">
      <alignment horizontal="center" vertical="center" textRotation="90"/>
    </xf>
    <xf numFmtId="0" fontId="13" fillId="0" borderId="14" xfId="0" applyFont="1" applyBorder="1" applyAlignment="1">
      <alignment horizontal="center" vertical="center" textRotation="90"/>
    </xf>
    <xf numFmtId="0" fontId="13" fillId="0" borderId="4" xfId="12" applyFont="1" applyBorder="1" applyAlignment="1">
      <alignment horizontal="left" vertical="center" wrapText="1"/>
    </xf>
    <xf numFmtId="0" fontId="13" fillId="0" borderId="5" xfId="12" applyFont="1" applyBorder="1" applyAlignment="1">
      <alignment horizontal="left" vertical="center" wrapText="1"/>
    </xf>
    <xf numFmtId="0" fontId="13" fillId="0" borderId="6" xfId="12" applyFont="1" applyBorder="1" applyAlignment="1">
      <alignment horizontal="left" vertical="center" wrapText="1"/>
    </xf>
    <xf numFmtId="0" fontId="12" fillId="0" borderId="2" xfId="12" applyFont="1" applyBorder="1" applyAlignment="1">
      <alignment horizontal="center" vertical="center" textRotation="90" wrapText="1"/>
    </xf>
    <xf numFmtId="0" fontId="31" fillId="0" borderId="2" xfId="12" applyFont="1" applyBorder="1" applyAlignment="1">
      <alignment horizontal="center" vertical="center" wrapText="1"/>
    </xf>
    <xf numFmtId="0" fontId="12" fillId="0" borderId="4" xfId="12" applyFont="1" applyBorder="1" applyAlignment="1">
      <alignment horizontal="center" vertical="center" textRotation="90" wrapText="1"/>
    </xf>
    <xf numFmtId="0" fontId="12" fillId="0" borderId="6" xfId="12" applyFont="1" applyBorder="1" applyAlignment="1">
      <alignment horizontal="center" vertical="center" textRotation="90" wrapText="1"/>
    </xf>
    <xf numFmtId="0" fontId="12" fillId="0" borderId="2" xfId="26" applyFont="1" applyBorder="1" applyAlignment="1">
      <alignment horizontal="center" vertical="center" wrapText="1"/>
    </xf>
    <xf numFmtId="0" fontId="12" fillId="0" borderId="2" xfId="26" applyFont="1" applyBorder="1" applyAlignment="1">
      <alignment horizontal="left" vertical="center" wrapText="1"/>
    </xf>
    <xf numFmtId="164" fontId="12" fillId="0" borderId="2" xfId="26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7" xfId="22" applyFont="1" applyBorder="1" applyAlignment="1">
      <alignment horizontal="center" vertical="center" textRotation="90" wrapText="1"/>
    </xf>
    <xf numFmtId="0" fontId="13" fillId="0" borderId="3" xfId="22" applyFont="1" applyBorder="1" applyAlignment="1">
      <alignment horizontal="center" vertical="center" textRotation="90" wrapText="1"/>
    </xf>
    <xf numFmtId="0" fontId="12" fillId="0" borderId="21" xfId="0" applyFont="1" applyBorder="1" applyAlignment="1">
      <alignment vertical="center" wrapText="1"/>
    </xf>
    <xf numFmtId="0" fontId="13" fillId="0" borderId="2" xfId="2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3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1" fillId="0" borderId="2" xfId="14" applyBorder="1" applyAlignment="1">
      <alignment horizontal="center" vertical="center" textRotation="90" wrapText="1"/>
    </xf>
    <xf numFmtId="0" fontId="30" fillId="0" borderId="4" xfId="14" applyFont="1" applyBorder="1" applyAlignment="1">
      <alignment horizontal="center" vertical="center" wrapText="1"/>
    </xf>
    <xf numFmtId="0" fontId="30" fillId="0" borderId="5" xfId="14" applyFont="1" applyBorder="1" applyAlignment="1">
      <alignment horizontal="center" vertical="center" wrapText="1"/>
    </xf>
    <xf numFmtId="0" fontId="30" fillId="0" borderId="6" xfId="14" applyFont="1" applyBorder="1" applyAlignment="1">
      <alignment horizontal="center" vertical="center" wrapText="1"/>
    </xf>
    <xf numFmtId="0" fontId="21" fillId="0" borderId="0" xfId="14" applyAlignment="1">
      <alignment horizontal="center" vertical="center" wrapText="1"/>
    </xf>
    <xf numFmtId="0" fontId="21" fillId="0" borderId="2" xfId="14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textRotation="90" wrapText="1"/>
    </xf>
    <xf numFmtId="0" fontId="18" fillId="0" borderId="17" xfId="0" applyFont="1" applyBorder="1" applyAlignment="1">
      <alignment horizontal="center" vertical="center" textRotation="90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6" fillId="0" borderId="2" xfId="31" applyFont="1" applyBorder="1" applyAlignment="1">
      <alignment horizontal="center" vertical="center" textRotation="90" wrapText="1"/>
    </xf>
    <xf numFmtId="0" fontId="22" fillId="0" borderId="2" xfId="24" applyFont="1" applyBorder="1" applyAlignment="1">
      <alignment horizontal="center" vertical="center" wrapText="1"/>
    </xf>
    <xf numFmtId="0" fontId="22" fillId="0" borderId="4" xfId="31" applyFont="1" applyBorder="1" applyAlignment="1">
      <alignment horizontal="center" vertical="center"/>
    </xf>
    <xf numFmtId="0" fontId="22" fillId="0" borderId="5" xfId="31" applyFont="1" applyBorder="1" applyAlignment="1">
      <alignment horizontal="center" vertical="center"/>
    </xf>
    <xf numFmtId="0" fontId="22" fillId="0" borderId="6" xfId="31" applyFont="1" applyBorder="1" applyAlignment="1">
      <alignment horizontal="center" vertical="center"/>
    </xf>
    <xf numFmtId="0" fontId="16" fillId="0" borderId="2" xfId="31" applyFont="1" applyBorder="1" applyAlignment="1">
      <alignment horizontal="center" vertical="center"/>
    </xf>
    <xf numFmtId="0" fontId="16" fillId="0" borderId="2" xfId="31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textRotation="90" wrapText="1"/>
    </xf>
    <xf numFmtId="0" fontId="35" fillId="0" borderId="17" xfId="0" applyFont="1" applyBorder="1" applyAlignment="1">
      <alignment horizontal="center" vertical="center" textRotation="90" wrapText="1"/>
    </xf>
    <xf numFmtId="0" fontId="47" fillId="0" borderId="15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20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2" fillId="0" borderId="4" xfId="12" applyFont="1" applyBorder="1" applyAlignment="1">
      <alignment horizontal="center" vertical="center" wrapText="1"/>
    </xf>
    <xf numFmtId="0" fontId="12" fillId="0" borderId="6" xfId="12" applyFont="1" applyBorder="1" applyAlignment="1">
      <alignment horizontal="center" vertical="center" wrapText="1"/>
    </xf>
    <xf numFmtId="164" fontId="12" fillId="9" borderId="7" xfId="11" applyNumberFormat="1" applyFont="1" applyFill="1" applyBorder="1" applyAlignment="1">
      <alignment horizontal="center" vertical="center" textRotation="90" wrapText="1"/>
    </xf>
    <xf numFmtId="164" fontId="12" fillId="9" borderId="8" xfId="11" applyNumberFormat="1" applyFont="1" applyFill="1" applyBorder="1" applyAlignment="1">
      <alignment horizontal="center" vertical="center" textRotation="90" wrapText="1"/>
    </xf>
    <xf numFmtId="164" fontId="12" fillId="9" borderId="3" xfId="11" applyNumberFormat="1" applyFont="1" applyFill="1" applyBorder="1" applyAlignment="1">
      <alignment horizontal="center" vertical="center" textRotation="90" wrapText="1"/>
    </xf>
    <xf numFmtId="164" fontId="12" fillId="9" borderId="4" xfId="11" applyNumberFormat="1" applyFont="1" applyFill="1" applyBorder="1" applyAlignment="1">
      <alignment horizontal="center" vertical="center"/>
    </xf>
    <xf numFmtId="164" fontId="12" fillId="9" borderId="5" xfId="11" applyNumberFormat="1" applyFont="1" applyFill="1" applyBorder="1" applyAlignment="1">
      <alignment horizontal="center" vertical="center"/>
    </xf>
    <xf numFmtId="164" fontId="12" fillId="9" borderId="6" xfId="11" applyNumberFormat="1" applyFont="1" applyFill="1" applyBorder="1" applyAlignment="1">
      <alignment horizontal="center" vertical="center"/>
    </xf>
    <xf numFmtId="1" fontId="12" fillId="9" borderId="8" xfId="11" applyNumberFormat="1" applyFont="1" applyFill="1" applyBorder="1" applyAlignment="1">
      <alignment horizontal="center" vertical="center" textRotation="90" wrapText="1"/>
    </xf>
    <xf numFmtId="1" fontId="12" fillId="9" borderId="3" xfId="11" applyNumberFormat="1" applyFont="1" applyFill="1" applyBorder="1" applyAlignment="1">
      <alignment horizontal="center" vertical="center" textRotation="90" wrapText="1"/>
    </xf>
    <xf numFmtId="0" fontId="12" fillId="9" borderId="8" xfId="11" applyFont="1" applyFill="1" applyBorder="1" applyAlignment="1">
      <alignment horizontal="center" vertical="center" textRotation="90" wrapText="1"/>
    </xf>
    <xf numFmtId="0" fontId="12" fillId="9" borderId="3" xfId="11" applyFont="1" applyFill="1" applyBorder="1" applyAlignment="1">
      <alignment horizontal="center" vertical="center" textRotation="90" wrapText="1"/>
    </xf>
    <xf numFmtId="0" fontId="12" fillId="9" borderId="7" xfId="11" applyFont="1" applyFill="1" applyBorder="1" applyAlignment="1">
      <alignment horizontal="center" vertical="center" textRotation="90" wrapText="1"/>
    </xf>
    <xf numFmtId="0" fontId="12" fillId="9" borderId="4" xfId="11" applyFont="1" applyFill="1" applyBorder="1" applyAlignment="1">
      <alignment horizontal="center" vertical="center"/>
    </xf>
    <xf numFmtId="0" fontId="12" fillId="9" borderId="5" xfId="11" applyFont="1" applyFill="1" applyBorder="1" applyAlignment="1">
      <alignment horizontal="center" vertical="center"/>
    </xf>
    <xf numFmtId="0" fontId="12" fillId="9" borderId="6" xfId="11" applyFont="1" applyFill="1" applyBorder="1" applyAlignment="1">
      <alignment horizontal="center" vertical="center"/>
    </xf>
    <xf numFmtId="164" fontId="12" fillId="9" borderId="10" xfId="11" applyNumberFormat="1" applyFont="1" applyFill="1" applyBorder="1" applyAlignment="1">
      <alignment horizontal="center" vertical="center" textRotation="90" wrapText="1"/>
    </xf>
    <xf numFmtId="49" fontId="12" fillId="9" borderId="7" xfId="11" applyNumberFormat="1" applyFont="1" applyFill="1" applyBorder="1" applyAlignment="1">
      <alignment horizontal="center" vertical="center" textRotation="90" wrapText="1"/>
    </xf>
    <xf numFmtId="49" fontId="12" fillId="9" borderId="8" xfId="11" applyNumberFormat="1" applyFont="1" applyFill="1" applyBorder="1" applyAlignment="1">
      <alignment horizontal="center" vertical="center" textRotation="90" wrapText="1"/>
    </xf>
    <xf numFmtId="49" fontId="12" fillId="9" borderId="3" xfId="11" applyNumberFormat="1" applyFont="1" applyFill="1" applyBorder="1" applyAlignment="1">
      <alignment horizontal="center" vertical="center" textRotation="90" wrapText="1"/>
    </xf>
    <xf numFmtId="1" fontId="12" fillId="0" borderId="7" xfId="11" applyNumberFormat="1" applyFont="1" applyBorder="1" applyAlignment="1">
      <alignment horizontal="center" vertical="center" textRotation="90" wrapText="1"/>
    </xf>
    <xf numFmtId="1" fontId="12" fillId="0" borderId="8" xfId="11" applyNumberFormat="1" applyFont="1" applyBorder="1" applyAlignment="1">
      <alignment horizontal="center" vertical="center" textRotation="90" wrapText="1"/>
    </xf>
    <xf numFmtId="1" fontId="12" fillId="0" borderId="3" xfId="11" applyNumberFormat="1" applyFont="1" applyBorder="1" applyAlignment="1">
      <alignment horizontal="center" vertical="center" textRotation="90" wrapText="1"/>
    </xf>
    <xf numFmtId="49" fontId="12" fillId="0" borderId="7" xfId="11" applyNumberFormat="1" applyFont="1" applyBorder="1" applyAlignment="1">
      <alignment horizontal="center" vertical="center" textRotation="90" wrapText="1"/>
    </xf>
    <xf numFmtId="49" fontId="12" fillId="0" borderId="8" xfId="11" applyNumberFormat="1" applyFont="1" applyBorder="1" applyAlignment="1">
      <alignment horizontal="center" vertical="center" textRotation="90" wrapText="1"/>
    </xf>
    <xf numFmtId="49" fontId="12" fillId="0" borderId="3" xfId="11" applyNumberFormat="1" applyFont="1" applyBorder="1" applyAlignment="1">
      <alignment horizontal="center" vertical="center" textRotation="90" wrapText="1"/>
    </xf>
    <xf numFmtId="0" fontId="12" fillId="0" borderId="7" xfId="11" applyFont="1" applyBorder="1" applyAlignment="1">
      <alignment horizontal="center" vertical="center" wrapText="1"/>
    </xf>
    <xf numFmtId="0" fontId="12" fillId="0" borderId="8" xfId="11" applyFont="1" applyBorder="1" applyAlignment="1">
      <alignment horizontal="center" vertical="center" wrapText="1"/>
    </xf>
    <xf numFmtId="0" fontId="12" fillId="0" borderId="3" xfId="11" applyFont="1" applyBorder="1" applyAlignment="1">
      <alignment horizontal="center" vertical="center" wrapText="1"/>
    </xf>
    <xf numFmtId="0" fontId="12" fillId="9" borderId="9" xfId="11" applyFont="1" applyFill="1" applyBorder="1" applyAlignment="1">
      <alignment horizontal="center" vertical="center" wrapText="1"/>
    </xf>
    <xf numFmtId="0" fontId="12" fillId="9" borderId="8" xfId="11" applyFont="1" applyFill="1" applyBorder="1" applyAlignment="1">
      <alignment horizontal="center" vertical="center" wrapText="1"/>
    </xf>
    <xf numFmtId="0" fontId="12" fillId="9" borderId="3" xfId="11" applyFont="1" applyFill="1" applyBorder="1" applyAlignment="1">
      <alignment horizontal="center" vertical="center" wrapText="1"/>
    </xf>
    <xf numFmtId="1" fontId="12" fillId="9" borderId="7" xfId="0" applyNumberFormat="1" applyFont="1" applyFill="1" applyBorder="1" applyAlignment="1">
      <alignment horizontal="center" vertical="center" wrapText="1"/>
    </xf>
    <xf numFmtId="1" fontId="12" fillId="9" borderId="8" xfId="0" applyNumberFormat="1" applyFont="1" applyFill="1" applyBorder="1" applyAlignment="1">
      <alignment horizontal="center" vertical="center" wrapText="1"/>
    </xf>
    <xf numFmtId="1" fontId="12" fillId="9" borderId="3" xfId="0" applyNumberFormat="1" applyFont="1" applyFill="1" applyBorder="1" applyAlignment="1">
      <alignment horizontal="center" vertical="center" wrapText="1"/>
    </xf>
    <xf numFmtId="49" fontId="13" fillId="0" borderId="4" xfId="10" applyNumberFormat="1" applyFont="1" applyBorder="1" applyAlignment="1">
      <alignment horizontal="center" vertical="center" wrapText="1"/>
    </xf>
    <xf numFmtId="49" fontId="13" fillId="0" borderId="6" xfId="10" applyNumberFormat="1" applyFont="1" applyBorder="1" applyAlignment="1">
      <alignment horizontal="center" vertical="center" wrapText="1"/>
    </xf>
    <xf numFmtId="164" fontId="12" fillId="0" borderId="7" xfId="11" applyNumberFormat="1" applyFont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 textRotation="90" wrapText="1"/>
    </xf>
    <xf numFmtId="0" fontId="12" fillId="9" borderId="7" xfId="11" applyFont="1" applyFill="1" applyBorder="1" applyAlignment="1">
      <alignment horizontal="center" vertical="center" wrapText="1"/>
    </xf>
    <xf numFmtId="164" fontId="12" fillId="0" borderId="8" xfId="11" applyNumberFormat="1" applyFont="1" applyBorder="1" applyAlignment="1">
      <alignment horizontal="center" vertical="center" textRotation="90" wrapText="1"/>
    </xf>
    <xf numFmtId="164" fontId="12" fillId="0" borderId="3" xfId="11" applyNumberFormat="1" applyFont="1" applyBorder="1" applyAlignment="1">
      <alignment horizontal="center" vertical="center" textRotation="90" wrapText="1"/>
    </xf>
    <xf numFmtId="0" fontId="12" fillId="0" borderId="8" xfId="11" applyFont="1" applyBorder="1" applyAlignment="1">
      <alignment horizontal="center" vertical="center" textRotation="90" wrapText="1"/>
    </xf>
    <xf numFmtId="0" fontId="12" fillId="0" borderId="3" xfId="11" applyFont="1" applyBorder="1" applyAlignment="1">
      <alignment horizontal="center" vertical="center" textRotation="90" wrapText="1"/>
    </xf>
    <xf numFmtId="0" fontId="12" fillId="0" borderId="9" xfId="11" applyFont="1" applyBorder="1" applyAlignment="1">
      <alignment horizontal="center" vertical="center" wrapText="1"/>
    </xf>
    <xf numFmtId="0" fontId="12" fillId="0" borderId="7" xfId="11" applyFont="1" applyBorder="1" applyAlignment="1">
      <alignment horizontal="center" vertical="center" textRotation="90" wrapText="1"/>
    </xf>
    <xf numFmtId="164" fontId="12" fillId="0" borderId="10" xfId="11" applyNumberFormat="1" applyFont="1" applyBorder="1" applyAlignment="1">
      <alignment horizontal="center" vertical="center" textRotation="90" wrapText="1"/>
    </xf>
    <xf numFmtId="0" fontId="13" fillId="0" borderId="2" xfId="11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2" fillId="0" borderId="4" xfId="11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6" xfId="11" applyFont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 wrapText="1"/>
    </xf>
    <xf numFmtId="164" fontId="12" fillId="0" borderId="4" xfId="11" applyNumberFormat="1" applyFont="1" applyBorder="1" applyAlignment="1">
      <alignment horizontal="center" vertical="center"/>
    </xf>
    <xf numFmtId="164" fontId="12" fillId="0" borderId="5" xfId="11" applyNumberFormat="1" applyFont="1" applyBorder="1" applyAlignment="1">
      <alignment horizontal="center" vertical="center"/>
    </xf>
    <xf numFmtId="164" fontId="12" fillId="0" borderId="6" xfId="11" applyNumberFormat="1" applyFont="1" applyBorder="1" applyAlignment="1">
      <alignment horizontal="center" vertical="center"/>
    </xf>
    <xf numFmtId="0" fontId="13" fillId="9" borderId="2" xfId="11" applyFont="1" applyFill="1" applyBorder="1" applyAlignment="1">
      <alignment horizontal="center" vertical="center"/>
    </xf>
    <xf numFmtId="49" fontId="13" fillId="9" borderId="4" xfId="10" applyNumberFormat="1" applyFont="1" applyFill="1" applyBorder="1" applyAlignment="1">
      <alignment horizontal="center" vertical="center" wrapText="1"/>
    </xf>
    <xf numFmtId="49" fontId="13" fillId="9" borderId="6" xfId="10" applyNumberFormat="1" applyFont="1" applyFill="1" applyBorder="1" applyAlignment="1">
      <alignment horizontal="center" vertical="center" wrapText="1"/>
    </xf>
    <xf numFmtId="0" fontId="12" fillId="2" borderId="9" xfId="10" applyFont="1" applyFill="1" applyBorder="1" applyAlignment="1">
      <alignment horizontal="center" vertical="center"/>
    </xf>
    <xf numFmtId="0" fontId="12" fillId="2" borderId="10" xfId="10" applyFont="1" applyFill="1" applyBorder="1" applyAlignment="1">
      <alignment horizontal="center" vertical="center"/>
    </xf>
    <xf numFmtId="0" fontId="12" fillId="2" borderId="23" xfId="10" applyFont="1" applyFill="1" applyBorder="1" applyAlignment="1">
      <alignment horizontal="center" vertical="center"/>
    </xf>
    <xf numFmtId="0" fontId="12" fillId="2" borderId="24" xfId="10" applyFont="1" applyFill="1" applyBorder="1" applyAlignment="1">
      <alignment horizontal="center" vertical="center"/>
    </xf>
    <xf numFmtId="0" fontId="12" fillId="2" borderId="19" xfId="10" applyFont="1" applyFill="1" applyBorder="1" applyAlignment="1">
      <alignment horizontal="center" vertical="center"/>
    </xf>
    <xf numFmtId="0" fontId="12" fillId="2" borderId="22" xfId="10" applyFont="1" applyFill="1" applyBorder="1" applyAlignment="1">
      <alignment horizontal="center" vertical="center"/>
    </xf>
    <xf numFmtId="0" fontId="12" fillId="2" borderId="4" xfId="10" applyFont="1" applyFill="1" applyBorder="1" applyAlignment="1">
      <alignment horizontal="center" vertical="center"/>
    </xf>
    <xf numFmtId="0" fontId="12" fillId="2" borderId="6" xfId="1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 textRotation="90" wrapText="1"/>
    </xf>
    <xf numFmtId="49" fontId="13" fillId="4" borderId="4" xfId="10" applyNumberFormat="1" applyFont="1" applyFill="1" applyBorder="1" applyAlignment="1">
      <alignment horizontal="center" vertical="center" wrapText="1"/>
    </xf>
    <xf numFmtId="0" fontId="49" fillId="4" borderId="5" xfId="0" applyFont="1" applyFill="1" applyBorder="1" applyAlignment="1">
      <alignment horizontal="center" vertical="center"/>
    </xf>
    <xf numFmtId="0" fontId="49" fillId="4" borderId="6" xfId="0" applyFont="1" applyFill="1" applyBorder="1" applyAlignment="1">
      <alignment horizontal="center" vertical="center"/>
    </xf>
    <xf numFmtId="0" fontId="13" fillId="0" borderId="2" xfId="13" applyFont="1" applyBorder="1" applyAlignment="1">
      <alignment horizontal="center" vertical="center" wrapText="1"/>
    </xf>
    <xf numFmtId="0" fontId="13" fillId="0" borderId="7" xfId="13" applyFont="1" applyBorder="1" applyAlignment="1">
      <alignment horizontal="center" vertical="center" textRotation="90" wrapText="1"/>
    </xf>
    <xf numFmtId="0" fontId="13" fillId="0" borderId="3" xfId="13" applyFont="1" applyBorder="1" applyAlignment="1">
      <alignment horizontal="center" vertical="center" textRotation="90" wrapText="1"/>
    </xf>
    <xf numFmtId="164" fontId="13" fillId="0" borderId="4" xfId="12" applyNumberFormat="1" applyFont="1" applyBorder="1" applyAlignment="1">
      <alignment horizontal="center" vertical="center" wrapText="1"/>
    </xf>
    <xf numFmtId="164" fontId="13" fillId="0" borderId="5" xfId="12" applyNumberFormat="1" applyFont="1" applyBorder="1" applyAlignment="1">
      <alignment horizontal="center" vertical="center" wrapText="1"/>
    </xf>
    <xf numFmtId="164" fontId="13" fillId="0" borderId="6" xfId="12" applyNumberFormat="1" applyFont="1" applyBorder="1" applyAlignment="1">
      <alignment horizontal="center" vertical="center" wrapText="1"/>
    </xf>
    <xf numFmtId="0" fontId="13" fillId="0" borderId="4" xfId="12" applyFont="1" applyBorder="1" applyAlignment="1">
      <alignment horizontal="center" vertical="center" wrapText="1"/>
    </xf>
    <xf numFmtId="0" fontId="13" fillId="0" borderId="5" xfId="12" applyFont="1" applyBorder="1" applyAlignment="1">
      <alignment horizontal="center" vertical="center" wrapText="1"/>
    </xf>
    <xf numFmtId="0" fontId="13" fillId="0" borderId="6" xfId="12" applyFont="1" applyBorder="1" applyAlignment="1">
      <alignment horizontal="center" vertical="center" wrapText="1"/>
    </xf>
    <xf numFmtId="0" fontId="13" fillId="0" borderId="2" xfId="12" applyFont="1" applyBorder="1" applyAlignment="1">
      <alignment horizontal="center" vertical="center"/>
    </xf>
  </cellXfs>
  <cellStyles count="33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Euro" xfId="4" xr:uid="{00000000-0005-0000-0000-000003000000}"/>
    <cellStyle name="Fixed" xfId="5" xr:uid="{00000000-0005-0000-0000-000004000000}"/>
    <cellStyle name="Heading 1" xfId="6" xr:uid="{00000000-0005-0000-0000-000005000000}"/>
    <cellStyle name="Heading 2" xfId="7" xr:uid="{00000000-0005-0000-0000-000006000000}"/>
    <cellStyle name="Total" xfId="8" xr:uid="{00000000-0005-0000-0000-000007000000}"/>
    <cellStyle name="Обычный" xfId="0" builtinId="0"/>
    <cellStyle name="Обычный 10 2" xfId="13" xr:uid="{00000000-0005-0000-0000-000009000000}"/>
    <cellStyle name="Обычный 2" xfId="9" xr:uid="{00000000-0005-0000-0000-00000A000000}"/>
    <cellStyle name="Обычный 2 2" xfId="12" xr:uid="{00000000-0005-0000-0000-00000B000000}"/>
    <cellStyle name="Обычный 2 2 2" xfId="24" xr:uid="{00000000-0005-0000-0000-00000C000000}"/>
    <cellStyle name="Обычный 2 2 2 2" xfId="32" xr:uid="{00000000-0005-0000-0000-00000D000000}"/>
    <cellStyle name="Обычный 2 3" xfId="16" xr:uid="{00000000-0005-0000-0000-00000E000000}"/>
    <cellStyle name="Обычный 2 3 2" xfId="22" xr:uid="{00000000-0005-0000-0000-00000F000000}"/>
    <cellStyle name="Обычный 2 4" xfId="18" xr:uid="{00000000-0005-0000-0000-000010000000}"/>
    <cellStyle name="Обычный 2 4 2" xfId="30" xr:uid="{00000000-0005-0000-0000-000011000000}"/>
    <cellStyle name="Обычный 2 5" xfId="20" xr:uid="{00000000-0005-0000-0000-000012000000}"/>
    <cellStyle name="Обычный 2 6" xfId="23" xr:uid="{00000000-0005-0000-0000-000013000000}"/>
    <cellStyle name="Обычный 3" xfId="14" xr:uid="{00000000-0005-0000-0000-000014000000}"/>
    <cellStyle name="Обычный 4" xfId="15" xr:uid="{00000000-0005-0000-0000-000015000000}"/>
    <cellStyle name="Обычный 4 2" xfId="29" xr:uid="{00000000-0005-0000-0000-000016000000}"/>
    <cellStyle name="Обычный 5" xfId="17" xr:uid="{00000000-0005-0000-0000-000017000000}"/>
    <cellStyle name="Обычный 5 2" xfId="27" xr:uid="{00000000-0005-0000-0000-000018000000}"/>
    <cellStyle name="Обычный 6" xfId="19" xr:uid="{00000000-0005-0000-0000-000019000000}"/>
    <cellStyle name="Обычный 7" xfId="25" xr:uid="{00000000-0005-0000-0000-00001A000000}"/>
    <cellStyle name="Обычный 8" xfId="26" xr:uid="{00000000-0005-0000-0000-00001B000000}"/>
    <cellStyle name="Обычный 9" xfId="31" xr:uid="{00000000-0005-0000-0000-00001C000000}"/>
    <cellStyle name="Обычный_Лист Microsoft Excel" xfId="10" xr:uid="{00000000-0005-0000-0000-00001D000000}"/>
    <cellStyle name="Обычный_Программа_1" xfId="11" xr:uid="{00000000-0005-0000-0000-00001E000000}"/>
    <cellStyle name="Обычный_электрика_ммз" xfId="21" xr:uid="{00000000-0005-0000-0000-00001F000000}"/>
    <cellStyle name="Процентный 2" xfId="28" xr:uid="{00000000-0005-0000-0000-00002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3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externalLink" Target="externalLinks/externalLink2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3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59" Type="http://schemas.openxmlformats.org/officeDocument/2006/relationships/styles" Target="styles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40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3;&#1077;&#1086;&#1088;%20&#1087;&#1083;&#1072;&#1089;&#1090;&#1080;&#1082;%20&#1073;&#1077;&#1079;%20&#1087;&#1072;&#1089;&#1089;&#1080;&#1088;&#1086;&#1074;&#1082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0+-%20&#1042;&#1080;&#1090;&#1077;&#1073;&#1089;&#1082;&#1080;&#1081;%20&#1052;&#1069;&#1047;\&#1054;&#1058;&#1063;&#1045;&#1058;&#1067;\&#1042;&#1080;&#1090;.%20&#1052;&#1069;&#104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\&#1053;&#1086;&#1074;&#1086;&#1077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\&#1043;&#1086;&#1090;&#1086;&#1074;&#1086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50;&#1077;&#1088;&#1072;&#1084;&#1080;&#1085;\1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2;&#1091;&#1083;&#1080;&#1085;&#1080;&#1095;\&#1082;&#1077;&#1088;&#1072;&#1084;&#1080;&#1085;_&#1072;&#1088;&#1093;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\DONE!!!\&#1059;&#1055;%20&#1052;&#1080;&#1085;&#1089;&#1082;&#1079;&#1077;&#1083;&#1077;&#1085;&#1089;&#1090;&#1088;&#1086;&#1081;\&#1069;&#1083;&#1077;&#1082;&#1090;&#1088;&#1080;&#1082;&#1072;%20&#1052;&#1047;&#105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14.0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G\Gefest-Tehnika\&#1057;&#1074;&#1077;&#1090;&#1083;&#1072;&#1085;&#1072;%20&#1052;&#1080;&#1093;.&#1043;-&#1090;\&#1055;&#1083;&#1072;&#1085;%20&#1087;&#1088;-&#1074;&#1072;%20%202012%20&#1075;&#1086;&#1076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9;&#1055;%20''&#1043;&#1077;&#1092;&#1077;&#1089;&#1090;-&#1090;&#1077;&#1093;&#1085;&#1080;&#1082;&#1072;''\&#1053;&#1072;&#1076;&#1086;%20&#1086;&#1073;&#1088;&#1072;&#1073;&#1086;&#1090;&#1072;&#1090;&#1100;\%20-%20&#1044;&#1072;&#1085;&#1085;&#1099;&#1077;%20&#1089;%20&#1086;&#1073;&#1098;&#1077;&#1082;&#1090;&#1072;%20&#1086;&#1090;%2004.05.2016\&#1055;&#1077;&#1088;&#1077;&#1089;&#1095;&#1077;&#1090;%20&#1074;%20&#1091;&#1089;&#1083;&#1086;&#1074;&#1085;&#1099;&#1077;%20&#1096;&#1090;&#1091;&#1082;&#1080;%20201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%20&#1058;&#1069;&#1056;\&#1054;&#1089;&#1074;&#1086;&#1077;&#1085;&#1080;&#1077;%20&#1090;&#1077;&#1093;&#1085;&#1086;&#1083;&#1086;&#1075;&#1080;&#1095;&#1077;&#1089;&#1082;&#1086;&#1075;&#1086;%20&#1087;&#1088;&#1086;&#1094;&#1077;&#1089;&#1089;&#1072;\&#1053;&#1086;&#1088;&#1084;&#1099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2;&#1091;&#1083;&#1080;&#1085;&#1080;&#1095;\&#1082;&#1077;&#1088;&#1072;&#1084;&#1080;&#1085;_&#1072;&#1088;&#1093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1088;&#1072;&#1073;&#1086;&#1090;&#1072;%20(d)\Documents%20and%20Settings\&#1056;&#1040;&#1041;&#1054;&#1058;&#1040;\Desktop\&#1086;&#1088;&#1096;&#1072;%20&#1089;&#1090;&#1072;&#1088;&#1099;&#1081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.abteco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88;&#1091;&#1073;&#1077;&#1088;&#1086;&#1080;&#1076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3;&#1100;&#1103;\&#1060;&#1083;&#1077;&#1096;&#1082;&#1072;%20&#1040;&#1091;&#1076;&#1080;&#1090;\&#1044;&#1086;&#1076;&#1077;&#1083;&#1072;&#1090;&#1100;\&#1040;&#1091;&#1076;&#1080;&#1090;\&#1058;&#1069;&#1054;%20&#1075;&#1086;&#1090;&#1086;&#1074;&#1099;&#1077;\&#1059;&#1090;&#1080;&#1083;&#1080;&#1079;&#1072;&#1090;&#1086;&#1088;&#1099;%20&#1091;&#1093;&#1086;&#1076;&#1103;&#1097;&#1080;&#1093;%20&#1075;&#1072;&#1079;&#1086;&#107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82;&#1091;&#1083;&#1080;&#1085;&#1080;&#1095;\&#1073;&#1077;&#1088;&#1077;&#1079;&#1072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3;&#1100;&#1103;\&#1060;&#1083;&#1077;&#1096;&#1082;&#1072;%20&#1040;&#1091;&#1076;&#1080;&#1090;\&#1044;&#1086;&#1076;&#1077;&#1083;&#1072;&#1090;&#1100;\&#1040;&#1091;&#1076;&#1080;&#1090;\&#1058;&#1069;&#1054;%20&#1075;&#1086;&#1090;&#1086;&#1074;&#1099;&#1077;\&#1058;&#1077;&#1088;&#1084;&#1086;&#1088;&#1077;&#1085;&#1086;&#1074;&#1072;&#1094;&#1080;&#1103;%20&#1086;&#1075;&#1088;&#1072;&#1078;&#1076;&#1072;&#1102;&#1097;&#1080;&#1093;%20&#1082;&#1086;&#1085;&#1089;&#1090;&#1088;&#1091;&#1082;&#1094;&#1080;&#1081;%20&#1089;&#1090;&#1077;&#1085;%20&#1079;&#1076;&#1072;&#1085;&#1080;&#1081;+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em%20Vadimovich\Desktop\-%20&#1052;&#1086;&#1079;&#1099;&#1088;&#1100;&#1089;&#1086;&#1083;&#1100;%20&#1058;&#1069;&#1056;\-%20&#1055;&#1056;&#1048;&#1052;&#1045;&#1056;&#1067;%20&#1056;&#1040;&#1057;&#1063;&#1045;&#1058;&#1040;%20_&#1052;&#1048;&#1053;&#1048;-&#1058;&#1069;&#1062;\&#1050;&#1043;&#1059;_&#1056;&#1072;&#1089;&#1095;&#1077;&#1090;_&#1072;&#1084;&#1082;&#1072;&#1076;&#1086;&#108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74;&#1080;&#1090;&#1077;&#1073;&#1089;&#1082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ы пластик"/>
      <sheetName val="баланс "/>
      <sheetName val="Топочные"/>
      <sheetName val="3-летний"/>
      <sheetName val="ээ"/>
      <sheetName val="освещ"/>
      <sheetName val="Состав ЭЭ"/>
      <sheetName val="ВС"/>
      <sheetName val="тепло на салаты"/>
      <sheetName val="ГВС пластик"/>
      <sheetName val="ОВ пластик"/>
      <sheetName val="ГВС валерия"/>
      <sheetName val="ОВ валерия"/>
      <sheetName val="производство пластикуа"/>
      <sheetName val="Вспомогательная эээ"/>
      <sheetName val="Хранение"/>
      <sheetName val="холод"/>
      <sheetName val="План продукц."/>
      <sheetName val="Скважена"/>
      <sheetName val="ГВС Фиш"/>
      <sheetName val="Ов фиш"/>
      <sheetName val="Нормы Фиш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J1">
            <v>-3.57</v>
          </cell>
        </row>
        <row r="2">
          <cell r="D2">
            <v>200</v>
          </cell>
          <cell r="J2">
            <v>6.2</v>
          </cell>
        </row>
        <row r="3">
          <cell r="D3">
            <v>-0.7</v>
          </cell>
          <cell r="J3">
            <v>1.07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Э"/>
      <sheetName val="ЭЭ-всп"/>
      <sheetName val="ВС"/>
      <sheetName val="ОС"/>
      <sheetName val="Состав ЭЭ"/>
      <sheetName val="ОВ"/>
      <sheetName val="ГВС"/>
      <sheetName val="НОРМЫ"/>
      <sheetName val="План"/>
      <sheetName val="ТЭР-3г."/>
      <sheetName val="ТЭР-13"/>
      <sheetName val="ТЭ-всп"/>
      <sheetName val="Cостав ТЭ"/>
      <sheetName val="СУШКА"/>
      <sheetName val="ТЭ"/>
      <sheetName val="КОТЕЛЬ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H1">
            <v>90</v>
          </cell>
        </row>
        <row r="2">
          <cell r="H2">
            <v>22</v>
          </cell>
        </row>
        <row r="3">
          <cell r="H3">
            <v>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  <sheetName val="312"/>
    </sheetNames>
    <sheetDataSet>
      <sheetData sheetId="0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удов"/>
      <sheetName val="столовая"/>
      <sheetName val="Оборуд магаз"/>
      <sheetName val="общежитие"/>
      <sheetName val="баланс"/>
      <sheetName val="ИТОГО"/>
      <sheetName val="нормы"/>
    </sheetNames>
    <sheetDataSet>
      <sheetData sheetId="0"/>
      <sheetData sheetId="1"/>
      <sheetData sheetId="2"/>
      <sheetData sheetId="3"/>
      <sheetData sheetId="4">
        <row r="26">
          <cell r="K26">
            <v>29.989000800000003</v>
          </cell>
        </row>
      </sheetData>
      <sheetData sheetId="5"/>
      <sheetData sheetId="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2015 в сопост.ценах"/>
      <sheetName val="2012-2015г. план утв по годам"/>
      <sheetName val="Омарк 2013-2015"/>
      <sheetName val="2012-2015г.для БП"/>
      <sheetName val="1кв"/>
      <sheetName val="2кв"/>
      <sheetName val="3кв"/>
      <sheetName val="4кв"/>
      <sheetName val="скоррект. год"/>
      <sheetName val="2012-2015г. пл утв в ценах ян12"/>
      <sheetName val="действующие год"/>
      <sheetName val="1 кв детали для БЗГА"/>
      <sheetName val="2 кв детали для БЗГА "/>
      <sheetName val="3 кв детали для БЗГА  "/>
      <sheetName val="4 кв детали для БЗГА"/>
      <sheetName val="детали для БЗГА скор год"/>
      <sheetName val="действующие год (детали)"/>
      <sheetName val="Темпы по месяцам (с уч. факта)"/>
      <sheetName val="Темпы по месяцам (план)"/>
      <sheetName val="2012( по мес)  анализ "/>
      <sheetName val="2011( по мес)  анализ "/>
      <sheetName val="пгт"/>
      <sheetName val="2012-2015г.анализ 18.07.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продукция"/>
      <sheetName val="2016 Детали"/>
      <sheetName val="2016-2018 продукция"/>
      <sheetName val="Лист4"/>
    </sheetNames>
    <sheetDataSet>
      <sheetData sheetId="0"/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ЭО"/>
      <sheetName val="Тит"/>
      <sheetName val="Исп"/>
      <sheetName val="реф"/>
      <sheetName val="С"/>
      <sheetName val="вв"/>
      <sheetName val="Р1"/>
      <sheetName val="Р 2"/>
      <sheetName val="рис11"/>
      <sheetName val="табл.21"/>
      <sheetName val="табл.22-23"/>
      <sheetName val="Т2.5"/>
      <sheetName val="табл.2.6"/>
      <sheetName val="т2.3.1"/>
      <sheetName val="т.2.3.2"/>
      <sheetName val="рис.2.3.1"/>
      <sheetName val="оргтех р3.1."/>
      <sheetName val="р31"/>
      <sheetName val="р3.1-4"/>
      <sheetName val="Т 3.2.1"/>
      <sheetName val="Т3.2.2"/>
      <sheetName val="т3.3.1"/>
      <sheetName val="Т.3.32."/>
      <sheetName val="т3.3.3"/>
      <sheetName val="Т334"/>
      <sheetName val="Т335"/>
      <sheetName val="т3.4.1."/>
      <sheetName val="т.3.4.2"/>
      <sheetName val="Т3.43"/>
      <sheetName val="т.3.4.4"/>
      <sheetName val="рис.3.4.1"/>
      <sheetName val="прогр."/>
      <sheetName val="выводы"/>
      <sheetName val="пр"/>
      <sheetName val="Л"/>
      <sheetName val="Т 7"/>
      <sheetName val="Т 8"/>
      <sheetName val="Т 9"/>
      <sheetName val="Т 11"/>
      <sheetName val="Т 14"/>
      <sheetName val="Т 15"/>
      <sheetName val="Т 18"/>
      <sheetName val="Т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4">
          <cell r="R4">
            <v>1.1499999999999999</v>
          </cell>
        </row>
        <row r="5">
          <cell r="R5">
            <v>0.08</v>
          </cell>
        </row>
        <row r="6">
          <cell r="R6">
            <v>2.0449999999999999E-2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тоимость"/>
    </sheetNames>
    <sheetDataSet>
      <sheetData sheetId="0" refreshError="1"/>
      <sheetData sheetId="1">
        <row r="7">
          <cell r="B7">
            <v>15.5</v>
          </cell>
        </row>
        <row r="13">
          <cell r="B13">
            <v>15.5</v>
          </cell>
        </row>
        <row r="19">
          <cell r="B19">
            <v>15.5</v>
          </cell>
        </row>
        <row r="25">
          <cell r="B25">
            <v>15.5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рмореновация"/>
      <sheetName val="Термошуба"/>
      <sheetName val="Стоимость"/>
      <sheetName val="1"/>
      <sheetName val="2"/>
      <sheetName val="3"/>
      <sheetName val="Коэффициент теплопередачи"/>
      <sheetName val="Расчет в деньгах"/>
    </sheetNames>
    <sheetDataSet>
      <sheetData sheetId="0"/>
      <sheetData sheetId="1" refreshError="1"/>
      <sheetData sheetId="2">
        <row r="8">
          <cell r="B8">
            <v>34.969545000000004</v>
          </cell>
        </row>
        <row r="13">
          <cell r="B13">
            <v>28.883400000000002</v>
          </cell>
        </row>
        <row r="18">
          <cell r="B18">
            <v>101.40136500000003</v>
          </cell>
        </row>
        <row r="23">
          <cell r="B23">
            <v>13.410150000000002</v>
          </cell>
        </row>
        <row r="28">
          <cell r="B28">
            <v>209.09518500000001</v>
          </cell>
        </row>
      </sheetData>
      <sheetData sheetId="3" refreshError="1"/>
      <sheetData sheetId="4" refreshError="1"/>
      <sheetData sheetId="5" refreshError="1"/>
      <sheetData sheetId="6">
        <row r="4">
          <cell r="D4">
            <v>0.49382716049382713</v>
          </cell>
        </row>
        <row r="9">
          <cell r="D9">
            <v>0.46913580246913578</v>
          </cell>
        </row>
        <row r="13">
          <cell r="D13">
            <v>0.48148148148148145</v>
          </cell>
        </row>
        <row r="17">
          <cell r="D17">
            <v>0.4567901234567901</v>
          </cell>
        </row>
        <row r="21">
          <cell r="D21">
            <v>0.4567901234567901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д. по КГУ"/>
      <sheetName val="ЭЭсн"/>
      <sheetName val="РНИ"/>
      <sheetName val="Факт ТЭР"/>
      <sheetName val="ТЭР Г"/>
      <sheetName val="Холод"/>
      <sheetName val="Нормы"/>
      <sheetName val="Тех.хар-ка"/>
      <sheetName val="Нормы МИНИ-ТЭЦ"/>
      <sheetName val="Лист2"/>
      <sheetName val="Лист1"/>
      <sheetName val="Лист3"/>
      <sheetName val="Лист4"/>
      <sheetName val="Лист6"/>
    </sheetNames>
    <sheetDataSet>
      <sheetData sheetId="0">
        <row r="2">
          <cell r="E2">
            <v>4378626.4347826103</v>
          </cell>
        </row>
        <row r="3">
          <cell r="E3">
            <v>4</v>
          </cell>
        </row>
        <row r="17">
          <cell r="E17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zoomScale="70" zoomScaleNormal="70" workbookViewId="0">
      <selection activeCell="G55" sqref="G55:K55"/>
    </sheetView>
  </sheetViews>
  <sheetFormatPr defaultRowHeight="15"/>
  <cols>
    <col min="1" max="1" width="6.140625" style="130" bestFit="1" customWidth="1"/>
    <col min="2" max="2" width="23.28515625" style="130" customWidth="1"/>
    <col min="3" max="3" width="11.85546875" style="130" customWidth="1"/>
    <col min="4" max="4" width="14.7109375" style="130" customWidth="1"/>
    <col min="5" max="5" width="12.7109375" style="130" customWidth="1"/>
    <col min="6" max="6" width="11.140625" style="130" customWidth="1"/>
    <col min="7" max="7" width="14.140625" style="130" customWidth="1"/>
    <col min="8" max="10" width="12.28515625" style="130" customWidth="1"/>
    <col min="11" max="11" width="11.42578125" style="130" customWidth="1"/>
    <col min="12" max="12" width="12" style="130" customWidth="1"/>
    <col min="13" max="14" width="9.140625" style="130"/>
    <col min="15" max="15" width="12.5703125" style="130" customWidth="1"/>
    <col min="16" max="16384" width="9.140625" style="130"/>
  </cols>
  <sheetData>
    <row r="1" spans="1:19" ht="45">
      <c r="A1" s="376" t="s">
        <v>156</v>
      </c>
      <c r="B1" s="376" t="s">
        <v>157</v>
      </c>
      <c r="C1" s="376" t="s">
        <v>158</v>
      </c>
      <c r="D1" s="131" t="s">
        <v>177</v>
      </c>
      <c r="E1" s="131" t="s">
        <v>225</v>
      </c>
      <c r="F1" s="131" t="s">
        <v>221</v>
      </c>
      <c r="G1" s="131" t="s">
        <v>219</v>
      </c>
      <c r="H1" s="375" t="s">
        <v>41</v>
      </c>
      <c r="I1" s="375"/>
      <c r="J1" s="375"/>
      <c r="K1" s="131" t="s">
        <v>224</v>
      </c>
      <c r="L1" s="131" t="s">
        <v>163</v>
      </c>
      <c r="O1" s="131" t="s">
        <v>164</v>
      </c>
      <c r="P1" s="132">
        <v>2.38</v>
      </c>
    </row>
    <row r="2" spans="1:19" ht="34.5" customHeight="1">
      <c r="A2" s="376"/>
      <c r="B2" s="376"/>
      <c r="C2" s="376"/>
      <c r="D2" s="104" t="s">
        <v>204</v>
      </c>
      <c r="E2" s="104" t="s">
        <v>222</v>
      </c>
      <c r="F2" s="104" t="s">
        <v>220</v>
      </c>
      <c r="G2" s="104" t="s">
        <v>220</v>
      </c>
      <c r="H2" s="104" t="s">
        <v>49</v>
      </c>
      <c r="I2" s="104" t="s">
        <v>30</v>
      </c>
      <c r="J2" s="104" t="s">
        <v>31</v>
      </c>
      <c r="K2" s="104" t="s">
        <v>31</v>
      </c>
      <c r="L2" s="104" t="s">
        <v>223</v>
      </c>
      <c r="O2" s="131"/>
      <c r="P2" s="132"/>
    </row>
    <row r="3" spans="1:19">
      <c r="A3" s="376" t="s">
        <v>165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O3" s="132" t="s">
        <v>166</v>
      </c>
      <c r="P3" s="132">
        <v>210</v>
      </c>
    </row>
    <row r="4" spans="1:19">
      <c r="A4" s="159">
        <v>1</v>
      </c>
      <c r="B4" s="158" t="s">
        <v>167</v>
      </c>
      <c r="C4" s="157">
        <v>0.4</v>
      </c>
      <c r="D4" s="157">
        <v>2100</v>
      </c>
      <c r="E4" s="157">
        <v>22</v>
      </c>
      <c r="F4" s="157">
        <f>ROUND(C4*D4*E4/1000,1)</f>
        <v>18.5</v>
      </c>
      <c r="G4" s="157">
        <f>F4*0.25</f>
        <v>4.625</v>
      </c>
      <c r="H4" s="157">
        <f>G4</f>
        <v>4.625</v>
      </c>
      <c r="I4" s="157">
        <f>H4*1.0769*0.2871</f>
        <v>1.4299482037500002</v>
      </c>
      <c r="J4" s="157">
        <f>(I4*210*2.38)/1000</f>
        <v>0.71468811223425011</v>
      </c>
      <c r="K4" s="157">
        <f>Q9/1000</f>
        <v>2.3180000000000001</v>
      </c>
      <c r="L4" s="157">
        <f>K4/J4</f>
        <v>3.2433728228016752</v>
      </c>
    </row>
    <row r="5" spans="1:19">
      <c r="A5" s="159">
        <v>2</v>
      </c>
      <c r="B5" s="158" t="s">
        <v>167</v>
      </c>
      <c r="C5" s="157">
        <v>0.4</v>
      </c>
      <c r="D5" s="157">
        <v>2100</v>
      </c>
      <c r="E5" s="157">
        <v>22</v>
      </c>
      <c r="F5" s="157">
        <f>ROUND(C5*D5*E5/1000,1)</f>
        <v>18.5</v>
      </c>
      <c r="G5" s="157">
        <f>F5*0.25</f>
        <v>4.625</v>
      </c>
      <c r="H5" s="157">
        <f>G5</f>
        <v>4.625</v>
      </c>
      <c r="I5" s="157">
        <f>H5*1.0769*0.2871</f>
        <v>1.4299482037500002</v>
      </c>
      <c r="J5" s="157">
        <f>(I5*210*2.38)/1000</f>
        <v>0.71468811223425011</v>
      </c>
      <c r="K5" s="157">
        <f>Q9/1000</f>
        <v>2.3180000000000001</v>
      </c>
      <c r="L5" s="157">
        <f>K5/J5</f>
        <v>3.2433728228016752</v>
      </c>
    </row>
    <row r="6" spans="1:19">
      <c r="A6" s="364" t="s">
        <v>168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Q6" s="130">
        <v>1900</v>
      </c>
      <c r="R6" s="130">
        <v>5805</v>
      </c>
      <c r="S6" s="130">
        <v>8994</v>
      </c>
    </row>
    <row r="7" spans="1:19">
      <c r="A7" s="159">
        <v>1</v>
      </c>
      <c r="B7" s="158" t="s">
        <v>167</v>
      </c>
      <c r="C7" s="157">
        <v>0.4</v>
      </c>
      <c r="D7" s="157">
        <v>2100</v>
      </c>
      <c r="E7" s="157">
        <v>22</v>
      </c>
      <c r="F7" s="157">
        <f>ROUND(C7*D7*E7/1000,1)</f>
        <v>18.5</v>
      </c>
      <c r="G7" s="157">
        <f>F7*0.25</f>
        <v>4.625</v>
      </c>
      <c r="H7" s="157">
        <f>G7</f>
        <v>4.625</v>
      </c>
      <c r="I7" s="157">
        <f>H7*1.0769*0.2871</f>
        <v>1.4299482037500002</v>
      </c>
      <c r="J7" s="157">
        <f>(I7*210*2.38)/1000</f>
        <v>0.71468811223425011</v>
      </c>
      <c r="K7" s="157">
        <f>Q9/1000</f>
        <v>2.3180000000000001</v>
      </c>
      <c r="L7" s="157">
        <f>K7/J7</f>
        <v>3.2433728228016752</v>
      </c>
      <c r="Q7" s="130">
        <f>Q6*0.2</f>
        <v>380</v>
      </c>
      <c r="R7" s="130">
        <f>R6*0.2</f>
        <v>1161</v>
      </c>
      <c r="S7" s="130">
        <f>S6*0.2</f>
        <v>1798.8000000000002</v>
      </c>
    </row>
    <row r="8" spans="1:19">
      <c r="A8" s="364" t="s">
        <v>169</v>
      </c>
      <c r="B8" s="364"/>
      <c r="C8" s="364"/>
      <c r="D8" s="364"/>
      <c r="E8" s="364"/>
      <c r="F8" s="364"/>
      <c r="G8" s="364"/>
      <c r="H8" s="364"/>
      <c r="I8" s="364"/>
      <c r="J8" s="364"/>
      <c r="K8" s="364"/>
      <c r="L8" s="364"/>
      <c r="Q8" s="130">
        <f>Q7*0.1</f>
        <v>38</v>
      </c>
      <c r="R8" s="130">
        <f>R7*0.1</f>
        <v>116.10000000000001</v>
      </c>
      <c r="S8" s="130">
        <f>S7*0.1</f>
        <v>179.88000000000002</v>
      </c>
    </row>
    <row r="9" spans="1:19">
      <c r="A9" s="159">
        <v>1</v>
      </c>
      <c r="B9" s="158" t="s">
        <v>170</v>
      </c>
      <c r="C9" s="157">
        <v>0.4</v>
      </c>
      <c r="D9" s="157">
        <v>2100</v>
      </c>
      <c r="E9" s="157">
        <v>79</v>
      </c>
      <c r="F9" s="157">
        <f>ROUND(C9*D9*E9/1000,1)</f>
        <v>66.400000000000006</v>
      </c>
      <c r="G9" s="157">
        <f>F9*0.25</f>
        <v>16.600000000000001</v>
      </c>
      <c r="H9" s="157">
        <f>G9</f>
        <v>16.600000000000001</v>
      </c>
      <c r="I9" s="157">
        <f>H9*1.0769*0.2871</f>
        <v>5.1323546340000012</v>
      </c>
      <c r="J9" s="157">
        <f>(I9*210*2.38)/1000</f>
        <v>2.5651508460732009</v>
      </c>
      <c r="K9" s="157">
        <f>R9/1000</f>
        <v>7.0821000000000005</v>
      </c>
      <c r="L9" s="157">
        <f>K9/J9</f>
        <v>2.7608902653196643</v>
      </c>
      <c r="Q9" s="130">
        <f>Q6+Q7+Q8</f>
        <v>2318</v>
      </c>
      <c r="R9" s="130">
        <f>R6+R7+R8</f>
        <v>7082.1</v>
      </c>
      <c r="S9" s="130">
        <f>S7+S6+S8</f>
        <v>10972.679999999998</v>
      </c>
    </row>
    <row r="10" spans="1:19">
      <c r="A10" s="364" t="s">
        <v>171</v>
      </c>
      <c r="B10" s="364"/>
      <c r="C10" s="364"/>
      <c r="D10" s="364"/>
      <c r="E10" s="364"/>
      <c r="F10" s="364"/>
      <c r="G10" s="364"/>
      <c r="H10" s="364"/>
      <c r="I10" s="364"/>
      <c r="J10" s="364"/>
      <c r="K10" s="364"/>
      <c r="L10" s="364"/>
    </row>
    <row r="11" spans="1:19">
      <c r="A11" s="159">
        <v>1</v>
      </c>
      <c r="B11" s="158" t="s">
        <v>172</v>
      </c>
      <c r="C11" s="157">
        <v>0.4</v>
      </c>
      <c r="D11" s="157">
        <v>2100</v>
      </c>
      <c r="E11" s="157">
        <v>109</v>
      </c>
      <c r="F11" s="157">
        <f>ROUND(C11*D11*E11/1000,1)</f>
        <v>91.6</v>
      </c>
      <c r="G11" s="157">
        <f>F11*0.25</f>
        <v>22.9</v>
      </c>
      <c r="H11" s="157">
        <f>G11</f>
        <v>22.9</v>
      </c>
      <c r="I11" s="157">
        <f>H11*1.0769*0.2871</f>
        <v>7.0801759710000001</v>
      </c>
      <c r="J11" s="157">
        <f>(I11*210*2.38)/1000</f>
        <v>3.5386719503057997</v>
      </c>
      <c r="K11" s="157">
        <f>S9/1000</f>
        <v>10.972679999999999</v>
      </c>
      <c r="L11" s="157">
        <f>K11/J11</f>
        <v>3.1007903965361292</v>
      </c>
    </row>
    <row r="12" spans="1:19">
      <c r="F12" s="156">
        <f>SUM(F4:F5)+F7+F9+F11</f>
        <v>213.5</v>
      </c>
      <c r="G12" s="156">
        <f t="shared" ref="G12:K12" si="0">SUM(G4:G5)+G7+G9+G11</f>
        <v>53.375</v>
      </c>
      <c r="H12" s="156">
        <f t="shared" si="0"/>
        <v>53.375</v>
      </c>
      <c r="I12" s="156">
        <f t="shared" si="0"/>
        <v>16.502375216250002</v>
      </c>
      <c r="J12" s="156">
        <f t="shared" si="0"/>
        <v>8.2478871330817505</v>
      </c>
      <c r="K12" s="156">
        <f t="shared" si="0"/>
        <v>25.008780000000002</v>
      </c>
      <c r="L12" s="157">
        <f>K12/J12</f>
        <v>3.0321438201659401</v>
      </c>
    </row>
    <row r="14" spans="1:19" hidden="1">
      <c r="B14" s="134" t="s">
        <v>173</v>
      </c>
    </row>
    <row r="15" spans="1:19" hidden="1"/>
    <row r="16" spans="1:19" hidden="1"/>
    <row r="17" spans="4:19" ht="75.75" hidden="1" thickBot="1">
      <c r="E17" s="128" t="s">
        <v>156</v>
      </c>
      <c r="F17" s="129" t="s">
        <v>157</v>
      </c>
      <c r="G17" s="129" t="s">
        <v>158</v>
      </c>
      <c r="H17" s="129"/>
      <c r="I17" s="129"/>
      <c r="J17" s="129"/>
      <c r="K17" s="129" t="s">
        <v>52</v>
      </c>
      <c r="L17" s="129" t="s">
        <v>159</v>
      </c>
      <c r="M17" s="129" t="s">
        <v>160</v>
      </c>
      <c r="N17" s="129" t="s">
        <v>161</v>
      </c>
      <c r="O17" s="129" t="s">
        <v>162</v>
      </c>
      <c r="P17" s="129" t="s">
        <v>163</v>
      </c>
      <c r="S17" s="130">
        <v>2500</v>
      </c>
    </row>
    <row r="18" spans="4:19" ht="15.75" hidden="1" thickBot="1">
      <c r="E18" s="365" t="s">
        <v>165</v>
      </c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7"/>
      <c r="S18" s="130">
        <f>S17*0.2</f>
        <v>500</v>
      </c>
    </row>
    <row r="19" spans="4:19" ht="75.75" hidden="1" thickBot="1">
      <c r="E19" s="135">
        <v>1</v>
      </c>
      <c r="F19" s="136" t="s">
        <v>174</v>
      </c>
      <c r="G19" s="137">
        <v>0.4</v>
      </c>
      <c r="H19" s="137"/>
      <c r="I19" s="137"/>
      <c r="J19" s="137"/>
      <c r="K19" s="137">
        <v>4048</v>
      </c>
      <c r="L19" s="137">
        <v>30</v>
      </c>
      <c r="M19" s="133">
        <f>ROUND(G19*K19*L19/1000,1)</f>
        <v>48.6</v>
      </c>
      <c r="N19" s="137">
        <f>M19*0.25</f>
        <v>12.15</v>
      </c>
      <c r="O19" s="138">
        <f>0.26*N19</f>
        <v>3.1590000000000003</v>
      </c>
      <c r="P19" s="133">
        <f>2318/(P1*P3*O19)</f>
        <v>1.4681402792202669</v>
      </c>
      <c r="S19" s="130">
        <f>S18*0.1</f>
        <v>50</v>
      </c>
    </row>
    <row r="20" spans="4:19" hidden="1">
      <c r="S20" s="130">
        <f>S17+S18+S19</f>
        <v>3050</v>
      </c>
    </row>
    <row r="21" spans="4:19" hidden="1"/>
    <row r="22" spans="4:19" hidden="1"/>
    <row r="23" spans="4:19" hidden="1"/>
    <row r="24" spans="4:19" hidden="1"/>
    <row r="25" spans="4:19" hidden="1"/>
    <row r="26" spans="4:19" ht="47.25" hidden="1">
      <c r="D26" s="139" t="s">
        <v>157</v>
      </c>
      <c r="E26" s="140" t="s">
        <v>175</v>
      </c>
      <c r="F26" s="141" t="s">
        <v>176</v>
      </c>
      <c r="G26" s="142" t="s">
        <v>177</v>
      </c>
      <c r="H26" s="142"/>
      <c r="I26" s="142"/>
      <c r="J26" s="142"/>
      <c r="K26" s="142" t="s">
        <v>178</v>
      </c>
      <c r="L26" s="142" t="s">
        <v>179</v>
      </c>
    </row>
    <row r="27" spans="4:19" ht="15.75" hidden="1">
      <c r="D27" s="143" t="s">
        <v>180</v>
      </c>
      <c r="E27" s="144" t="s">
        <v>73</v>
      </c>
      <c r="F27" s="145">
        <v>96.6</v>
      </c>
      <c r="G27" s="146">
        <v>1547</v>
      </c>
      <c r="H27" s="146"/>
      <c r="I27" s="146"/>
      <c r="J27" s="146"/>
      <c r="K27" s="146">
        <v>0.4</v>
      </c>
      <c r="L27" s="147">
        <f t="shared" ref="L27:L43" si="1">F27*G27*K27/1000</f>
        <v>59.776079999999993</v>
      </c>
    </row>
    <row r="28" spans="4:19" ht="15.75" hidden="1">
      <c r="D28" s="143" t="s">
        <v>181</v>
      </c>
      <c r="E28" s="144" t="s">
        <v>73</v>
      </c>
      <c r="F28" s="145">
        <v>86.4</v>
      </c>
      <c r="G28" s="146">
        <v>2024</v>
      </c>
      <c r="H28" s="146"/>
      <c r="I28" s="146"/>
      <c r="J28" s="146"/>
      <c r="K28" s="146">
        <v>0.2</v>
      </c>
      <c r="L28" s="147">
        <f t="shared" si="1"/>
        <v>34.974719999999998</v>
      </c>
    </row>
    <row r="29" spans="4:19" ht="15.75" hidden="1">
      <c r="D29" s="143" t="s">
        <v>182</v>
      </c>
      <c r="E29" s="144" t="s">
        <v>73</v>
      </c>
      <c r="F29" s="145">
        <v>80</v>
      </c>
      <c r="G29" s="146">
        <v>1800</v>
      </c>
      <c r="H29" s="146"/>
      <c r="I29" s="146"/>
      <c r="J29" s="146"/>
      <c r="K29" s="146">
        <v>0.4</v>
      </c>
      <c r="L29" s="147">
        <f t="shared" si="1"/>
        <v>57.6</v>
      </c>
    </row>
    <row r="30" spans="4:19" ht="15.75" hidden="1">
      <c r="D30" s="143" t="s">
        <v>183</v>
      </c>
      <c r="E30" s="144" t="s">
        <v>73</v>
      </c>
      <c r="F30" s="145">
        <v>64</v>
      </c>
      <c r="G30" s="146">
        <v>1600</v>
      </c>
      <c r="H30" s="146"/>
      <c r="I30" s="146"/>
      <c r="J30" s="146"/>
      <c r="K30" s="146">
        <v>0.4</v>
      </c>
      <c r="L30" s="147">
        <f t="shared" si="1"/>
        <v>40.96</v>
      </c>
    </row>
    <row r="31" spans="4:19" ht="15.75" hidden="1">
      <c r="D31" s="143" t="s">
        <v>184</v>
      </c>
      <c r="E31" s="144" t="s">
        <v>73</v>
      </c>
      <c r="F31" s="145">
        <v>60</v>
      </c>
      <c r="G31" s="146">
        <v>2024</v>
      </c>
      <c r="H31" s="146"/>
      <c r="I31" s="146"/>
      <c r="J31" s="146"/>
      <c r="K31" s="146">
        <v>0.4</v>
      </c>
      <c r="L31" s="147">
        <f t="shared" si="1"/>
        <v>48.576000000000001</v>
      </c>
    </row>
    <row r="32" spans="4:19" ht="15.75" hidden="1">
      <c r="D32" s="143" t="s">
        <v>185</v>
      </c>
      <c r="E32" s="144" t="s">
        <v>73</v>
      </c>
      <c r="F32" s="145">
        <v>57.6</v>
      </c>
      <c r="G32" s="146">
        <v>2024</v>
      </c>
      <c r="H32" s="146"/>
      <c r="I32" s="146"/>
      <c r="J32" s="146"/>
      <c r="K32" s="146">
        <v>0.4</v>
      </c>
      <c r="L32" s="147">
        <f t="shared" si="1"/>
        <v>46.632960000000004</v>
      </c>
    </row>
    <row r="33" spans="2:12" ht="15.75" hidden="1">
      <c r="D33" s="143" t="s">
        <v>186</v>
      </c>
      <c r="E33" s="144" t="s">
        <v>73</v>
      </c>
      <c r="F33" s="145">
        <v>53</v>
      </c>
      <c r="G33" s="146">
        <v>2100</v>
      </c>
      <c r="H33" s="146"/>
      <c r="I33" s="146"/>
      <c r="J33" s="146"/>
      <c r="K33" s="146">
        <v>0.4</v>
      </c>
      <c r="L33" s="147">
        <f t="shared" si="1"/>
        <v>44.52</v>
      </c>
    </row>
    <row r="34" spans="2:12" ht="15.75" hidden="1">
      <c r="D34" s="143" t="s">
        <v>187</v>
      </c>
      <c r="E34" s="144" t="s">
        <v>73</v>
      </c>
      <c r="F34" s="145">
        <v>45</v>
      </c>
      <c r="G34" s="146">
        <v>2100</v>
      </c>
      <c r="H34" s="146"/>
      <c r="I34" s="146"/>
      <c r="J34" s="146"/>
      <c r="K34" s="146">
        <v>0.4</v>
      </c>
      <c r="L34" s="147">
        <f t="shared" si="1"/>
        <v>37.799999999999997</v>
      </c>
    </row>
    <row r="35" spans="2:12" ht="15.75" hidden="1">
      <c r="D35" s="143" t="s">
        <v>188</v>
      </c>
      <c r="E35" s="144" t="s">
        <v>73</v>
      </c>
      <c r="F35" s="145">
        <v>37</v>
      </c>
      <c r="G35" s="146">
        <v>2024</v>
      </c>
      <c r="H35" s="146"/>
      <c r="I35" s="146"/>
      <c r="J35" s="146"/>
      <c r="K35" s="146">
        <v>0.2</v>
      </c>
      <c r="L35" s="147">
        <f t="shared" si="1"/>
        <v>14.977600000000001</v>
      </c>
    </row>
    <row r="36" spans="2:12" ht="15.75" hidden="1">
      <c r="D36" s="143" t="s">
        <v>189</v>
      </c>
      <c r="E36" s="144" t="s">
        <v>73</v>
      </c>
      <c r="F36" s="145">
        <v>36</v>
      </c>
      <c r="G36" s="146">
        <v>2100</v>
      </c>
      <c r="H36" s="146"/>
      <c r="I36" s="146"/>
      <c r="J36" s="146"/>
      <c r="K36" s="146">
        <v>0.2</v>
      </c>
      <c r="L36" s="147">
        <f t="shared" si="1"/>
        <v>15.12</v>
      </c>
    </row>
    <row r="37" spans="2:12" ht="15.75" hidden="1">
      <c r="D37" s="143" t="s">
        <v>190</v>
      </c>
      <c r="E37" s="144" t="s">
        <v>73</v>
      </c>
      <c r="F37" s="145">
        <v>30</v>
      </c>
      <c r="G37" s="146">
        <v>2100</v>
      </c>
      <c r="H37" s="146"/>
      <c r="I37" s="146"/>
      <c r="J37" s="146"/>
      <c r="K37" s="146">
        <v>0.2</v>
      </c>
      <c r="L37" s="147">
        <f t="shared" si="1"/>
        <v>12.6</v>
      </c>
    </row>
    <row r="38" spans="2:12" ht="15.75" hidden="1">
      <c r="D38" s="143" t="s">
        <v>191</v>
      </c>
      <c r="E38" s="144" t="s">
        <v>73</v>
      </c>
      <c r="F38" s="145">
        <v>27.5</v>
      </c>
      <c r="G38" s="146">
        <v>2100</v>
      </c>
      <c r="H38" s="146"/>
      <c r="I38" s="146"/>
      <c r="J38" s="146"/>
      <c r="K38" s="146">
        <v>0.4</v>
      </c>
      <c r="L38" s="147">
        <f t="shared" si="1"/>
        <v>23.1</v>
      </c>
    </row>
    <row r="39" spans="2:12" ht="15.75" hidden="1">
      <c r="D39" s="143" t="s">
        <v>192</v>
      </c>
      <c r="E39" s="144" t="s">
        <v>73</v>
      </c>
      <c r="F39" s="145">
        <v>26</v>
      </c>
      <c r="G39" s="146">
        <v>2024</v>
      </c>
      <c r="H39" s="146"/>
      <c r="I39" s="146"/>
      <c r="J39" s="146"/>
      <c r="K39" s="146">
        <v>0.4</v>
      </c>
      <c r="L39" s="147">
        <f t="shared" si="1"/>
        <v>21.049600000000002</v>
      </c>
    </row>
    <row r="40" spans="2:12" ht="15.75" hidden="1">
      <c r="D40" s="143" t="s">
        <v>193</v>
      </c>
      <c r="E40" s="144" t="s">
        <v>73</v>
      </c>
      <c r="F40" s="145">
        <v>24</v>
      </c>
      <c r="G40" s="146">
        <v>2024</v>
      </c>
      <c r="H40" s="146"/>
      <c r="I40" s="146"/>
      <c r="J40" s="146"/>
      <c r="K40" s="146">
        <v>0.4</v>
      </c>
      <c r="L40" s="147">
        <f t="shared" si="1"/>
        <v>19.430400000000002</v>
      </c>
    </row>
    <row r="41" spans="2:12" ht="15.75" hidden="1">
      <c r="D41" s="143" t="s">
        <v>194</v>
      </c>
      <c r="E41" s="144" t="s">
        <v>73</v>
      </c>
      <c r="F41" s="145">
        <v>22.8</v>
      </c>
      <c r="G41" s="146">
        <v>2024</v>
      </c>
      <c r="H41" s="146"/>
      <c r="I41" s="146"/>
      <c r="J41" s="146"/>
      <c r="K41" s="146">
        <v>0.4</v>
      </c>
      <c r="L41" s="147">
        <f t="shared" si="1"/>
        <v>18.458880000000001</v>
      </c>
    </row>
    <row r="42" spans="2:12" ht="15.75" hidden="1">
      <c r="D42" s="143" t="s">
        <v>195</v>
      </c>
      <c r="E42" s="144" t="s">
        <v>73</v>
      </c>
      <c r="F42" s="145">
        <v>22.5</v>
      </c>
      <c r="G42" s="146">
        <v>2100</v>
      </c>
      <c r="H42" s="146"/>
      <c r="I42" s="146"/>
      <c r="J42" s="146"/>
      <c r="K42" s="146">
        <v>0.4</v>
      </c>
      <c r="L42" s="147">
        <f t="shared" si="1"/>
        <v>18.899999999999999</v>
      </c>
    </row>
    <row r="43" spans="2:12" ht="15.75" hidden="1">
      <c r="D43" s="143" t="s">
        <v>196</v>
      </c>
      <c r="E43" s="144" t="s">
        <v>73</v>
      </c>
      <c r="F43" s="145">
        <v>20</v>
      </c>
      <c r="G43" s="146">
        <v>2100</v>
      </c>
      <c r="H43" s="146"/>
      <c r="I43" s="146"/>
      <c r="J43" s="146"/>
      <c r="K43" s="146">
        <v>0.4</v>
      </c>
      <c r="L43" s="147">
        <f t="shared" si="1"/>
        <v>16.8</v>
      </c>
    </row>
    <row r="44" spans="2:12" hidden="1"/>
    <row r="45" spans="2:12" ht="15.75" thickBot="1">
      <c r="I45" s="156"/>
    </row>
    <row r="46" spans="2:12" ht="48" customHeight="1" thickBot="1">
      <c r="B46" s="368" t="s">
        <v>257</v>
      </c>
      <c r="C46" s="368" t="s">
        <v>58</v>
      </c>
      <c r="D46" s="368" t="s">
        <v>258</v>
      </c>
      <c r="E46" s="370" t="s">
        <v>60</v>
      </c>
      <c r="F46" s="371"/>
      <c r="G46" s="372" t="s">
        <v>41</v>
      </c>
      <c r="H46" s="373"/>
      <c r="I46" s="374"/>
      <c r="J46" s="368" t="s">
        <v>42</v>
      </c>
      <c r="K46" s="368" t="s">
        <v>9</v>
      </c>
    </row>
    <row r="47" spans="2:12" ht="16.5" customHeight="1" thickBot="1">
      <c r="B47" s="369"/>
      <c r="C47" s="369"/>
      <c r="D47" s="369"/>
      <c r="E47" s="207" t="s">
        <v>43</v>
      </c>
      <c r="F47" s="207" t="s">
        <v>44</v>
      </c>
      <c r="G47" s="207" t="s">
        <v>24</v>
      </c>
      <c r="H47" s="207" t="s">
        <v>30</v>
      </c>
      <c r="I47" s="207" t="s">
        <v>31</v>
      </c>
      <c r="J47" s="369"/>
      <c r="K47" s="369"/>
    </row>
    <row r="48" spans="2:12" ht="16.5" customHeight="1" thickBot="1">
      <c r="B48" s="360" t="s">
        <v>259</v>
      </c>
      <c r="C48" s="361"/>
      <c r="D48" s="361"/>
      <c r="E48" s="361"/>
      <c r="F48" s="361"/>
      <c r="G48" s="361"/>
      <c r="H48" s="361"/>
      <c r="I48" s="361"/>
      <c r="J48" s="361"/>
      <c r="K48" s="362"/>
    </row>
    <row r="49" spans="2:11" ht="16.5" customHeight="1" thickBot="1">
      <c r="B49" s="206">
        <v>2.2999999999999998</v>
      </c>
      <c r="C49" s="175">
        <v>2160</v>
      </c>
      <c r="D49" s="175">
        <v>16</v>
      </c>
      <c r="E49" s="175">
        <v>115</v>
      </c>
      <c r="F49" s="175">
        <v>45</v>
      </c>
      <c r="G49" s="175">
        <v>4.78</v>
      </c>
      <c r="H49" s="175">
        <v>0.77</v>
      </c>
      <c r="I49" s="175">
        <v>0.42</v>
      </c>
      <c r="J49" s="175">
        <v>1.4</v>
      </c>
      <c r="K49" s="175">
        <v>3.34</v>
      </c>
    </row>
    <row r="50" spans="2:11" ht="16.5" customHeight="1" thickBot="1">
      <c r="B50" s="360" t="s">
        <v>321</v>
      </c>
      <c r="C50" s="361"/>
      <c r="D50" s="361"/>
      <c r="E50" s="361"/>
      <c r="F50" s="361"/>
      <c r="G50" s="361"/>
      <c r="H50" s="361"/>
      <c r="I50" s="361"/>
      <c r="J50" s="361"/>
      <c r="K50" s="362"/>
    </row>
    <row r="51" spans="2:11" ht="16.5" customHeight="1" thickBot="1">
      <c r="B51" s="206">
        <v>0.6</v>
      </c>
      <c r="C51" s="175">
        <v>2160</v>
      </c>
      <c r="D51" s="175">
        <v>16</v>
      </c>
      <c r="E51" s="175">
        <v>150</v>
      </c>
      <c r="F51" s="175">
        <v>45</v>
      </c>
      <c r="G51" s="175">
        <v>2.11</v>
      </c>
      <c r="H51" s="175">
        <v>0.37</v>
      </c>
      <c r="I51" s="175">
        <v>0.19</v>
      </c>
      <c r="J51" s="175">
        <v>0.4</v>
      </c>
      <c r="K51" s="175">
        <v>2.15</v>
      </c>
    </row>
    <row r="52" spans="2:11" ht="16.5" customHeight="1" thickBot="1">
      <c r="B52" s="360" t="s">
        <v>322</v>
      </c>
      <c r="C52" s="361"/>
      <c r="D52" s="361"/>
      <c r="E52" s="361"/>
      <c r="F52" s="361"/>
      <c r="G52" s="361"/>
      <c r="H52" s="361"/>
      <c r="I52" s="361"/>
      <c r="J52" s="361"/>
      <c r="K52" s="363"/>
    </row>
    <row r="53" spans="2:11" ht="16.5" thickBot="1">
      <c r="B53" s="206">
        <v>2.1</v>
      </c>
      <c r="C53" s="175">
        <v>2160</v>
      </c>
      <c r="D53" s="175">
        <v>16</v>
      </c>
      <c r="E53" s="175">
        <v>150</v>
      </c>
      <c r="F53" s="175">
        <v>45</v>
      </c>
      <c r="G53" s="175">
        <v>7.37</v>
      </c>
      <c r="H53" s="175">
        <v>1.19</v>
      </c>
      <c r="I53" s="175">
        <v>0.72</v>
      </c>
      <c r="J53" s="175">
        <v>1.3</v>
      </c>
      <c r="K53" s="175">
        <v>2</v>
      </c>
    </row>
    <row r="54" spans="2:11">
      <c r="I54" s="160"/>
      <c r="J54" s="160"/>
      <c r="K54" s="160"/>
    </row>
    <row r="55" spans="2:11">
      <c r="B55" s="130">
        <f>B49+B51+B53</f>
        <v>5</v>
      </c>
      <c r="G55" s="130">
        <f>G49+G51+G53</f>
        <v>14.260000000000002</v>
      </c>
      <c r="H55" s="130">
        <f>H49+H51+H53</f>
        <v>2.33</v>
      </c>
      <c r="I55" s="130">
        <f>I49+I51+I53</f>
        <v>1.33</v>
      </c>
      <c r="J55" s="130">
        <f>J49+J51+J53</f>
        <v>3.0999999999999996</v>
      </c>
      <c r="K55" s="156">
        <f>J55/I55</f>
        <v>2.3308270676691727</v>
      </c>
    </row>
  </sheetData>
  <mergeCells count="19">
    <mergeCell ref="H1:J1"/>
    <mergeCell ref="B1:B2"/>
    <mergeCell ref="C1:C2"/>
    <mergeCell ref="A1:A2"/>
    <mergeCell ref="A3:L3"/>
    <mergeCell ref="B48:K48"/>
    <mergeCell ref="B50:K50"/>
    <mergeCell ref="B52:K52"/>
    <mergeCell ref="A6:L6"/>
    <mergeCell ref="A8:L8"/>
    <mergeCell ref="A10:L10"/>
    <mergeCell ref="E18:P18"/>
    <mergeCell ref="B46:B47"/>
    <mergeCell ref="C46:C47"/>
    <mergeCell ref="D46:D47"/>
    <mergeCell ref="E46:F46"/>
    <mergeCell ref="G46:I46"/>
    <mergeCell ref="J46:J47"/>
    <mergeCell ref="K46:K47"/>
  </mergeCells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R50"/>
  <sheetViews>
    <sheetView topLeftCell="A16" zoomScale="90" zoomScaleNormal="90" workbookViewId="0">
      <selection activeCell="A15" sqref="A15:K50"/>
    </sheetView>
  </sheetViews>
  <sheetFormatPr defaultRowHeight="15.75"/>
  <cols>
    <col min="1" max="1" width="8.7109375" style="58" customWidth="1"/>
    <col min="2" max="2" width="6.85546875" style="58" customWidth="1"/>
    <col min="3" max="3" width="8.140625" style="58" customWidth="1"/>
    <col min="4" max="4" width="8" style="58" customWidth="1"/>
    <col min="5" max="5" width="7.7109375" style="58" customWidth="1"/>
    <col min="6" max="6" width="5.85546875" style="58" customWidth="1"/>
    <col min="7" max="7" width="5.28515625" style="58" customWidth="1"/>
    <col min="8" max="8" width="6.140625" style="58" customWidth="1"/>
    <col min="9" max="10" width="8" style="58" customWidth="1"/>
    <col min="11" max="11" width="13" style="58" bestFit="1" customWidth="1"/>
    <col min="12" max="13" width="9.140625" style="58"/>
    <col min="14" max="14" width="28.7109375" style="58" customWidth="1"/>
    <col min="15" max="15" width="9.140625" style="58"/>
    <col min="16" max="16" width="17.7109375" style="58" customWidth="1"/>
    <col min="17" max="16384" width="9.140625" style="58"/>
  </cols>
  <sheetData>
    <row r="3" spans="1:18" ht="102.75" customHeight="1">
      <c r="A3" s="422" t="s">
        <v>57</v>
      </c>
      <c r="B3" s="422" t="s">
        <v>58</v>
      </c>
      <c r="C3" s="422" t="s">
        <v>59</v>
      </c>
      <c r="D3" s="422" t="s">
        <v>60</v>
      </c>
      <c r="E3" s="422"/>
      <c r="F3" s="427" t="s">
        <v>41</v>
      </c>
      <c r="G3" s="427"/>
      <c r="H3" s="427"/>
      <c r="I3" s="422" t="s">
        <v>42</v>
      </c>
      <c r="J3" s="422" t="s">
        <v>9</v>
      </c>
    </row>
    <row r="4" spans="1:18" ht="98.25" customHeight="1">
      <c r="A4" s="422"/>
      <c r="B4" s="422"/>
      <c r="C4" s="422"/>
      <c r="D4" s="68" t="s">
        <v>43</v>
      </c>
      <c r="E4" s="68" t="s">
        <v>44</v>
      </c>
      <c r="F4" s="68" t="s">
        <v>24</v>
      </c>
      <c r="G4" s="68" t="s">
        <v>30</v>
      </c>
      <c r="H4" s="68" t="s">
        <v>31</v>
      </c>
      <c r="I4" s="422"/>
      <c r="J4" s="422"/>
    </row>
    <row r="5" spans="1:18" ht="15.75" customHeight="1">
      <c r="A5" s="423" t="s">
        <v>61</v>
      </c>
      <c r="B5" s="424"/>
      <c r="C5" s="424"/>
      <c r="D5" s="424"/>
      <c r="E5" s="424"/>
      <c r="F5" s="424"/>
      <c r="G5" s="424"/>
      <c r="H5" s="424"/>
      <c r="I5" s="424"/>
      <c r="J5" s="425"/>
    </row>
    <row r="6" spans="1:18" ht="15.75" customHeight="1">
      <c r="A6" s="60">
        <v>1.5</v>
      </c>
      <c r="B6" s="59">
        <v>4752</v>
      </c>
      <c r="C6" s="59">
        <v>16</v>
      </c>
      <c r="D6" s="59">
        <v>57</v>
      </c>
      <c r="E6" s="59">
        <v>35</v>
      </c>
      <c r="F6" s="60">
        <f>A6*B6*((9.3+0.058*D6)*((D6-C6))-(9.3+0.058*E6)*((E6-C6)))/1000000*0.86</f>
        <v>1.8486850060800004</v>
      </c>
      <c r="G6" s="60">
        <f>F6*0.16665*1.0937</f>
        <v>0.33695076674509689</v>
      </c>
      <c r="H6" s="60">
        <f>G6*210*2.38/1000</f>
        <v>0.16840799321919941</v>
      </c>
      <c r="I6" s="60">
        <f>A6*$L$6</f>
        <v>0.13500000000000001</v>
      </c>
      <c r="J6" s="60">
        <f>I6/H6</f>
        <v>0.80162465818522255</v>
      </c>
      <c r="L6" s="58">
        <v>0.09</v>
      </c>
      <c r="M6" s="58" t="s">
        <v>62</v>
      </c>
      <c r="N6" s="58" t="s">
        <v>63</v>
      </c>
      <c r="P6" s="58" t="s">
        <v>64</v>
      </c>
    </row>
    <row r="7" spans="1:18" ht="15.75" customHeight="1">
      <c r="A7" s="60">
        <v>1.5</v>
      </c>
      <c r="B7" s="59">
        <v>4752</v>
      </c>
      <c r="C7" s="59">
        <v>16</v>
      </c>
      <c r="D7" s="59">
        <v>57</v>
      </c>
      <c r="E7" s="59">
        <v>35</v>
      </c>
      <c r="F7" s="60">
        <f t="shared" ref="F7:F8" si="0">A7*B7*((9.3+0.058*D7)*((D7-C7))-(9.3+0.058*E7)*((E7-C7)))/1000000*0.86</f>
        <v>1.8486850060800004</v>
      </c>
      <c r="G7" s="60">
        <f t="shared" ref="G7:G8" si="1">F7*0.16665*1.0937</f>
        <v>0.33695076674509689</v>
      </c>
      <c r="H7" s="60">
        <f t="shared" ref="H7:H8" si="2">G7*210*2.38/1000</f>
        <v>0.16840799321919941</v>
      </c>
      <c r="I7" s="60">
        <f t="shared" ref="I7:I8" si="3">A7*$L$6</f>
        <v>0.13500000000000001</v>
      </c>
      <c r="J7" s="60">
        <f t="shared" ref="J7:J8" si="4">I7/H7</f>
        <v>0.80162465818522255</v>
      </c>
    </row>
    <row r="8" spans="1:18" ht="15.75" customHeight="1">
      <c r="A8" s="60">
        <v>1.7</v>
      </c>
      <c r="B8" s="59">
        <v>6000</v>
      </c>
      <c r="C8" s="59">
        <v>16</v>
      </c>
      <c r="D8" s="59">
        <v>57</v>
      </c>
      <c r="E8" s="59">
        <v>35</v>
      </c>
      <c r="F8" s="60">
        <f t="shared" si="0"/>
        <v>2.6454246720000003</v>
      </c>
      <c r="G8" s="60">
        <f t="shared" si="1"/>
        <v>0.48216860561167058</v>
      </c>
      <c r="H8" s="60">
        <f t="shared" si="2"/>
        <v>0.24098786908471295</v>
      </c>
      <c r="I8" s="60">
        <f t="shared" si="3"/>
        <v>0.153</v>
      </c>
      <c r="J8" s="60">
        <f t="shared" si="4"/>
        <v>0.63488672928269629</v>
      </c>
    </row>
    <row r="9" spans="1:18" ht="15.75" customHeight="1">
      <c r="A9" s="423" t="s">
        <v>65</v>
      </c>
      <c r="B9" s="424"/>
      <c r="C9" s="424"/>
      <c r="D9" s="424"/>
      <c r="E9" s="424"/>
      <c r="F9" s="424"/>
      <c r="G9" s="424"/>
      <c r="H9" s="424"/>
      <c r="I9" s="424"/>
      <c r="J9" s="425"/>
    </row>
    <row r="10" spans="1:18" ht="15.75" customHeight="1">
      <c r="A10" s="60">
        <v>8</v>
      </c>
      <c r="B10" s="59">
        <v>6000</v>
      </c>
      <c r="C10" s="59">
        <v>16</v>
      </c>
      <c r="D10" s="59">
        <v>57</v>
      </c>
      <c r="E10" s="59">
        <v>35</v>
      </c>
      <c r="F10" s="60">
        <f>A10*B10*((9.3+0.058*D10)*((D10-C10))-(9.3+0.058*E10)*((E10-C10)))/1000000*0.86</f>
        <v>12.449057280000002</v>
      </c>
      <c r="G10" s="60">
        <f>F10*0.16665*1.0937</f>
        <v>2.2690287322902143</v>
      </c>
      <c r="H10" s="60">
        <f>G10*210*2.38/1000</f>
        <v>1.1340605603986491</v>
      </c>
      <c r="I10" s="60">
        <f>A10*$L$6</f>
        <v>0.72</v>
      </c>
      <c r="J10" s="60">
        <f>I10/H10</f>
        <v>0.63488672928269629</v>
      </c>
      <c r="N10" s="426" t="s">
        <v>66</v>
      </c>
      <c r="O10" s="426"/>
      <c r="P10" s="426"/>
    </row>
    <row r="11" spans="1:18">
      <c r="A11" s="60">
        <v>4</v>
      </c>
      <c r="B11" s="59">
        <v>6000</v>
      </c>
      <c r="C11" s="59">
        <v>16</v>
      </c>
      <c r="D11" s="59">
        <v>57</v>
      </c>
      <c r="E11" s="59">
        <v>35</v>
      </c>
      <c r="F11" s="60">
        <f>A11*B11*((9.3+0.058*D11)*((D11-C11))-(9.3+0.058*E11)*((E11-C11)))/1000000*0.86</f>
        <v>6.2245286400000008</v>
      </c>
      <c r="G11" s="60">
        <f>F11*0.16665*1.0937</f>
        <v>1.1345143661451071</v>
      </c>
      <c r="H11" s="60">
        <f>G11*210*2.38/1000</f>
        <v>0.56703028019932455</v>
      </c>
      <c r="I11" s="60">
        <f>A11*$L$6</f>
        <v>0.36</v>
      </c>
      <c r="J11" s="60">
        <f>I11/H11</f>
        <v>0.63488672928269629</v>
      </c>
    </row>
    <row r="12" spans="1:18">
      <c r="A12" s="69"/>
      <c r="F12" s="69">
        <f>SUM(F6:F8)+SUM(F10:F11)</f>
        <v>25.016380604160002</v>
      </c>
      <c r="G12" s="69">
        <f>SUM(G6:G8)+SUM(G10:G11)</f>
        <v>4.5596132375371852</v>
      </c>
      <c r="H12" s="69">
        <f t="shared" ref="H12:I12" si="5">SUM(H6:H8)+SUM(H10:H11)</f>
        <v>2.2788946961210854</v>
      </c>
      <c r="I12" s="69">
        <f t="shared" si="5"/>
        <v>1.5030000000000001</v>
      </c>
      <c r="J12" s="69"/>
    </row>
    <row r="13" spans="1:18">
      <c r="F13" s="69"/>
      <c r="G13" s="69"/>
      <c r="H13" s="69"/>
      <c r="I13" s="69"/>
      <c r="J13" s="69"/>
      <c r="L13" s="69">
        <f>F6+F10</f>
        <v>14.297742286080002</v>
      </c>
      <c r="M13" s="69"/>
      <c r="N13" s="69">
        <f>G6+G10</f>
        <v>2.6059794990353113</v>
      </c>
      <c r="O13" s="69">
        <f>H6+H10</f>
        <v>1.3024685536178486</v>
      </c>
      <c r="P13" s="69">
        <f>R13/O13</f>
        <v>0.65644579105198242</v>
      </c>
      <c r="R13" s="69">
        <f>I6+I10</f>
        <v>0.85499999999999998</v>
      </c>
    </row>
    <row r="14" spans="1:18" ht="16.5" thickBot="1">
      <c r="G14" s="69"/>
    </row>
    <row r="15" spans="1:18" ht="122.25" customHeight="1" thickBot="1">
      <c r="A15" s="438" t="s">
        <v>286</v>
      </c>
      <c r="B15" s="428" t="s">
        <v>103</v>
      </c>
      <c r="C15" s="428" t="s">
        <v>287</v>
      </c>
      <c r="D15" s="428" t="s">
        <v>51</v>
      </c>
      <c r="E15" s="428" t="s">
        <v>52</v>
      </c>
      <c r="F15" s="428" t="s">
        <v>288</v>
      </c>
      <c r="G15" s="430" t="s">
        <v>289</v>
      </c>
      <c r="H15" s="431"/>
      <c r="I15" s="432"/>
      <c r="J15" s="428" t="s">
        <v>42</v>
      </c>
      <c r="K15" s="428" t="s">
        <v>9</v>
      </c>
    </row>
    <row r="16" spans="1:18" ht="66.75" thickBot="1">
      <c r="A16" s="439"/>
      <c r="B16" s="429"/>
      <c r="C16" s="429"/>
      <c r="D16" s="429"/>
      <c r="E16" s="429"/>
      <c r="F16" s="429"/>
      <c r="G16" s="212" t="s">
        <v>49</v>
      </c>
      <c r="H16" s="218" t="s">
        <v>30</v>
      </c>
      <c r="I16" s="212" t="s">
        <v>31</v>
      </c>
      <c r="J16" s="429"/>
      <c r="K16" s="429"/>
    </row>
    <row r="17" spans="1:11" ht="16.5" thickBot="1">
      <c r="A17" s="433" t="s">
        <v>290</v>
      </c>
      <c r="B17" s="433">
        <v>64</v>
      </c>
      <c r="C17" s="210" t="s">
        <v>291</v>
      </c>
      <c r="D17" s="210">
        <v>0.08</v>
      </c>
      <c r="E17" s="433">
        <v>2150</v>
      </c>
      <c r="F17" s="175">
        <v>11</v>
      </c>
      <c r="G17" s="433">
        <v>6.05</v>
      </c>
      <c r="H17" s="436">
        <v>1.87</v>
      </c>
      <c r="I17" s="433">
        <v>1.01</v>
      </c>
      <c r="J17" s="433">
        <v>3.82</v>
      </c>
      <c r="K17" s="433">
        <v>3.77</v>
      </c>
    </row>
    <row r="18" spans="1:11" ht="16.5" thickBot="1">
      <c r="A18" s="434"/>
      <c r="B18" s="435"/>
      <c r="C18" s="210" t="s">
        <v>292</v>
      </c>
      <c r="D18" s="210">
        <v>3.5999999999999997E-2</v>
      </c>
      <c r="E18" s="435"/>
      <c r="F18" s="175">
        <v>5</v>
      </c>
      <c r="G18" s="435"/>
      <c r="H18" s="437"/>
      <c r="I18" s="435"/>
      <c r="J18" s="435"/>
      <c r="K18" s="435"/>
    </row>
    <row r="19" spans="1:11" ht="16.5" thickBot="1">
      <c r="A19" s="434"/>
      <c r="B19" s="433">
        <v>35</v>
      </c>
      <c r="C19" s="210" t="s">
        <v>293</v>
      </c>
      <c r="D19" s="210">
        <v>0.25</v>
      </c>
      <c r="E19" s="433">
        <v>2150</v>
      </c>
      <c r="F19" s="175">
        <v>18.8</v>
      </c>
      <c r="G19" s="433">
        <v>12.79</v>
      </c>
      <c r="H19" s="436">
        <v>3.96</v>
      </c>
      <c r="I19" s="433">
        <v>2.14</v>
      </c>
      <c r="J19" s="433">
        <v>9.75</v>
      </c>
      <c r="K19" s="433">
        <v>4.5599999999999996</v>
      </c>
    </row>
    <row r="20" spans="1:11" ht="16.5" thickBot="1">
      <c r="A20" s="434"/>
      <c r="B20" s="435"/>
      <c r="C20" s="210" t="s">
        <v>292</v>
      </c>
      <c r="D20" s="210">
        <v>0.08</v>
      </c>
      <c r="E20" s="435"/>
      <c r="F20" s="175">
        <v>6</v>
      </c>
      <c r="G20" s="435"/>
      <c r="H20" s="437"/>
      <c r="I20" s="435"/>
      <c r="J20" s="435"/>
      <c r="K20" s="435"/>
    </row>
    <row r="21" spans="1:11" ht="16.5" thickBot="1">
      <c r="A21" s="434"/>
      <c r="B21" s="433">
        <v>65</v>
      </c>
      <c r="C21" s="210" t="s">
        <v>294</v>
      </c>
      <c r="D21" s="210">
        <v>0.06</v>
      </c>
      <c r="E21" s="433">
        <v>2150</v>
      </c>
      <c r="F21" s="175">
        <v>8.4</v>
      </c>
      <c r="G21" s="433">
        <v>7.41</v>
      </c>
      <c r="H21" s="436">
        <v>2.29</v>
      </c>
      <c r="I21" s="433">
        <v>1.24</v>
      </c>
      <c r="J21" s="433">
        <v>0.61</v>
      </c>
      <c r="K21" s="433">
        <v>0.49</v>
      </c>
    </row>
    <row r="22" spans="1:11" ht="16.5" thickBot="1">
      <c r="A22" s="435"/>
      <c r="B22" s="435"/>
      <c r="C22" s="210" t="s">
        <v>292</v>
      </c>
      <c r="D22" s="210">
        <v>7.0000000000000001E-3</v>
      </c>
      <c r="E22" s="435"/>
      <c r="F22" s="175">
        <v>1</v>
      </c>
      <c r="G22" s="435"/>
      <c r="H22" s="437"/>
      <c r="I22" s="435"/>
      <c r="J22" s="435"/>
      <c r="K22" s="435"/>
    </row>
    <row r="23" spans="1:11" ht="16.5" thickBot="1">
      <c r="A23" s="433" t="s">
        <v>295</v>
      </c>
      <c r="B23" s="433">
        <v>76</v>
      </c>
      <c r="C23" s="210" t="s">
        <v>291</v>
      </c>
      <c r="D23" s="210">
        <v>0.08</v>
      </c>
      <c r="E23" s="433">
        <v>2150</v>
      </c>
      <c r="F23" s="175">
        <v>13.1</v>
      </c>
      <c r="G23" s="433">
        <v>7.19</v>
      </c>
      <c r="H23" s="436">
        <v>2.2200000000000002</v>
      </c>
      <c r="I23" s="433">
        <v>1.2</v>
      </c>
      <c r="J23" s="433">
        <v>4.53</v>
      </c>
      <c r="K23" s="433">
        <v>3.77</v>
      </c>
    </row>
    <row r="24" spans="1:11" ht="16.5" thickBot="1">
      <c r="A24" s="434"/>
      <c r="B24" s="435"/>
      <c r="C24" s="210" t="s">
        <v>292</v>
      </c>
      <c r="D24" s="210">
        <v>3.5999999999999997E-2</v>
      </c>
      <c r="E24" s="435"/>
      <c r="F24" s="175">
        <v>5.9</v>
      </c>
      <c r="G24" s="435"/>
      <c r="H24" s="437"/>
      <c r="I24" s="435"/>
      <c r="J24" s="435"/>
      <c r="K24" s="435"/>
    </row>
    <row r="25" spans="1:11" ht="16.5" thickBot="1">
      <c r="A25" s="434"/>
      <c r="B25" s="433">
        <v>4</v>
      </c>
      <c r="C25" s="210" t="s">
        <v>293</v>
      </c>
      <c r="D25" s="210">
        <v>0.25</v>
      </c>
      <c r="E25" s="433">
        <v>2150</v>
      </c>
      <c r="F25" s="175">
        <v>2.2000000000000002</v>
      </c>
      <c r="G25" s="433">
        <v>1.46</v>
      </c>
      <c r="H25" s="436">
        <v>0.45</v>
      </c>
      <c r="I25" s="433">
        <v>0.24</v>
      </c>
      <c r="J25" s="433">
        <v>1.35</v>
      </c>
      <c r="K25" s="433">
        <v>5.52</v>
      </c>
    </row>
    <row r="26" spans="1:11" ht="16.5" thickBot="1">
      <c r="A26" s="434"/>
      <c r="B26" s="435"/>
      <c r="C26" s="210" t="s">
        <v>292</v>
      </c>
      <c r="D26" s="210">
        <v>0.08</v>
      </c>
      <c r="E26" s="435"/>
      <c r="F26" s="175">
        <v>0.7</v>
      </c>
      <c r="G26" s="435"/>
      <c r="H26" s="437"/>
      <c r="I26" s="435"/>
      <c r="J26" s="435"/>
      <c r="K26" s="435"/>
    </row>
    <row r="27" spans="1:11" ht="16.5" thickBot="1">
      <c r="A27" s="434"/>
      <c r="B27" s="433">
        <v>19</v>
      </c>
      <c r="C27" s="210" t="s">
        <v>294</v>
      </c>
      <c r="D27" s="210">
        <v>0.06</v>
      </c>
      <c r="E27" s="433">
        <v>2150</v>
      </c>
      <c r="F27" s="175">
        <v>2.5</v>
      </c>
      <c r="G27" s="433">
        <v>2.17</v>
      </c>
      <c r="H27" s="436">
        <v>0.67</v>
      </c>
      <c r="I27" s="433">
        <v>0.36</v>
      </c>
      <c r="J27" s="433">
        <v>1.1100000000000001</v>
      </c>
      <c r="K27" s="433">
        <v>3.08</v>
      </c>
    </row>
    <row r="28" spans="1:11" ht="16.5" thickBot="1">
      <c r="A28" s="434"/>
      <c r="B28" s="435"/>
      <c r="C28" s="210" t="s">
        <v>292</v>
      </c>
      <c r="D28" s="210">
        <v>7.0000000000000001E-3</v>
      </c>
      <c r="E28" s="435"/>
      <c r="F28" s="175">
        <v>0.3</v>
      </c>
      <c r="G28" s="435"/>
      <c r="H28" s="437"/>
      <c r="I28" s="435"/>
      <c r="J28" s="435"/>
      <c r="K28" s="435"/>
    </row>
    <row r="29" spans="1:11" ht="16.5" thickBot="1">
      <c r="A29" s="434"/>
      <c r="B29" s="433">
        <v>6</v>
      </c>
      <c r="C29" s="210" t="s">
        <v>293</v>
      </c>
      <c r="D29" s="210">
        <v>0.125</v>
      </c>
      <c r="E29" s="433">
        <v>2150</v>
      </c>
      <c r="F29" s="175">
        <v>1.6</v>
      </c>
      <c r="G29" s="433">
        <v>0.84</v>
      </c>
      <c r="H29" s="436">
        <v>0.26</v>
      </c>
      <c r="I29" s="433">
        <v>0.14000000000000001</v>
      </c>
      <c r="J29" s="433">
        <v>0.19</v>
      </c>
      <c r="K29" s="433">
        <v>1.36</v>
      </c>
    </row>
    <row r="30" spans="1:11" ht="16.5" thickBot="1">
      <c r="A30" s="435"/>
      <c r="B30" s="435"/>
      <c r="C30" s="210" t="s">
        <v>292</v>
      </c>
      <c r="D30" s="210">
        <v>0.06</v>
      </c>
      <c r="E30" s="435"/>
      <c r="F30" s="175">
        <v>0.8</v>
      </c>
      <c r="G30" s="435"/>
      <c r="H30" s="437"/>
      <c r="I30" s="435"/>
      <c r="J30" s="435"/>
      <c r="K30" s="435"/>
    </row>
    <row r="31" spans="1:11" ht="16.5" thickBot="1">
      <c r="A31" s="436" t="s">
        <v>296</v>
      </c>
      <c r="B31" s="433">
        <v>7</v>
      </c>
      <c r="C31" s="210" t="s">
        <v>291</v>
      </c>
      <c r="D31" s="210">
        <v>0.08</v>
      </c>
      <c r="E31" s="433">
        <v>950</v>
      </c>
      <c r="F31" s="175">
        <v>0.5</v>
      </c>
      <c r="G31" s="433">
        <v>0.28999999999999998</v>
      </c>
      <c r="H31" s="436">
        <v>0.09</v>
      </c>
      <c r="I31" s="433">
        <v>0.05</v>
      </c>
      <c r="J31" s="433">
        <v>0.42</v>
      </c>
      <c r="K31" s="433">
        <v>8.5299999999999994</v>
      </c>
    </row>
    <row r="32" spans="1:11" ht="16.5" thickBot="1">
      <c r="A32" s="440"/>
      <c r="B32" s="435"/>
      <c r="C32" s="210" t="s">
        <v>292</v>
      </c>
      <c r="D32" s="210">
        <v>3.5999999999999997E-2</v>
      </c>
      <c r="E32" s="435"/>
      <c r="F32" s="175">
        <v>0.2</v>
      </c>
      <c r="G32" s="435"/>
      <c r="H32" s="437"/>
      <c r="I32" s="435"/>
      <c r="J32" s="435"/>
      <c r="K32" s="435"/>
    </row>
    <row r="33" spans="1:11" ht="16.5" thickBot="1">
      <c r="A33" s="440"/>
      <c r="B33" s="433">
        <v>41</v>
      </c>
      <c r="C33" s="210" t="s">
        <v>294</v>
      </c>
      <c r="D33" s="210">
        <v>0.06</v>
      </c>
      <c r="E33" s="433">
        <v>950</v>
      </c>
      <c r="F33" s="175">
        <v>2.2999999999999998</v>
      </c>
      <c r="G33" s="433">
        <v>2.06</v>
      </c>
      <c r="H33" s="436">
        <v>0.64</v>
      </c>
      <c r="I33" s="433">
        <v>0.35</v>
      </c>
      <c r="J33" s="433">
        <v>0.39</v>
      </c>
      <c r="K33" s="433">
        <v>1.1200000000000001</v>
      </c>
    </row>
    <row r="34" spans="1:11" ht="16.5" thickBot="1">
      <c r="A34" s="437"/>
      <c r="B34" s="435"/>
      <c r="C34" s="210" t="s">
        <v>292</v>
      </c>
      <c r="D34" s="210">
        <v>7.0000000000000001E-3</v>
      </c>
      <c r="E34" s="435"/>
      <c r="F34" s="175">
        <v>0.3</v>
      </c>
      <c r="G34" s="435"/>
      <c r="H34" s="437"/>
      <c r="I34" s="435"/>
      <c r="J34" s="435"/>
      <c r="K34" s="435"/>
    </row>
    <row r="35" spans="1:11" ht="16.5" thickBot="1">
      <c r="A35" s="444" t="s">
        <v>297</v>
      </c>
      <c r="B35" s="433">
        <v>12</v>
      </c>
      <c r="C35" s="210" t="s">
        <v>291</v>
      </c>
      <c r="D35" s="210">
        <v>0.08</v>
      </c>
      <c r="E35" s="433">
        <v>1200</v>
      </c>
      <c r="F35" s="175">
        <v>1.2</v>
      </c>
      <c r="G35" s="433">
        <v>0.63</v>
      </c>
      <c r="H35" s="436">
        <v>0.2</v>
      </c>
      <c r="I35" s="433">
        <v>0.11</v>
      </c>
      <c r="J35" s="433">
        <v>0.72</v>
      </c>
      <c r="K35" s="433">
        <v>6.75</v>
      </c>
    </row>
    <row r="36" spans="1:11" ht="16.5" thickBot="1">
      <c r="A36" s="445"/>
      <c r="B36" s="435"/>
      <c r="C36" s="210" t="s">
        <v>292</v>
      </c>
      <c r="D36" s="210">
        <v>3.5999999999999997E-2</v>
      </c>
      <c r="E36" s="435"/>
      <c r="F36" s="175">
        <v>0.5</v>
      </c>
      <c r="G36" s="435"/>
      <c r="H36" s="437"/>
      <c r="I36" s="435"/>
      <c r="J36" s="435"/>
      <c r="K36" s="435"/>
    </row>
    <row r="37" spans="1:11" ht="16.5" thickBot="1">
      <c r="A37" s="445"/>
      <c r="B37" s="433">
        <v>25</v>
      </c>
      <c r="C37" s="210" t="s">
        <v>294</v>
      </c>
      <c r="D37" s="210">
        <v>0.06</v>
      </c>
      <c r="E37" s="433">
        <v>1200</v>
      </c>
      <c r="F37" s="175">
        <v>1.8</v>
      </c>
      <c r="G37" s="433">
        <v>1.59</v>
      </c>
      <c r="H37" s="436">
        <v>0.49</v>
      </c>
      <c r="I37" s="433">
        <v>0.27</v>
      </c>
      <c r="J37" s="433">
        <v>0.24</v>
      </c>
      <c r="K37" s="433">
        <v>0.9</v>
      </c>
    </row>
    <row r="38" spans="1:11" ht="16.5" thickBot="1">
      <c r="A38" s="446"/>
      <c r="B38" s="435"/>
      <c r="C38" s="210" t="s">
        <v>292</v>
      </c>
      <c r="D38" s="210">
        <v>7.0000000000000001E-3</v>
      </c>
      <c r="E38" s="435"/>
      <c r="F38" s="175">
        <v>0.2</v>
      </c>
      <c r="G38" s="435"/>
      <c r="H38" s="437"/>
      <c r="I38" s="435"/>
      <c r="J38" s="435"/>
      <c r="K38" s="435"/>
    </row>
    <row r="39" spans="1:11" ht="16.5" thickBot="1">
      <c r="A39" s="441" t="s">
        <v>298</v>
      </c>
      <c r="B39" s="433">
        <v>2</v>
      </c>
      <c r="C39" s="210" t="s">
        <v>293</v>
      </c>
      <c r="D39" s="210">
        <v>0.25</v>
      </c>
      <c r="E39" s="433">
        <v>1200</v>
      </c>
      <c r="F39" s="175">
        <v>0.6</v>
      </c>
      <c r="G39" s="433">
        <v>0.41</v>
      </c>
      <c r="H39" s="436">
        <v>0.13</v>
      </c>
      <c r="I39" s="433">
        <v>7.0000000000000007E-2</v>
      </c>
      <c r="J39" s="433">
        <v>0.56000000000000005</v>
      </c>
      <c r="K39" s="433">
        <v>8.16</v>
      </c>
    </row>
    <row r="40" spans="1:11" ht="16.5" thickBot="1">
      <c r="A40" s="442"/>
      <c r="B40" s="435"/>
      <c r="C40" s="210" t="s">
        <v>292</v>
      </c>
      <c r="D40" s="210">
        <v>0.08</v>
      </c>
      <c r="E40" s="435"/>
      <c r="F40" s="175">
        <v>0.2</v>
      </c>
      <c r="G40" s="435"/>
      <c r="H40" s="437"/>
      <c r="I40" s="435"/>
      <c r="J40" s="435"/>
      <c r="K40" s="435"/>
    </row>
    <row r="41" spans="1:11" ht="16.5" thickBot="1">
      <c r="A41" s="442"/>
      <c r="B41" s="433">
        <v>35</v>
      </c>
      <c r="C41" s="210" t="s">
        <v>299</v>
      </c>
      <c r="D41" s="210">
        <v>0.06</v>
      </c>
      <c r="E41" s="433">
        <v>1200</v>
      </c>
      <c r="F41" s="175">
        <v>2.5</v>
      </c>
      <c r="G41" s="433">
        <v>2.23</v>
      </c>
      <c r="H41" s="436">
        <v>0.69</v>
      </c>
      <c r="I41" s="433">
        <v>0.37</v>
      </c>
      <c r="J41" s="433">
        <v>0.33</v>
      </c>
      <c r="K41" s="433">
        <v>0.88</v>
      </c>
    </row>
    <row r="42" spans="1:11" ht="16.5" thickBot="1">
      <c r="A42" s="443"/>
      <c r="B42" s="435"/>
      <c r="C42" s="210" t="s">
        <v>292</v>
      </c>
      <c r="D42" s="210">
        <v>7.0000000000000001E-3</v>
      </c>
      <c r="E42" s="435"/>
      <c r="F42" s="175">
        <v>0.3</v>
      </c>
      <c r="G42" s="435"/>
      <c r="H42" s="437"/>
      <c r="I42" s="435"/>
      <c r="J42" s="435"/>
      <c r="K42" s="435"/>
    </row>
    <row r="43" spans="1:11" ht="16.5" thickBot="1">
      <c r="A43" s="441" t="s">
        <v>300</v>
      </c>
      <c r="B43" s="433">
        <v>8</v>
      </c>
      <c r="C43" s="210" t="s">
        <v>293</v>
      </c>
      <c r="D43" s="210">
        <v>0.25</v>
      </c>
      <c r="E43" s="433">
        <v>2150</v>
      </c>
      <c r="F43" s="175">
        <v>4.3</v>
      </c>
      <c r="G43" s="433">
        <v>2.92</v>
      </c>
      <c r="H43" s="436">
        <v>0.9</v>
      </c>
      <c r="I43" s="433">
        <v>0.49</v>
      </c>
      <c r="J43" s="433">
        <v>2.23</v>
      </c>
      <c r="K43" s="433">
        <v>4.5599999999999996</v>
      </c>
    </row>
    <row r="44" spans="1:11" ht="16.5" thickBot="1">
      <c r="A44" s="442"/>
      <c r="B44" s="435"/>
      <c r="C44" s="210" t="s">
        <v>292</v>
      </c>
      <c r="D44" s="210">
        <v>0.08</v>
      </c>
      <c r="E44" s="435"/>
      <c r="F44" s="175">
        <v>1.4</v>
      </c>
      <c r="G44" s="435"/>
      <c r="H44" s="437"/>
      <c r="I44" s="435"/>
      <c r="J44" s="435"/>
      <c r="K44" s="435"/>
    </row>
    <row r="45" spans="1:11" ht="16.5" thickBot="1">
      <c r="A45" s="442"/>
      <c r="B45" s="433">
        <v>38</v>
      </c>
      <c r="C45" s="210" t="s">
        <v>294</v>
      </c>
      <c r="D45" s="210">
        <v>0.06</v>
      </c>
      <c r="E45" s="433">
        <v>2150</v>
      </c>
      <c r="F45" s="175">
        <v>4.9000000000000004</v>
      </c>
      <c r="G45" s="433">
        <v>4.33</v>
      </c>
      <c r="H45" s="436">
        <v>1.34</v>
      </c>
      <c r="I45" s="433">
        <v>0.72</v>
      </c>
      <c r="J45" s="433">
        <v>0.36</v>
      </c>
      <c r="K45" s="433">
        <v>0.49</v>
      </c>
    </row>
    <row r="46" spans="1:11" ht="16.5" thickBot="1">
      <c r="A46" s="443"/>
      <c r="B46" s="435"/>
      <c r="C46" s="210" t="s">
        <v>292</v>
      </c>
      <c r="D46" s="210">
        <v>7.0000000000000001E-3</v>
      </c>
      <c r="E46" s="435"/>
      <c r="F46" s="175">
        <v>0.6</v>
      </c>
      <c r="G46" s="435"/>
      <c r="H46" s="437"/>
      <c r="I46" s="435"/>
      <c r="J46" s="435"/>
      <c r="K46" s="435"/>
    </row>
    <row r="47" spans="1:11" ht="16.5" thickBot="1">
      <c r="A47" s="441" t="s">
        <v>301</v>
      </c>
      <c r="B47" s="433">
        <v>12</v>
      </c>
      <c r="C47" s="210" t="s">
        <v>293</v>
      </c>
      <c r="D47" s="210">
        <v>0.25</v>
      </c>
      <c r="E47" s="433">
        <v>1200</v>
      </c>
      <c r="F47" s="175">
        <v>3.6</v>
      </c>
      <c r="G47" s="433">
        <v>2.4500000000000002</v>
      </c>
      <c r="H47" s="436">
        <v>0.76</v>
      </c>
      <c r="I47" s="433">
        <v>0.41</v>
      </c>
      <c r="J47" s="433">
        <v>3.34</v>
      </c>
      <c r="K47" s="433">
        <v>8.16</v>
      </c>
    </row>
    <row r="48" spans="1:11" ht="16.5" thickBot="1">
      <c r="A48" s="442"/>
      <c r="B48" s="435"/>
      <c r="C48" s="210" t="s">
        <v>292</v>
      </c>
      <c r="D48" s="210">
        <v>0.08</v>
      </c>
      <c r="E48" s="435"/>
      <c r="F48" s="175">
        <v>1.2</v>
      </c>
      <c r="G48" s="435"/>
      <c r="H48" s="437"/>
      <c r="I48" s="435"/>
      <c r="J48" s="435"/>
      <c r="K48" s="435"/>
    </row>
    <row r="49" spans="1:11" ht="16.5" thickBot="1">
      <c r="A49" s="442"/>
      <c r="B49" s="433">
        <v>45</v>
      </c>
      <c r="C49" s="210" t="s">
        <v>294</v>
      </c>
      <c r="D49" s="210">
        <v>0.06</v>
      </c>
      <c r="E49" s="433">
        <v>1200</v>
      </c>
      <c r="F49" s="175">
        <v>3.2</v>
      </c>
      <c r="G49" s="433">
        <v>2.86</v>
      </c>
      <c r="H49" s="436">
        <v>0.88</v>
      </c>
      <c r="I49" s="433">
        <v>0.48</v>
      </c>
      <c r="J49" s="433">
        <v>0.42</v>
      </c>
      <c r="K49" s="433">
        <v>0.88</v>
      </c>
    </row>
    <row r="50" spans="1:11" ht="16.5" thickBot="1">
      <c r="A50" s="443"/>
      <c r="B50" s="435"/>
      <c r="C50" s="210" t="s">
        <v>292</v>
      </c>
      <c r="D50" s="210">
        <v>7.0000000000000001E-3</v>
      </c>
      <c r="E50" s="435"/>
      <c r="F50" s="175">
        <v>0.4</v>
      </c>
      <c r="G50" s="435"/>
      <c r="H50" s="437"/>
      <c r="I50" s="435"/>
      <c r="J50" s="435"/>
      <c r="K50" s="435"/>
    </row>
  </sheetData>
  <mergeCells count="145">
    <mergeCell ref="K43:K44"/>
    <mergeCell ref="B45:B46"/>
    <mergeCell ref="E45:E46"/>
    <mergeCell ref="G45:G46"/>
    <mergeCell ref="H45:H46"/>
    <mergeCell ref="I45:I46"/>
    <mergeCell ref="J45:J46"/>
    <mergeCell ref="A47:A50"/>
    <mergeCell ref="B47:B48"/>
    <mergeCell ref="E47:E48"/>
    <mergeCell ref="G47:G48"/>
    <mergeCell ref="H47:H48"/>
    <mergeCell ref="A43:A46"/>
    <mergeCell ref="B43:B44"/>
    <mergeCell ref="E43:E44"/>
    <mergeCell ref="G43:G44"/>
    <mergeCell ref="H43:H44"/>
    <mergeCell ref="B49:B50"/>
    <mergeCell ref="K41:K42"/>
    <mergeCell ref="E33:E34"/>
    <mergeCell ref="G33:G34"/>
    <mergeCell ref="H33:H34"/>
    <mergeCell ref="I33:I34"/>
    <mergeCell ref="J33:J34"/>
    <mergeCell ref="K33:K34"/>
    <mergeCell ref="K45:K46"/>
    <mergeCell ref="E49:E50"/>
    <mergeCell ref="G49:G50"/>
    <mergeCell ref="H49:H50"/>
    <mergeCell ref="I49:I50"/>
    <mergeCell ref="J49:J50"/>
    <mergeCell ref="G35:G36"/>
    <mergeCell ref="H35:H36"/>
    <mergeCell ref="I39:I40"/>
    <mergeCell ref="J39:J40"/>
    <mergeCell ref="K39:K40"/>
    <mergeCell ref="K49:K50"/>
    <mergeCell ref="I47:I48"/>
    <mergeCell ref="J47:J48"/>
    <mergeCell ref="K47:K48"/>
    <mergeCell ref="I43:I44"/>
    <mergeCell ref="J43:J44"/>
    <mergeCell ref="A39:A42"/>
    <mergeCell ref="B39:B40"/>
    <mergeCell ref="E39:E40"/>
    <mergeCell ref="G39:G40"/>
    <mergeCell ref="H39:H40"/>
    <mergeCell ref="I35:I36"/>
    <mergeCell ref="J35:J36"/>
    <mergeCell ref="K35:K36"/>
    <mergeCell ref="B37:B38"/>
    <mergeCell ref="E37:E38"/>
    <mergeCell ref="G37:G38"/>
    <mergeCell ref="H37:H38"/>
    <mergeCell ref="I37:I38"/>
    <mergeCell ref="J37:J38"/>
    <mergeCell ref="K37:K38"/>
    <mergeCell ref="A35:A38"/>
    <mergeCell ref="B35:B36"/>
    <mergeCell ref="E35:E36"/>
    <mergeCell ref="B41:B42"/>
    <mergeCell ref="E41:E42"/>
    <mergeCell ref="G41:G42"/>
    <mergeCell ref="H41:H42"/>
    <mergeCell ref="I41:I42"/>
    <mergeCell ref="J41:J42"/>
    <mergeCell ref="A31:A34"/>
    <mergeCell ref="B31:B32"/>
    <mergeCell ref="E31:E32"/>
    <mergeCell ref="G31:G32"/>
    <mergeCell ref="H31:H32"/>
    <mergeCell ref="I27:I28"/>
    <mergeCell ref="J27:J28"/>
    <mergeCell ref="K27:K28"/>
    <mergeCell ref="B29:B30"/>
    <mergeCell ref="E29:E30"/>
    <mergeCell ref="G29:G30"/>
    <mergeCell ref="H29:H30"/>
    <mergeCell ref="I29:I30"/>
    <mergeCell ref="J29:J30"/>
    <mergeCell ref="K29:K30"/>
    <mergeCell ref="A23:A30"/>
    <mergeCell ref="B27:B28"/>
    <mergeCell ref="E27:E28"/>
    <mergeCell ref="G27:G28"/>
    <mergeCell ref="H27:H28"/>
    <mergeCell ref="I31:I32"/>
    <mergeCell ref="J31:J32"/>
    <mergeCell ref="K31:K32"/>
    <mergeCell ref="B33:B34"/>
    <mergeCell ref="B25:B26"/>
    <mergeCell ref="E25:E26"/>
    <mergeCell ref="G25:G26"/>
    <mergeCell ref="H25:H26"/>
    <mergeCell ref="I25:I26"/>
    <mergeCell ref="J25:J26"/>
    <mergeCell ref="K25:K26"/>
    <mergeCell ref="B23:B24"/>
    <mergeCell ref="E23:E24"/>
    <mergeCell ref="G23:G24"/>
    <mergeCell ref="H23:H24"/>
    <mergeCell ref="B21:B22"/>
    <mergeCell ref="E21:E22"/>
    <mergeCell ref="G21:G22"/>
    <mergeCell ref="H21:H22"/>
    <mergeCell ref="I21:I22"/>
    <mergeCell ref="J21:J22"/>
    <mergeCell ref="K21:K22"/>
    <mergeCell ref="I23:I24"/>
    <mergeCell ref="J23:J24"/>
    <mergeCell ref="K23:K24"/>
    <mergeCell ref="F15:F16"/>
    <mergeCell ref="G15:I15"/>
    <mergeCell ref="J15:J16"/>
    <mergeCell ref="K15:K16"/>
    <mergeCell ref="A17:A22"/>
    <mergeCell ref="B17:B18"/>
    <mergeCell ref="E17:E18"/>
    <mergeCell ref="G17:G18"/>
    <mergeCell ref="H17:H18"/>
    <mergeCell ref="I17:I18"/>
    <mergeCell ref="J17:J18"/>
    <mergeCell ref="K17:K18"/>
    <mergeCell ref="B19:B20"/>
    <mergeCell ref="E19:E20"/>
    <mergeCell ref="G19:G20"/>
    <mergeCell ref="H19:H20"/>
    <mergeCell ref="A15:A16"/>
    <mergeCell ref="B15:B16"/>
    <mergeCell ref="C15:C16"/>
    <mergeCell ref="D15:D16"/>
    <mergeCell ref="E15:E16"/>
    <mergeCell ref="I19:I20"/>
    <mergeCell ref="J19:J20"/>
    <mergeCell ref="K19:K20"/>
    <mergeCell ref="J3:J4"/>
    <mergeCell ref="A5:J5"/>
    <mergeCell ref="A9:J9"/>
    <mergeCell ref="N10:P10"/>
    <mergeCell ref="A3:A4"/>
    <mergeCell ref="B3:B4"/>
    <mergeCell ref="C3:C4"/>
    <mergeCell ref="D3:E3"/>
    <mergeCell ref="F3:H3"/>
    <mergeCell ref="I3:I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2:P19"/>
  <sheetViews>
    <sheetView zoomScale="90" zoomScaleNormal="90" zoomScaleSheetLayoutView="90" workbookViewId="0">
      <selection activeCell="F16" sqref="F16:J16"/>
    </sheetView>
  </sheetViews>
  <sheetFormatPr defaultRowHeight="15.75"/>
  <cols>
    <col min="1" max="1" width="36.42578125" style="181" customWidth="1"/>
    <col min="2" max="2" width="6.7109375" style="181" customWidth="1"/>
    <col min="3" max="3" width="9.85546875" style="181" customWidth="1"/>
    <col min="4" max="4" width="9.140625" style="181" customWidth="1"/>
    <col min="5" max="5" width="5.85546875" style="181" customWidth="1"/>
    <col min="6" max="6" width="6.42578125" style="181" customWidth="1"/>
    <col min="7" max="7" width="6.28515625" style="181" customWidth="1"/>
    <col min="8" max="8" width="4.7109375" style="181" customWidth="1"/>
    <col min="9" max="9" width="5.5703125" style="181" customWidth="1"/>
    <col min="10" max="10" width="9.140625" style="181"/>
    <col min="11" max="11" width="15.85546875" style="181" customWidth="1"/>
    <col min="12" max="12" width="16.85546875" style="181" customWidth="1"/>
    <col min="13" max="13" width="15.42578125" style="181" customWidth="1"/>
    <col min="14" max="14" width="13.42578125" style="181" customWidth="1"/>
    <col min="15" max="16384" width="9.140625" style="181"/>
  </cols>
  <sheetData>
    <row r="2" spans="1:16">
      <c r="A2" s="180" t="s">
        <v>238</v>
      </c>
      <c r="B2" s="181">
        <v>210</v>
      </c>
      <c r="C2" s="181">
        <v>2.38</v>
      </c>
      <c r="F2" s="181">
        <f>0.16636*1.0937</f>
        <v>0.18194793199999998</v>
      </c>
    </row>
    <row r="4" spans="1:16" ht="114.75" customHeight="1">
      <c r="A4" s="452" t="s">
        <v>239</v>
      </c>
      <c r="B4" s="447" t="s">
        <v>240</v>
      </c>
      <c r="C4" s="447" t="s">
        <v>241</v>
      </c>
      <c r="D4" s="447" t="s">
        <v>242</v>
      </c>
      <c r="E4" s="453" t="s">
        <v>41</v>
      </c>
      <c r="F4" s="453"/>
      <c r="G4" s="453"/>
      <c r="H4" s="447" t="s">
        <v>48</v>
      </c>
      <c r="I4" s="447" t="s">
        <v>9</v>
      </c>
      <c r="K4" s="448" t="s">
        <v>243</v>
      </c>
      <c r="L4" s="448"/>
      <c r="M4" s="448"/>
      <c r="N4" s="448"/>
      <c r="O4" s="448"/>
      <c r="P4" s="182"/>
    </row>
    <row r="5" spans="1:16" ht="111.75" customHeight="1">
      <c r="A5" s="452"/>
      <c r="B5" s="447"/>
      <c r="C5" s="447"/>
      <c r="D5" s="447"/>
      <c r="E5" s="183" t="s">
        <v>24</v>
      </c>
      <c r="F5" s="183" t="s">
        <v>30</v>
      </c>
      <c r="G5" s="183" t="s">
        <v>31</v>
      </c>
      <c r="H5" s="447"/>
      <c r="I5" s="447"/>
      <c r="J5" s="184"/>
      <c r="K5" s="185" t="s">
        <v>244</v>
      </c>
      <c r="L5" s="185" t="s">
        <v>45</v>
      </c>
      <c r="M5" s="185" t="s">
        <v>245</v>
      </c>
      <c r="N5" s="185" t="s">
        <v>46</v>
      </c>
      <c r="O5" s="186" t="s">
        <v>47</v>
      </c>
      <c r="P5" s="182"/>
    </row>
    <row r="6" spans="1:16" ht="30" customHeight="1">
      <c r="A6" s="187" t="s">
        <v>246</v>
      </c>
      <c r="B6" s="108">
        <v>110.8</v>
      </c>
      <c r="C6" s="188">
        <f>B6*0.02</f>
        <v>2.2160000000000002</v>
      </c>
      <c r="D6" s="188">
        <f>B6*0.12</f>
        <v>13.295999999999999</v>
      </c>
      <c r="E6" s="188">
        <f>C6+D6</f>
        <v>15.512</v>
      </c>
      <c r="F6" s="188">
        <f>E6*$F$2</f>
        <v>2.8223763211839996</v>
      </c>
      <c r="G6" s="188">
        <f>F6*$B$2*$C$2/1000</f>
        <v>1.4106236853277627</v>
      </c>
      <c r="H6" s="188">
        <f>O6</f>
        <v>12.789000000000001</v>
      </c>
      <c r="I6" s="188">
        <f>H6/G6</f>
        <v>9.0662025124216168</v>
      </c>
      <c r="J6" s="184"/>
      <c r="K6" s="189">
        <v>9.8000000000000007</v>
      </c>
      <c r="L6" s="189">
        <f t="shared" ref="L6" si="0">M6*0.1</f>
        <v>0.24500000000000002</v>
      </c>
      <c r="M6" s="189">
        <f t="shared" ref="M6" si="1">K6*0.25</f>
        <v>2.4500000000000002</v>
      </c>
      <c r="N6" s="189">
        <f t="shared" ref="N6" si="2">K6*0.03</f>
        <v>0.29399999999999998</v>
      </c>
      <c r="O6" s="189">
        <f>SUM(K6:N6)</f>
        <v>12.789000000000001</v>
      </c>
      <c r="P6" s="190"/>
    </row>
    <row r="7" spans="1:16">
      <c r="A7" s="449" t="s">
        <v>37</v>
      </c>
      <c r="B7" s="450"/>
      <c r="C7" s="450"/>
      <c r="D7" s="451"/>
      <c r="E7" s="191">
        <f>SUM(E6:E6)</f>
        <v>15.512</v>
      </c>
      <c r="F7" s="191">
        <f>SUM(F6:F6)</f>
        <v>2.8223763211839996</v>
      </c>
      <c r="G7" s="191">
        <f>SUM(G6:G6)</f>
        <v>1.4106236853277627</v>
      </c>
      <c r="H7" s="191">
        <f>SUM(H6:H6)</f>
        <v>12.789000000000001</v>
      </c>
      <c r="I7" s="192">
        <f>H7/G7</f>
        <v>9.0662025124216168</v>
      </c>
    </row>
    <row r="8" spans="1:16">
      <c r="A8" s="193"/>
    </row>
    <row r="9" spans="1:16" ht="16.5" thickBot="1">
      <c r="A9" s="193"/>
    </row>
    <row r="10" spans="1:16" ht="38.25" customHeight="1" thickBot="1">
      <c r="A10" s="454" t="s">
        <v>283</v>
      </c>
      <c r="B10" s="454" t="s">
        <v>58</v>
      </c>
      <c r="C10" s="454" t="s">
        <v>258</v>
      </c>
      <c r="D10" s="459" t="s">
        <v>60</v>
      </c>
      <c r="E10" s="460"/>
      <c r="F10" s="459" t="s">
        <v>41</v>
      </c>
      <c r="G10" s="461"/>
      <c r="H10" s="460"/>
      <c r="I10" s="454" t="s">
        <v>42</v>
      </c>
      <c r="J10" s="454" t="s">
        <v>9</v>
      </c>
    </row>
    <row r="11" spans="1:16" ht="43.5" thickBot="1">
      <c r="A11" s="455"/>
      <c r="B11" s="455"/>
      <c r="C11" s="455"/>
      <c r="D11" s="215" t="s">
        <v>43</v>
      </c>
      <c r="E11" s="215" t="s">
        <v>44</v>
      </c>
      <c r="F11" s="216" t="s">
        <v>24</v>
      </c>
      <c r="G11" s="216" t="s">
        <v>30</v>
      </c>
      <c r="H11" s="216" t="s">
        <v>31</v>
      </c>
      <c r="I11" s="455"/>
      <c r="J11" s="455"/>
    </row>
    <row r="12" spans="1:16" ht="16.5" thickBot="1">
      <c r="A12" s="456" t="s">
        <v>284</v>
      </c>
      <c r="B12" s="457"/>
      <c r="C12" s="457"/>
      <c r="D12" s="457"/>
      <c r="E12" s="457"/>
      <c r="F12" s="457"/>
      <c r="G12" s="457"/>
      <c r="H12" s="457"/>
      <c r="I12" s="457"/>
      <c r="J12" s="458"/>
    </row>
    <row r="13" spans="1:16" ht="16.5" thickBot="1">
      <c r="A13" s="217">
        <v>115</v>
      </c>
      <c r="B13" s="215">
        <v>8760</v>
      </c>
      <c r="C13" s="215">
        <v>16</v>
      </c>
      <c r="D13" s="215">
        <v>55</v>
      </c>
      <c r="E13" s="215">
        <v>45</v>
      </c>
      <c r="F13" s="215">
        <v>108.2</v>
      </c>
      <c r="G13" s="215">
        <v>19.7</v>
      </c>
      <c r="H13" s="215">
        <v>10.6</v>
      </c>
      <c r="I13" s="215">
        <v>5.5</v>
      </c>
      <c r="J13" s="215">
        <v>0.5</v>
      </c>
    </row>
    <row r="14" spans="1:16" ht="16.5" thickBot="1">
      <c r="A14" s="456" t="s">
        <v>285</v>
      </c>
      <c r="B14" s="457"/>
      <c r="C14" s="457"/>
      <c r="D14" s="457"/>
      <c r="E14" s="457"/>
      <c r="F14" s="457"/>
      <c r="G14" s="457"/>
      <c r="H14" s="457"/>
      <c r="I14" s="457"/>
      <c r="J14" s="458"/>
    </row>
    <row r="15" spans="1:16" ht="16.5" thickBot="1">
      <c r="A15" s="217">
        <v>45</v>
      </c>
      <c r="B15" s="215">
        <v>8760</v>
      </c>
      <c r="C15" s="215">
        <v>5.3</v>
      </c>
      <c r="D15" s="215">
        <v>50</v>
      </c>
      <c r="E15" s="215">
        <v>35</v>
      </c>
      <c r="F15" s="215">
        <v>62</v>
      </c>
      <c r="G15" s="215">
        <v>11.3</v>
      </c>
      <c r="H15" s="215">
        <v>5.9</v>
      </c>
      <c r="I15" s="215">
        <v>3.5</v>
      </c>
      <c r="J15" s="215">
        <v>0.6</v>
      </c>
    </row>
    <row r="16" spans="1:16">
      <c r="A16" s="193"/>
      <c r="F16" s="181">
        <f>F13+F15</f>
        <v>170.2</v>
      </c>
      <c r="G16" s="181">
        <f>G13+G15</f>
        <v>31</v>
      </c>
      <c r="H16" s="181">
        <f>H13+H15</f>
        <v>16.5</v>
      </c>
      <c r="I16" s="181">
        <f>I13+I15</f>
        <v>9</v>
      </c>
      <c r="J16" s="181">
        <f>I16/H16</f>
        <v>0.54545454545454541</v>
      </c>
    </row>
    <row r="17" spans="1:1">
      <c r="A17" s="193"/>
    </row>
    <row r="18" spans="1:1">
      <c r="A18" s="193"/>
    </row>
    <row r="19" spans="1:1">
      <c r="A19" s="193"/>
    </row>
  </sheetData>
  <mergeCells count="18">
    <mergeCell ref="I10:I11"/>
    <mergeCell ref="J10:J11"/>
    <mergeCell ref="A12:J12"/>
    <mergeCell ref="A14:J14"/>
    <mergeCell ref="A10:A11"/>
    <mergeCell ref="B10:B11"/>
    <mergeCell ref="C10:C11"/>
    <mergeCell ref="D10:E10"/>
    <mergeCell ref="F10:H10"/>
    <mergeCell ref="I4:I5"/>
    <mergeCell ref="K4:O4"/>
    <mergeCell ref="A7:D7"/>
    <mergeCell ref="A4:A5"/>
    <mergeCell ref="B4:B5"/>
    <mergeCell ref="C4:C5"/>
    <mergeCell ref="D4:D5"/>
    <mergeCell ref="E4:G4"/>
    <mergeCell ref="H4:H5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28"/>
  <sheetViews>
    <sheetView topLeftCell="A4" workbookViewId="0">
      <selection activeCell="C16" sqref="C16"/>
    </sheetView>
  </sheetViews>
  <sheetFormatPr defaultRowHeight="12.75"/>
  <cols>
    <col min="1" max="1" width="26" customWidth="1"/>
    <col min="2" max="2" width="27.42578125" customWidth="1"/>
    <col min="3" max="3" width="25.140625" customWidth="1"/>
    <col min="4" max="4" width="23.140625" hidden="1" customWidth="1"/>
    <col min="5" max="5" width="22.42578125" hidden="1" customWidth="1"/>
    <col min="6" max="6" width="22.28515625" hidden="1" customWidth="1"/>
    <col min="7" max="7" width="26.7109375" customWidth="1"/>
    <col min="8" max="8" width="16.85546875" customWidth="1"/>
    <col min="9" max="10" width="13.140625" bestFit="1" customWidth="1"/>
    <col min="12" max="12" width="13.140625" bestFit="1" customWidth="1"/>
  </cols>
  <sheetData>
    <row r="1" spans="1:12" ht="82.5" customHeight="1" thickBot="1">
      <c r="A1" s="433" t="s">
        <v>226</v>
      </c>
      <c r="B1" s="433" t="s">
        <v>227</v>
      </c>
      <c r="C1" s="433" t="s">
        <v>228</v>
      </c>
      <c r="D1" s="433" t="s">
        <v>229</v>
      </c>
      <c r="E1" s="433" t="s">
        <v>230</v>
      </c>
      <c r="F1" s="433" t="s">
        <v>231</v>
      </c>
      <c r="G1" s="433" t="s">
        <v>232</v>
      </c>
      <c r="H1" s="433" t="s">
        <v>233</v>
      </c>
      <c r="I1" s="372" t="s">
        <v>41</v>
      </c>
      <c r="J1" s="374"/>
      <c r="K1" s="433" t="s">
        <v>48</v>
      </c>
      <c r="L1" s="433" t="s">
        <v>9</v>
      </c>
    </row>
    <row r="2" spans="1:12" ht="16.5" thickBot="1">
      <c r="A2" s="435"/>
      <c r="B2" s="435"/>
      <c r="C2" s="435"/>
      <c r="D2" s="435"/>
      <c r="E2" s="435"/>
      <c r="F2" s="435"/>
      <c r="G2" s="435"/>
      <c r="H2" s="435"/>
      <c r="I2" s="175" t="s">
        <v>30</v>
      </c>
      <c r="J2" s="175" t="s">
        <v>31</v>
      </c>
      <c r="K2" s="435"/>
      <c r="L2" s="435"/>
    </row>
    <row r="3" spans="1:12" ht="32.25" thickBot="1">
      <c r="A3" s="174" t="s">
        <v>234</v>
      </c>
      <c r="B3" s="175">
        <v>201.1</v>
      </c>
      <c r="C3" s="175">
        <v>82</v>
      </c>
      <c r="D3" s="175">
        <v>0.5</v>
      </c>
      <c r="E3" s="175">
        <v>3.5</v>
      </c>
      <c r="F3" s="175">
        <v>1</v>
      </c>
      <c r="G3" s="176">
        <f>142.76/(C3/100)</f>
        <v>174.09756097560975</v>
      </c>
      <c r="H3" s="175">
        <f>0.02*4920</f>
        <v>98.4</v>
      </c>
      <c r="I3" s="176">
        <f>H3*(B3-G3)*10^-3</f>
        <v>2.6570399999999998</v>
      </c>
      <c r="J3" s="176">
        <f>I3*210*2.38/1000</f>
        <v>1.3279885919999999</v>
      </c>
      <c r="K3" s="176">
        <f>B12</f>
        <v>3.2625000000000002</v>
      </c>
      <c r="L3" s="176">
        <f>K3/J3</f>
        <v>2.4567229113666968</v>
      </c>
    </row>
    <row r="4" spans="1:12" ht="16.5" thickBot="1">
      <c r="G4" s="176"/>
    </row>
    <row r="5" spans="1:12" ht="16.5" thickBot="1">
      <c r="G5" s="176">
        <f>142.76/(71/100)</f>
        <v>201.07042253521126</v>
      </c>
    </row>
    <row r="7" spans="1:12">
      <c r="A7" s="88" t="s">
        <v>97</v>
      </c>
      <c r="B7" s="88" t="s">
        <v>98</v>
      </c>
    </row>
    <row r="8" spans="1:12">
      <c r="A8" s="90" t="s">
        <v>237</v>
      </c>
      <c r="B8" s="204">
        <f>2500/1000</f>
        <v>2.5</v>
      </c>
    </row>
    <row r="9" spans="1:12">
      <c r="A9" s="95" t="s">
        <v>45</v>
      </c>
      <c r="B9" s="204">
        <f>B10*0.1</f>
        <v>6.25E-2</v>
      </c>
      <c r="H9" s="179">
        <f>0.00086*25</f>
        <v>2.1499999999999998E-2</v>
      </c>
    </row>
    <row r="10" spans="1:12">
      <c r="A10" s="95" t="s">
        <v>101</v>
      </c>
      <c r="B10" s="204">
        <f>SUM(B8:B8)*0.25</f>
        <v>0.625</v>
      </c>
    </row>
    <row r="11" spans="1:12">
      <c r="A11" s="95" t="s">
        <v>46</v>
      </c>
      <c r="B11" s="204">
        <f>SUM(B8:B8)*0.03</f>
        <v>7.4999999999999997E-2</v>
      </c>
    </row>
    <row r="12" spans="1:12">
      <c r="A12" s="88" t="s">
        <v>47</v>
      </c>
      <c r="B12" s="97">
        <f>SUM(B8:B11)</f>
        <v>3.2625000000000002</v>
      </c>
    </row>
    <row r="20" spans="1:3" ht="13.5" thickBot="1"/>
    <row r="21" spans="1:3" ht="16.5" thickBot="1">
      <c r="A21" s="430" t="s">
        <v>122</v>
      </c>
      <c r="B21" s="432"/>
      <c r="C21" s="213" t="s">
        <v>243</v>
      </c>
    </row>
    <row r="22" spans="1:3" ht="31.5" customHeight="1" thickBot="1">
      <c r="A22" s="464" t="s">
        <v>281</v>
      </c>
      <c r="B22" s="465"/>
      <c r="C22" s="175">
        <v>62.2</v>
      </c>
    </row>
    <row r="23" spans="1:3" ht="31.5" customHeight="1" thickBot="1">
      <c r="A23" s="464" t="s">
        <v>282</v>
      </c>
      <c r="B23" s="465"/>
      <c r="C23" s="175">
        <v>23.3</v>
      </c>
    </row>
    <row r="24" spans="1:3" ht="16.5" thickBot="1">
      <c r="A24" s="466" t="s">
        <v>41</v>
      </c>
      <c r="B24" s="214" t="s">
        <v>49</v>
      </c>
      <c r="C24" s="175">
        <v>85.5</v>
      </c>
    </row>
    <row r="25" spans="1:3" ht="16.5" thickBot="1">
      <c r="A25" s="467"/>
      <c r="B25" s="214" t="s">
        <v>30</v>
      </c>
      <c r="C25" s="175">
        <v>26.4</v>
      </c>
    </row>
    <row r="26" spans="1:3" ht="16.5" thickBot="1">
      <c r="A26" s="468"/>
      <c r="B26" s="214" t="s">
        <v>31</v>
      </c>
      <c r="C26" s="175">
        <v>14.3</v>
      </c>
    </row>
    <row r="27" spans="1:3" ht="16.5" thickBot="1">
      <c r="A27" s="462" t="s">
        <v>42</v>
      </c>
      <c r="B27" s="463"/>
      <c r="C27" s="175">
        <v>64.400000000000006</v>
      </c>
    </row>
    <row r="28" spans="1:3" ht="16.5" thickBot="1">
      <c r="A28" s="462" t="s">
        <v>9</v>
      </c>
      <c r="B28" s="463"/>
      <c r="C28" s="175">
        <v>4.5</v>
      </c>
    </row>
  </sheetData>
  <mergeCells count="17">
    <mergeCell ref="A28:B28"/>
    <mergeCell ref="A21:B21"/>
    <mergeCell ref="A22:B22"/>
    <mergeCell ref="A23:B23"/>
    <mergeCell ref="A24:A26"/>
    <mergeCell ref="A27:B27"/>
    <mergeCell ref="F1:F2"/>
    <mergeCell ref="A1:A2"/>
    <mergeCell ref="B1:B2"/>
    <mergeCell ref="C1:C2"/>
    <mergeCell ref="D1:D2"/>
    <mergeCell ref="E1:E2"/>
    <mergeCell ref="G1:G2"/>
    <mergeCell ref="H1:H2"/>
    <mergeCell ref="I1:J1"/>
    <mergeCell ref="K1:K2"/>
    <mergeCell ref="L1:L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2:L26"/>
  <sheetViews>
    <sheetView topLeftCell="B16" workbookViewId="0">
      <selection activeCell="H26" sqref="H26:L26"/>
    </sheetView>
  </sheetViews>
  <sheetFormatPr defaultRowHeight="12.75"/>
  <cols>
    <col min="1" max="1" width="46" customWidth="1"/>
    <col min="4" max="4" width="12.85546875" customWidth="1"/>
    <col min="12" max="12" width="9.5703125" bestFit="1" customWidth="1"/>
  </cols>
  <sheetData>
    <row r="2" spans="1:12" ht="65.25" customHeight="1">
      <c r="A2" s="375" t="s">
        <v>122</v>
      </c>
      <c r="B2" s="469" t="s">
        <v>51</v>
      </c>
      <c r="C2" s="470"/>
      <c r="D2" s="375" t="s">
        <v>50</v>
      </c>
      <c r="E2" s="375" t="s">
        <v>52</v>
      </c>
      <c r="F2" s="375" t="s">
        <v>53</v>
      </c>
      <c r="G2" s="375"/>
      <c r="H2" s="375" t="s">
        <v>41</v>
      </c>
      <c r="I2" s="375"/>
      <c r="J2" s="375"/>
      <c r="K2" s="375" t="s">
        <v>48</v>
      </c>
      <c r="L2" s="375" t="s">
        <v>9</v>
      </c>
    </row>
    <row r="3" spans="1:12" ht="31.5">
      <c r="A3" s="375"/>
      <c r="B3" s="17" t="s">
        <v>54</v>
      </c>
      <c r="C3" s="17" t="s">
        <v>55</v>
      </c>
      <c r="D3" s="375"/>
      <c r="E3" s="375"/>
      <c r="F3" s="17" t="s">
        <v>54</v>
      </c>
      <c r="G3" s="17" t="s">
        <v>55</v>
      </c>
      <c r="H3" s="17" t="s">
        <v>49</v>
      </c>
      <c r="I3" s="17" t="s">
        <v>30</v>
      </c>
      <c r="J3" s="17" t="s">
        <v>31</v>
      </c>
      <c r="K3" s="375"/>
      <c r="L3" s="375"/>
    </row>
    <row r="4" spans="1:12" ht="15.75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</row>
    <row r="5" spans="1:12" ht="15.75">
      <c r="A5" s="16" t="s">
        <v>235</v>
      </c>
      <c r="B5" s="62">
        <v>96</v>
      </c>
      <c r="C5" s="17">
        <v>30</v>
      </c>
      <c r="D5" s="17">
        <v>0.5</v>
      </c>
      <c r="E5" s="17">
        <v>2190</v>
      </c>
      <c r="F5" s="62">
        <f>((B5*D5*E5)/1000)</f>
        <v>105.12</v>
      </c>
      <c r="G5" s="62">
        <f>((C5*D5*E5)/1000)</f>
        <v>32.85</v>
      </c>
      <c r="H5" s="62">
        <f>F5-G5</f>
        <v>72.27000000000001</v>
      </c>
      <c r="I5" s="177">
        <f>H5*1.0769*0.2871</f>
        <v>22.344293337300005</v>
      </c>
      <c r="J5" s="62">
        <f>(I5*210*2.38)/1000</f>
        <v>11.167677809982543</v>
      </c>
      <c r="K5" s="62">
        <f>B17</f>
        <v>6.6085199999999995</v>
      </c>
      <c r="L5" s="62">
        <f>K5/J5</f>
        <v>0.59175417776583672</v>
      </c>
    </row>
    <row r="6" spans="1:12" ht="15.75">
      <c r="A6" s="16" t="s">
        <v>236</v>
      </c>
      <c r="B6" s="62">
        <v>96</v>
      </c>
      <c r="C6" s="17">
        <v>30</v>
      </c>
      <c r="D6" s="17">
        <v>0.5</v>
      </c>
      <c r="E6" s="17">
        <v>2190</v>
      </c>
      <c r="F6" s="62">
        <f>((B6*D6*E6)/1000)</f>
        <v>105.12</v>
      </c>
      <c r="G6" s="62">
        <f>((C6*D6*E6)/1000)</f>
        <v>32.85</v>
      </c>
      <c r="H6" s="62">
        <f>F6-G6</f>
        <v>72.27000000000001</v>
      </c>
      <c r="I6" s="177">
        <f>H6*1.0769*0.2871</f>
        <v>22.344293337300005</v>
      </c>
      <c r="J6" s="62">
        <f>(I6*210*2.38)/1000</f>
        <v>11.167677809982543</v>
      </c>
      <c r="K6" s="62">
        <f>B17</f>
        <v>6.6085199999999995</v>
      </c>
      <c r="L6" s="62">
        <f>K6/J6</f>
        <v>0.59175417776583672</v>
      </c>
    </row>
    <row r="7" spans="1:12" ht="15.75">
      <c r="A7" s="398"/>
      <c r="B7" s="398"/>
      <c r="C7" s="398"/>
      <c r="D7" s="398"/>
      <c r="E7" s="398"/>
      <c r="F7" s="398"/>
      <c r="G7" s="399"/>
      <c r="H7" s="178">
        <f>SUM(H5:H6)</f>
        <v>144.54000000000002</v>
      </c>
      <c r="I7" s="178">
        <f t="shared" ref="I7:J7" si="0">SUM(I5:I6)</f>
        <v>44.68858667460001</v>
      </c>
      <c r="J7" s="178">
        <f t="shared" si="0"/>
        <v>22.335355619965085</v>
      </c>
      <c r="K7" s="178">
        <f>SUM(K5:K6)</f>
        <v>13.217039999999999</v>
      </c>
      <c r="L7" s="62">
        <f>K7/J7</f>
        <v>0.59175417776583672</v>
      </c>
    </row>
    <row r="12" spans="1:12" ht="25.5">
      <c r="A12" s="88" t="s">
        <v>97</v>
      </c>
      <c r="B12" s="88" t="s">
        <v>98</v>
      </c>
    </row>
    <row r="13" spans="1:12" ht="25.5">
      <c r="A13" s="90" t="s">
        <v>100</v>
      </c>
      <c r="B13" s="91">
        <f>5064/1000</f>
        <v>5.0640000000000001</v>
      </c>
      <c r="C13" s="205">
        <f>B13*2</f>
        <v>10.128</v>
      </c>
    </row>
    <row r="14" spans="1:12">
      <c r="A14" s="95" t="s">
        <v>45</v>
      </c>
      <c r="B14" s="91">
        <f>B15*0.1</f>
        <v>0.12660000000000002</v>
      </c>
      <c r="C14" s="205">
        <f t="shared" ref="C14:C17" si="1">B14*2</f>
        <v>0.25320000000000004</v>
      </c>
    </row>
    <row r="15" spans="1:12">
      <c r="A15" s="95" t="s">
        <v>101</v>
      </c>
      <c r="B15" s="91">
        <f>SUM(B13:B13)*0.25</f>
        <v>1.266</v>
      </c>
      <c r="C15" s="205">
        <f t="shared" si="1"/>
        <v>2.532</v>
      </c>
    </row>
    <row r="16" spans="1:12">
      <c r="A16" s="95" t="s">
        <v>46</v>
      </c>
      <c r="B16" s="91">
        <f>SUM(B13:B13)*0.03</f>
        <v>0.15192</v>
      </c>
      <c r="C16" s="205">
        <f t="shared" si="1"/>
        <v>0.30384</v>
      </c>
    </row>
    <row r="17" spans="1:12">
      <c r="A17" s="88" t="s">
        <v>47</v>
      </c>
      <c r="B17" s="97">
        <f>SUM(B13:B16)</f>
        <v>6.6085199999999995</v>
      </c>
      <c r="C17" s="205">
        <f t="shared" si="1"/>
        <v>13.217039999999999</v>
      </c>
    </row>
    <row r="18" spans="1:12">
      <c r="B18">
        <f>B17*2</f>
        <v>13.217039999999999</v>
      </c>
    </row>
    <row r="20" spans="1:12" ht="13.5" thickBot="1"/>
    <row r="21" spans="1:12" ht="165" customHeight="1" thickBot="1">
      <c r="A21" s="438" t="s">
        <v>271</v>
      </c>
      <c r="B21" s="428" t="s">
        <v>272</v>
      </c>
      <c r="C21" s="428" t="s">
        <v>273</v>
      </c>
      <c r="D21" s="428" t="s">
        <v>274</v>
      </c>
      <c r="E21" s="428" t="s">
        <v>275</v>
      </c>
      <c r="F21" s="428" t="s">
        <v>276</v>
      </c>
      <c r="G21" s="428" t="s">
        <v>277</v>
      </c>
      <c r="H21" s="430" t="s">
        <v>41</v>
      </c>
      <c r="I21" s="431"/>
      <c r="J21" s="432"/>
      <c r="K21" s="428" t="s">
        <v>48</v>
      </c>
      <c r="L21" s="428" t="s">
        <v>9</v>
      </c>
    </row>
    <row r="22" spans="1:12" ht="39.75" thickBot="1">
      <c r="A22" s="439"/>
      <c r="B22" s="429"/>
      <c r="C22" s="429"/>
      <c r="D22" s="429"/>
      <c r="E22" s="429"/>
      <c r="F22" s="429"/>
      <c r="G22" s="429"/>
      <c r="H22" s="212" t="s">
        <v>49</v>
      </c>
      <c r="I22" s="212" t="s">
        <v>30</v>
      </c>
      <c r="J22" s="212" t="s">
        <v>31</v>
      </c>
      <c r="K22" s="429"/>
      <c r="L22" s="429"/>
    </row>
    <row r="23" spans="1:12" ht="16.5" thickBot="1">
      <c r="A23" s="360" t="s">
        <v>278</v>
      </c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3"/>
    </row>
    <row r="24" spans="1:12" ht="16.5" thickBot="1">
      <c r="A24" s="174" t="s">
        <v>279</v>
      </c>
      <c r="B24" s="175">
        <v>118</v>
      </c>
      <c r="C24" s="175">
        <v>0.81</v>
      </c>
      <c r="D24" s="175">
        <v>0.52</v>
      </c>
      <c r="E24" s="175">
        <v>61</v>
      </c>
      <c r="F24" s="175">
        <v>0.1</v>
      </c>
      <c r="G24" s="175">
        <v>8760</v>
      </c>
      <c r="H24" s="175">
        <v>53.8</v>
      </c>
      <c r="I24" s="175">
        <v>16.5</v>
      </c>
      <c r="J24" s="175">
        <v>7.6</v>
      </c>
      <c r="K24" s="175">
        <v>7.2</v>
      </c>
      <c r="L24" s="175">
        <v>0.9</v>
      </c>
    </row>
    <row r="25" spans="1:12" ht="16.5" thickBot="1">
      <c r="A25" s="174" t="s">
        <v>280</v>
      </c>
      <c r="B25" s="175">
        <v>194</v>
      </c>
      <c r="C25" s="175">
        <v>0.87</v>
      </c>
      <c r="D25" s="175">
        <v>0.36</v>
      </c>
      <c r="E25" s="175">
        <v>70</v>
      </c>
      <c r="F25" s="175">
        <v>0.1</v>
      </c>
      <c r="G25" s="175">
        <v>8760</v>
      </c>
      <c r="H25" s="175">
        <v>61.2</v>
      </c>
      <c r="I25" s="175">
        <v>18.8</v>
      </c>
      <c r="J25" s="175">
        <v>8.6999999999999993</v>
      </c>
      <c r="K25" s="175">
        <v>7.2</v>
      </c>
      <c r="L25" s="175">
        <v>0.8</v>
      </c>
    </row>
    <row r="26" spans="1:12">
      <c r="H26">
        <f>H24+H25</f>
        <v>115</v>
      </c>
      <c r="I26">
        <f>I24+I25</f>
        <v>35.299999999999997</v>
      </c>
      <c r="J26">
        <f>J24+J25</f>
        <v>16.299999999999997</v>
      </c>
      <c r="K26">
        <f>K24+K25</f>
        <v>14.4</v>
      </c>
      <c r="L26" s="179">
        <f>K26/J26</f>
        <v>0.88343558282208612</v>
      </c>
    </row>
  </sheetData>
  <mergeCells count="21">
    <mergeCell ref="A23:L23"/>
    <mergeCell ref="F21:F22"/>
    <mergeCell ref="G21:G22"/>
    <mergeCell ref="H21:J21"/>
    <mergeCell ref="K21:K22"/>
    <mergeCell ref="L21:L22"/>
    <mergeCell ref="A21:A22"/>
    <mergeCell ref="B21:B22"/>
    <mergeCell ref="C21:C22"/>
    <mergeCell ref="D21:D22"/>
    <mergeCell ref="E21:E22"/>
    <mergeCell ref="H2:J2"/>
    <mergeCell ref="K2:K3"/>
    <mergeCell ref="L2:L3"/>
    <mergeCell ref="A4:L4"/>
    <mergeCell ref="A7:G7"/>
    <mergeCell ref="A2:A3"/>
    <mergeCell ref="B2:C2"/>
    <mergeCell ref="D2:D3"/>
    <mergeCell ref="E2:E3"/>
    <mergeCell ref="F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">
    <tabColor rgb="FF92D050"/>
  </sheetPr>
  <dimension ref="A1:AL553"/>
  <sheetViews>
    <sheetView view="pageBreakPreview" topLeftCell="D254" zoomScaleNormal="85" zoomScaleSheetLayoutView="100" workbookViewId="0">
      <selection activeCell="E277" sqref="E277:E279"/>
    </sheetView>
  </sheetViews>
  <sheetFormatPr defaultRowHeight="15.75"/>
  <cols>
    <col min="1" max="1" width="3.85546875" style="2" hidden="1" customWidth="1"/>
    <col min="2" max="2" width="4.42578125" style="3" hidden="1" customWidth="1"/>
    <col min="3" max="3" width="22" style="5" hidden="1" customWidth="1"/>
    <col min="4" max="4" width="4.28515625" style="275" bestFit="1" customWidth="1"/>
    <col min="5" max="5" width="59.140625" style="6" customWidth="1"/>
    <col min="6" max="6" width="12.42578125" style="6" customWidth="1"/>
    <col min="7" max="8" width="9.85546875" style="2" customWidth="1"/>
    <col min="9" max="9" width="9.85546875" style="54" customWidth="1"/>
    <col min="10" max="10" width="9.85546875" style="2" customWidth="1"/>
    <col min="11" max="11" width="8.85546875" style="7" customWidth="1"/>
    <col min="12" max="12" width="7.42578125" style="7" customWidth="1"/>
    <col min="13" max="13" width="9.5703125" style="309" customWidth="1"/>
    <col min="14" max="14" width="10.5703125" style="7" customWidth="1"/>
    <col min="15" max="15" width="12.28515625" style="7" customWidth="1"/>
    <col min="16" max="16" width="8.85546875" style="7" customWidth="1"/>
    <col min="17" max="17" width="10.7109375" style="7" customWidth="1"/>
    <col min="18" max="18" width="7.85546875" style="300" customWidth="1"/>
    <col min="19" max="19" width="8.7109375" style="7" customWidth="1"/>
    <col min="20" max="20" width="7.7109375" style="7" customWidth="1"/>
    <col min="21" max="21" width="5.85546875" style="7" customWidth="1"/>
    <col min="22" max="22" width="4.85546875" style="7" customWidth="1"/>
    <col min="23" max="25" width="5.28515625" style="29" customWidth="1"/>
    <col min="26" max="26" width="12.140625" style="4" customWidth="1"/>
    <col min="27" max="27" width="25" style="4" customWidth="1"/>
    <col min="28" max="28" width="13.28515625" style="4" customWidth="1"/>
    <col min="29" max="16384" width="9.140625" style="4"/>
  </cols>
  <sheetData>
    <row r="1" spans="1:38" s="8" customFormat="1" ht="31.5" customHeight="1">
      <c r="A1" s="13"/>
      <c r="B1" s="14"/>
      <c r="C1" s="1"/>
      <c r="D1" s="277"/>
      <c r="E1" s="517" t="s">
        <v>339</v>
      </c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  <c r="S1" s="517"/>
      <c r="T1" s="517"/>
      <c r="U1" s="517"/>
      <c r="V1" s="20"/>
      <c r="W1" s="22"/>
      <c r="X1" s="22"/>
      <c r="Y1" s="22"/>
    </row>
    <row r="2" spans="1:38">
      <c r="A2" s="489" t="s">
        <v>0</v>
      </c>
      <c r="B2" s="492" t="s">
        <v>1</v>
      </c>
      <c r="C2" s="495" t="s">
        <v>2</v>
      </c>
      <c r="D2" s="508" t="s">
        <v>8</v>
      </c>
      <c r="E2" s="513" t="s">
        <v>3</v>
      </c>
      <c r="F2" s="514" t="s">
        <v>40</v>
      </c>
      <c r="G2" s="518" t="s">
        <v>4</v>
      </c>
      <c r="H2" s="519"/>
      <c r="I2" s="519"/>
      <c r="J2" s="520"/>
      <c r="K2" s="515" t="s">
        <v>16</v>
      </c>
      <c r="L2" s="506" t="s">
        <v>9</v>
      </c>
      <c r="M2" s="486" t="s">
        <v>28</v>
      </c>
      <c r="N2" s="506" t="s">
        <v>15</v>
      </c>
      <c r="O2" s="522" t="s">
        <v>29</v>
      </c>
      <c r="P2" s="523"/>
      <c r="Q2" s="523"/>
      <c r="R2" s="523"/>
      <c r="S2" s="523"/>
      <c r="T2" s="523"/>
      <c r="U2" s="524"/>
      <c r="V2" s="30"/>
      <c r="W2" s="23"/>
      <c r="X2" s="23"/>
      <c r="Y2" s="23"/>
      <c r="AC2" s="23"/>
      <c r="AD2" s="23"/>
      <c r="AE2" s="23"/>
      <c r="AF2" s="23"/>
      <c r="AI2" s="23"/>
      <c r="AJ2" s="23"/>
      <c r="AK2" s="23"/>
      <c r="AL2" s="23"/>
    </row>
    <row r="3" spans="1:38" ht="75.75" customHeight="1">
      <c r="A3" s="490"/>
      <c r="B3" s="493"/>
      <c r="C3" s="496"/>
      <c r="D3" s="499"/>
      <c r="E3" s="496"/>
      <c r="F3" s="511"/>
      <c r="G3" s="490" t="s">
        <v>11</v>
      </c>
      <c r="H3" s="490" t="s">
        <v>12</v>
      </c>
      <c r="I3" s="490" t="s">
        <v>13</v>
      </c>
      <c r="J3" s="511" t="s">
        <v>5</v>
      </c>
      <c r="K3" s="509"/>
      <c r="L3" s="509"/>
      <c r="M3" s="487"/>
      <c r="N3" s="509"/>
      <c r="O3" s="506" t="s">
        <v>333</v>
      </c>
      <c r="P3" s="506" t="s">
        <v>332</v>
      </c>
      <c r="Q3" s="506" t="s">
        <v>334</v>
      </c>
      <c r="R3" s="471" t="s">
        <v>335</v>
      </c>
      <c r="S3" s="506" t="s">
        <v>338</v>
      </c>
      <c r="T3" s="506" t="s">
        <v>336</v>
      </c>
      <c r="U3" s="506" t="s">
        <v>337</v>
      </c>
      <c r="V3" s="31"/>
      <c r="W3" s="23"/>
      <c r="X3" s="23"/>
      <c r="Y3" s="23"/>
      <c r="AC3" s="170"/>
      <c r="AD3" s="170"/>
      <c r="AE3" s="170"/>
      <c r="AF3" s="170"/>
      <c r="AH3" s="171"/>
      <c r="AI3" s="171"/>
      <c r="AJ3" s="171"/>
      <c r="AK3" s="171"/>
      <c r="AL3" s="171"/>
    </row>
    <row r="4" spans="1:38" ht="52.5" customHeight="1">
      <c r="A4" s="491"/>
      <c r="B4" s="494"/>
      <c r="C4" s="497"/>
      <c r="D4" s="500"/>
      <c r="E4" s="497"/>
      <c r="F4" s="512"/>
      <c r="G4" s="491"/>
      <c r="H4" s="491"/>
      <c r="I4" s="491"/>
      <c r="J4" s="512"/>
      <c r="K4" s="510"/>
      <c r="L4" s="510"/>
      <c r="M4" s="488"/>
      <c r="N4" s="510"/>
      <c r="O4" s="507"/>
      <c r="P4" s="507"/>
      <c r="Q4" s="507"/>
      <c r="R4" s="521"/>
      <c r="S4" s="507"/>
      <c r="T4" s="507"/>
      <c r="U4" s="507"/>
      <c r="V4" s="32"/>
      <c r="W4" s="35" t="s">
        <v>32</v>
      </c>
      <c r="X4" s="35" t="s">
        <v>33</v>
      </c>
      <c r="Y4" s="35" t="s">
        <v>34</v>
      </c>
      <c r="Z4" s="44" t="s">
        <v>35</v>
      </c>
      <c r="AA4" s="169" t="s">
        <v>36</v>
      </c>
      <c r="AC4" s="172"/>
      <c r="AD4" s="172"/>
      <c r="AE4" s="172"/>
      <c r="AF4" s="172"/>
      <c r="AG4" s="172"/>
      <c r="AH4" s="172"/>
      <c r="AI4" s="172"/>
      <c r="AJ4" s="172"/>
      <c r="AK4" s="172"/>
      <c r="AL4" s="172"/>
    </row>
    <row r="5" spans="1:38" ht="15.75" hidden="1" customHeight="1">
      <c r="A5" s="199"/>
      <c r="B5" s="200"/>
      <c r="C5" s="201"/>
      <c r="D5" s="516" t="s">
        <v>247</v>
      </c>
      <c r="E5" s="516"/>
      <c r="F5" s="516"/>
      <c r="G5" s="516"/>
      <c r="H5" s="516"/>
      <c r="I5" s="516"/>
      <c r="J5" s="516"/>
      <c r="K5" s="516"/>
      <c r="L5" s="516"/>
      <c r="M5" s="516"/>
      <c r="N5" s="516"/>
      <c r="O5" s="516"/>
      <c r="P5" s="516"/>
      <c r="Q5" s="516"/>
      <c r="R5" s="516"/>
      <c r="S5" s="516"/>
      <c r="T5" s="516"/>
      <c r="U5" s="516"/>
      <c r="V5" s="32"/>
      <c r="Z5" s="202"/>
      <c r="AA5" s="202"/>
      <c r="AC5" s="172"/>
      <c r="AD5" s="172"/>
      <c r="AE5" s="172"/>
      <c r="AF5" s="172"/>
      <c r="AG5" s="172"/>
      <c r="AH5" s="172"/>
      <c r="AI5" s="172"/>
      <c r="AJ5" s="172"/>
      <c r="AK5" s="172"/>
      <c r="AL5" s="172"/>
    </row>
    <row r="6" spans="1:38" hidden="1">
      <c r="A6" s="199"/>
      <c r="B6" s="200"/>
      <c r="C6" s="201"/>
      <c r="D6" s="279">
        <v>1</v>
      </c>
      <c r="E6" s="15" t="s">
        <v>248</v>
      </c>
      <c r="F6" s="203" t="s">
        <v>7</v>
      </c>
      <c r="G6" s="203" t="s">
        <v>7</v>
      </c>
      <c r="H6" s="203" t="s">
        <v>7</v>
      </c>
      <c r="I6" s="203" t="s">
        <v>7</v>
      </c>
      <c r="J6" s="203" t="s">
        <v>7</v>
      </c>
      <c r="K6" s="203" t="s">
        <v>7</v>
      </c>
      <c r="L6" s="203" t="s">
        <v>7</v>
      </c>
      <c r="M6" s="308">
        <v>2021</v>
      </c>
      <c r="N6" s="203" t="s">
        <v>7</v>
      </c>
      <c r="O6" s="203" t="s">
        <v>7</v>
      </c>
      <c r="P6" s="203" t="s">
        <v>7</v>
      </c>
      <c r="Q6" s="203" t="s">
        <v>7</v>
      </c>
      <c r="R6" s="304" t="s">
        <v>7</v>
      </c>
      <c r="S6" s="203" t="s">
        <v>7</v>
      </c>
      <c r="T6" s="203" t="s">
        <v>7</v>
      </c>
      <c r="U6" s="203" t="s">
        <v>7</v>
      </c>
      <c r="V6" s="32"/>
      <c r="Z6" s="202"/>
      <c r="AA6" s="202"/>
      <c r="AC6" s="172"/>
      <c r="AD6" s="172"/>
      <c r="AE6" s="172"/>
      <c r="AF6" s="172"/>
      <c r="AG6" s="172"/>
      <c r="AH6" s="172"/>
      <c r="AI6" s="172"/>
      <c r="AJ6" s="172"/>
      <c r="AK6" s="172"/>
      <c r="AL6" s="172"/>
    </row>
    <row r="7" spans="1:38" ht="31.5" hidden="1">
      <c r="A7" s="199"/>
      <c r="B7" s="200"/>
      <c r="C7" s="201"/>
      <c r="D7" s="279">
        <v>2</v>
      </c>
      <c r="E7" s="15" t="s">
        <v>249</v>
      </c>
      <c r="F7" s="203" t="s">
        <v>7</v>
      </c>
      <c r="G7" s="203" t="s">
        <v>7</v>
      </c>
      <c r="H7" s="203" t="s">
        <v>7</v>
      </c>
      <c r="I7" s="203" t="s">
        <v>7</v>
      </c>
      <c r="J7" s="203" t="s">
        <v>7</v>
      </c>
      <c r="K7" s="203" t="s">
        <v>7</v>
      </c>
      <c r="L7" s="203" t="s">
        <v>7</v>
      </c>
      <c r="M7" s="308">
        <v>2022</v>
      </c>
      <c r="N7" s="203" t="s">
        <v>7</v>
      </c>
      <c r="O7" s="203" t="s">
        <v>7</v>
      </c>
      <c r="P7" s="203" t="s">
        <v>7</v>
      </c>
      <c r="Q7" s="203" t="s">
        <v>7</v>
      </c>
      <c r="R7" s="304" t="s">
        <v>7</v>
      </c>
      <c r="S7" s="203" t="s">
        <v>7</v>
      </c>
      <c r="T7" s="203" t="s">
        <v>7</v>
      </c>
      <c r="U7" s="203" t="s">
        <v>7</v>
      </c>
      <c r="V7" s="32"/>
      <c r="Z7" s="202"/>
      <c r="AA7" s="202"/>
      <c r="AC7" s="172"/>
      <c r="AD7" s="172"/>
      <c r="AE7" s="172"/>
      <c r="AF7" s="172"/>
      <c r="AG7" s="172"/>
      <c r="AH7" s="172"/>
      <c r="AI7" s="172"/>
      <c r="AJ7" s="172"/>
      <c r="AK7" s="172"/>
      <c r="AL7" s="172"/>
    </row>
    <row r="8" spans="1:38" ht="31.5" hidden="1">
      <c r="A8" s="199"/>
      <c r="B8" s="200"/>
      <c r="C8" s="201"/>
      <c r="D8" s="279">
        <v>3</v>
      </c>
      <c r="E8" s="15" t="s">
        <v>250</v>
      </c>
      <c r="F8" s="203" t="s">
        <v>7</v>
      </c>
      <c r="G8" s="203" t="s">
        <v>7</v>
      </c>
      <c r="H8" s="203" t="s">
        <v>7</v>
      </c>
      <c r="I8" s="203" t="s">
        <v>7</v>
      </c>
      <c r="J8" s="203" t="s">
        <v>7</v>
      </c>
      <c r="K8" s="203" t="s">
        <v>7</v>
      </c>
      <c r="L8" s="203" t="s">
        <v>7</v>
      </c>
      <c r="M8" s="308">
        <v>2023</v>
      </c>
      <c r="N8" s="203" t="s">
        <v>7</v>
      </c>
      <c r="O8" s="203" t="s">
        <v>7</v>
      </c>
      <c r="P8" s="203" t="s">
        <v>7</v>
      </c>
      <c r="Q8" s="203" t="s">
        <v>7</v>
      </c>
      <c r="R8" s="304" t="s">
        <v>7</v>
      </c>
      <c r="S8" s="203" t="s">
        <v>7</v>
      </c>
      <c r="T8" s="203" t="s">
        <v>7</v>
      </c>
      <c r="U8" s="203" t="s">
        <v>7</v>
      </c>
      <c r="V8" s="32"/>
      <c r="Z8" s="202"/>
      <c r="AA8" s="202"/>
      <c r="AC8" s="172"/>
      <c r="AD8" s="172"/>
      <c r="AE8" s="172"/>
      <c r="AF8" s="172"/>
      <c r="AG8" s="172"/>
      <c r="AH8" s="172"/>
      <c r="AI8" s="172"/>
      <c r="AJ8" s="172"/>
      <c r="AK8" s="172"/>
      <c r="AL8" s="172"/>
    </row>
    <row r="9" spans="1:38" ht="31.5" hidden="1">
      <c r="A9" s="199"/>
      <c r="B9" s="200"/>
      <c r="C9" s="201"/>
      <c r="D9" s="279">
        <v>4</v>
      </c>
      <c r="E9" s="15" t="s">
        <v>251</v>
      </c>
      <c r="F9" s="203" t="s">
        <v>7</v>
      </c>
      <c r="G9" s="203" t="s">
        <v>7</v>
      </c>
      <c r="H9" s="203" t="s">
        <v>7</v>
      </c>
      <c r="I9" s="203" t="s">
        <v>7</v>
      </c>
      <c r="J9" s="203" t="s">
        <v>7</v>
      </c>
      <c r="K9" s="203" t="s">
        <v>7</v>
      </c>
      <c r="L9" s="203" t="s">
        <v>7</v>
      </c>
      <c r="M9" s="308">
        <v>2021</v>
      </c>
      <c r="N9" s="203" t="s">
        <v>7</v>
      </c>
      <c r="O9" s="203" t="s">
        <v>7</v>
      </c>
      <c r="P9" s="203" t="s">
        <v>7</v>
      </c>
      <c r="Q9" s="203" t="s">
        <v>7</v>
      </c>
      <c r="R9" s="304" t="s">
        <v>7</v>
      </c>
      <c r="S9" s="203" t="s">
        <v>7</v>
      </c>
      <c r="T9" s="203" t="s">
        <v>7</v>
      </c>
      <c r="U9" s="203" t="s">
        <v>7</v>
      </c>
      <c r="V9" s="32"/>
      <c r="Z9" s="202"/>
      <c r="AA9" s="202"/>
      <c r="AC9" s="172"/>
      <c r="AD9" s="172"/>
      <c r="AE9" s="172"/>
      <c r="AF9" s="172"/>
      <c r="AG9" s="172"/>
      <c r="AH9" s="172"/>
      <c r="AI9" s="172"/>
      <c r="AJ9" s="172"/>
      <c r="AK9" s="172"/>
      <c r="AL9" s="172"/>
    </row>
    <row r="10" spans="1:38" ht="31.5" hidden="1">
      <c r="A10" s="199"/>
      <c r="B10" s="200"/>
      <c r="C10" s="201"/>
      <c r="D10" s="279">
        <v>5</v>
      </c>
      <c r="E10" s="15" t="s">
        <v>252</v>
      </c>
      <c r="F10" s="203" t="s">
        <v>7</v>
      </c>
      <c r="G10" s="203" t="s">
        <v>7</v>
      </c>
      <c r="H10" s="203" t="s">
        <v>7</v>
      </c>
      <c r="I10" s="203" t="s">
        <v>7</v>
      </c>
      <c r="J10" s="203" t="s">
        <v>7</v>
      </c>
      <c r="K10" s="203" t="s">
        <v>7</v>
      </c>
      <c r="L10" s="203" t="s">
        <v>7</v>
      </c>
      <c r="M10" s="308">
        <v>2024</v>
      </c>
      <c r="N10" s="203" t="s">
        <v>7</v>
      </c>
      <c r="O10" s="203" t="s">
        <v>7</v>
      </c>
      <c r="P10" s="203" t="s">
        <v>7</v>
      </c>
      <c r="Q10" s="203" t="s">
        <v>7</v>
      </c>
      <c r="R10" s="304" t="s">
        <v>7</v>
      </c>
      <c r="S10" s="203" t="s">
        <v>7</v>
      </c>
      <c r="T10" s="203" t="s">
        <v>7</v>
      </c>
      <c r="U10" s="203" t="s">
        <v>7</v>
      </c>
      <c r="V10" s="32"/>
      <c r="Z10" s="202"/>
      <c r="AA10" s="20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</row>
    <row r="11" spans="1:38" hidden="1">
      <c r="A11" s="199"/>
      <c r="B11" s="200"/>
      <c r="C11" s="201"/>
      <c r="D11" s="279">
        <v>6</v>
      </c>
      <c r="E11" s="15" t="s">
        <v>253</v>
      </c>
      <c r="F11" s="203" t="s">
        <v>7</v>
      </c>
      <c r="G11" s="203" t="s">
        <v>7</v>
      </c>
      <c r="H11" s="203" t="s">
        <v>7</v>
      </c>
      <c r="I11" s="203" t="s">
        <v>7</v>
      </c>
      <c r="J11" s="203" t="s">
        <v>7</v>
      </c>
      <c r="K11" s="203" t="s">
        <v>7</v>
      </c>
      <c r="L11" s="203" t="s">
        <v>7</v>
      </c>
      <c r="M11" s="308" t="s">
        <v>254</v>
      </c>
      <c r="N11" s="203" t="s">
        <v>7</v>
      </c>
      <c r="O11" s="203" t="s">
        <v>7</v>
      </c>
      <c r="P11" s="203" t="s">
        <v>7</v>
      </c>
      <c r="Q11" s="203" t="s">
        <v>7</v>
      </c>
      <c r="R11" s="304" t="s">
        <v>7</v>
      </c>
      <c r="S11" s="203" t="s">
        <v>7</v>
      </c>
      <c r="T11" s="203" t="s">
        <v>7</v>
      </c>
      <c r="U11" s="203" t="s">
        <v>7</v>
      </c>
      <c r="V11" s="32"/>
      <c r="Z11" s="202"/>
      <c r="AA11" s="20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</row>
    <row r="12" spans="1:38" ht="31.5" hidden="1">
      <c r="A12" s="199"/>
      <c r="B12" s="200"/>
      <c r="C12" s="201"/>
      <c r="D12" s="279">
        <v>7</v>
      </c>
      <c r="E12" s="15" t="s">
        <v>255</v>
      </c>
      <c r="F12" s="203" t="s">
        <v>7</v>
      </c>
      <c r="G12" s="203" t="s">
        <v>7</v>
      </c>
      <c r="H12" s="203" t="s">
        <v>7</v>
      </c>
      <c r="I12" s="203" t="s">
        <v>7</v>
      </c>
      <c r="J12" s="203" t="s">
        <v>7</v>
      </c>
      <c r="K12" s="203" t="s">
        <v>7</v>
      </c>
      <c r="L12" s="203" t="s">
        <v>7</v>
      </c>
      <c r="M12" s="308">
        <v>2021</v>
      </c>
      <c r="N12" s="203" t="s">
        <v>7</v>
      </c>
      <c r="O12" s="203" t="s">
        <v>7</v>
      </c>
      <c r="P12" s="203" t="s">
        <v>7</v>
      </c>
      <c r="Q12" s="203" t="s">
        <v>7</v>
      </c>
      <c r="R12" s="304" t="s">
        <v>7</v>
      </c>
      <c r="S12" s="203" t="s">
        <v>7</v>
      </c>
      <c r="T12" s="203" t="s">
        <v>7</v>
      </c>
      <c r="U12" s="203" t="s">
        <v>7</v>
      </c>
      <c r="V12" s="32"/>
      <c r="Z12" s="202"/>
      <c r="AA12" s="20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</row>
    <row r="13" spans="1:38">
      <c r="A13" s="199"/>
      <c r="B13" s="200"/>
      <c r="C13" s="201"/>
      <c r="D13" s="525" t="s">
        <v>247</v>
      </c>
      <c r="E13" s="525"/>
      <c r="F13" s="525"/>
      <c r="G13" s="525"/>
      <c r="H13" s="525"/>
      <c r="I13" s="525"/>
      <c r="J13" s="525"/>
      <c r="K13" s="525"/>
      <c r="L13" s="525"/>
      <c r="M13" s="525"/>
      <c r="N13" s="525"/>
      <c r="O13" s="525"/>
      <c r="P13" s="525"/>
      <c r="Q13" s="525"/>
      <c r="R13" s="525"/>
      <c r="S13" s="525"/>
      <c r="T13" s="525"/>
      <c r="U13" s="525"/>
      <c r="V13" s="32"/>
      <c r="Z13" s="202"/>
      <c r="AA13" s="20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</row>
    <row r="14" spans="1:38" ht="47.25">
      <c r="A14" s="199"/>
      <c r="B14" s="200"/>
      <c r="C14" s="201"/>
      <c r="D14" s="279">
        <v>1</v>
      </c>
      <c r="E14" s="311" t="s">
        <v>887</v>
      </c>
      <c r="F14" s="304"/>
      <c r="G14" s="304"/>
      <c r="H14" s="304"/>
      <c r="I14" s="304"/>
      <c r="J14" s="304"/>
      <c r="K14" s="304"/>
      <c r="L14" s="304"/>
      <c r="M14" s="312"/>
      <c r="N14" s="304"/>
      <c r="O14" s="304"/>
      <c r="P14" s="304"/>
      <c r="Q14" s="304"/>
      <c r="R14" s="304"/>
      <c r="S14" s="304"/>
      <c r="T14" s="304"/>
      <c r="U14" s="304"/>
      <c r="V14" s="32"/>
      <c r="Z14" s="202"/>
      <c r="AA14" s="20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</row>
    <row r="15" spans="1:38" ht="47.25" hidden="1">
      <c r="A15" s="199"/>
      <c r="B15" s="200"/>
      <c r="C15" s="201"/>
      <c r="D15" s="279">
        <v>8</v>
      </c>
      <c r="E15" s="15" t="s">
        <v>256</v>
      </c>
      <c r="F15" s="203" t="s">
        <v>7</v>
      </c>
      <c r="G15" s="203" t="s">
        <v>7</v>
      </c>
      <c r="H15" s="203" t="s">
        <v>7</v>
      </c>
      <c r="I15" s="203" t="s">
        <v>7</v>
      </c>
      <c r="J15" s="203" t="s">
        <v>7</v>
      </c>
      <c r="K15" s="203" t="s">
        <v>7</v>
      </c>
      <c r="L15" s="203" t="s">
        <v>7</v>
      </c>
      <c r="M15" s="308">
        <v>2022</v>
      </c>
      <c r="N15" s="203" t="s">
        <v>7</v>
      </c>
      <c r="O15" s="203" t="s">
        <v>7</v>
      </c>
      <c r="P15" s="203" t="s">
        <v>7</v>
      </c>
      <c r="Q15" s="203" t="s">
        <v>7</v>
      </c>
      <c r="R15" s="304" t="s">
        <v>7</v>
      </c>
      <c r="S15" s="203" t="s">
        <v>7</v>
      </c>
      <c r="T15" s="203" t="s">
        <v>7</v>
      </c>
      <c r="U15" s="203" t="s">
        <v>7</v>
      </c>
      <c r="V15" s="32"/>
      <c r="Z15" s="202"/>
      <c r="AA15" s="20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</row>
    <row r="16" spans="1:38" ht="15.75" customHeight="1">
      <c r="A16" s="11"/>
      <c r="B16" s="9"/>
      <c r="C16" s="10"/>
      <c r="D16" s="516" t="s">
        <v>6</v>
      </c>
      <c r="E16" s="516"/>
      <c r="F16" s="516"/>
      <c r="G16" s="516"/>
      <c r="H16" s="516"/>
      <c r="I16" s="516"/>
      <c r="J16" s="516"/>
      <c r="K16" s="516"/>
      <c r="L16" s="516"/>
      <c r="M16" s="516"/>
      <c r="N16" s="516"/>
      <c r="O16" s="516"/>
      <c r="P16" s="516"/>
      <c r="Q16" s="516"/>
      <c r="R16" s="516"/>
      <c r="S16" s="516"/>
      <c r="T16" s="516"/>
      <c r="U16" s="516"/>
      <c r="V16" s="33"/>
      <c r="W16" s="23"/>
      <c r="X16" s="23"/>
      <c r="Y16" s="23"/>
    </row>
    <row r="17" spans="1:30" s="269" customFormat="1" ht="30.75" customHeight="1">
      <c r="A17" s="265"/>
      <c r="B17" s="265"/>
      <c r="C17" s="266"/>
      <c r="D17" s="274">
        <v>1</v>
      </c>
      <c r="E17" s="261" t="s">
        <v>345</v>
      </c>
      <c r="F17" s="246" t="s">
        <v>346</v>
      </c>
      <c r="G17" s="245"/>
      <c r="H17" s="245">
        <v>6</v>
      </c>
      <c r="I17" s="245"/>
      <c r="J17" s="245">
        <v>1.1000000000000001</v>
      </c>
      <c r="K17" s="245">
        <v>0.6</v>
      </c>
      <c r="L17" s="245">
        <v>7.7</v>
      </c>
      <c r="M17" s="312">
        <v>2024</v>
      </c>
      <c r="N17" s="245">
        <v>4.3</v>
      </c>
      <c r="O17" s="245"/>
      <c r="P17" s="245"/>
      <c r="Q17" s="245"/>
      <c r="R17" s="245"/>
      <c r="S17" s="245">
        <f>N17</f>
        <v>4.3</v>
      </c>
      <c r="T17" s="278"/>
      <c r="U17" s="245"/>
      <c r="V17" s="267"/>
      <c r="W17" s="268"/>
      <c r="X17" s="268"/>
      <c r="Y17" s="268"/>
      <c r="Z17" s="528"/>
      <c r="AA17" s="529"/>
      <c r="AC17" s="270"/>
    </row>
    <row r="18" spans="1:30" s="269" customFormat="1" ht="31.5">
      <c r="A18" s="265"/>
      <c r="B18" s="265"/>
      <c r="C18" s="266"/>
      <c r="D18" s="274">
        <v>2</v>
      </c>
      <c r="E18" s="261" t="s">
        <v>347</v>
      </c>
      <c r="F18" s="246" t="s">
        <v>351</v>
      </c>
      <c r="G18" s="245"/>
      <c r="H18" s="245">
        <v>2.2999999999999998</v>
      </c>
      <c r="I18" s="245"/>
      <c r="J18" s="245">
        <v>0.4</v>
      </c>
      <c r="K18" s="245">
        <v>0.2</v>
      </c>
      <c r="L18" s="245">
        <v>6.1</v>
      </c>
      <c r="M18" s="312">
        <v>2024</v>
      </c>
      <c r="N18" s="245">
        <v>1.3</v>
      </c>
      <c r="O18" s="245"/>
      <c r="P18" s="245"/>
      <c r="Q18" s="245"/>
      <c r="R18" s="245"/>
      <c r="S18" s="245">
        <f t="shared" ref="S18:S261" si="0">N18</f>
        <v>1.3</v>
      </c>
      <c r="T18" s="278"/>
      <c r="U18" s="245"/>
      <c r="V18" s="267"/>
      <c r="W18" s="268"/>
      <c r="X18" s="268"/>
      <c r="Y18" s="268"/>
      <c r="Z18" s="532"/>
      <c r="AA18" s="533"/>
      <c r="AC18" s="270"/>
    </row>
    <row r="19" spans="1:30" s="269" customFormat="1" ht="31.5">
      <c r="A19" s="265"/>
      <c r="B19" s="265"/>
      <c r="C19" s="266"/>
      <c r="D19" s="274">
        <v>3</v>
      </c>
      <c r="E19" s="261" t="s">
        <v>348</v>
      </c>
      <c r="F19" s="246" t="s">
        <v>352</v>
      </c>
      <c r="G19" s="245"/>
      <c r="H19" s="245">
        <v>5.4</v>
      </c>
      <c r="I19" s="245"/>
      <c r="J19" s="245">
        <v>1</v>
      </c>
      <c r="K19" s="245">
        <v>0.5</v>
      </c>
      <c r="L19" s="245">
        <v>6.6</v>
      </c>
      <c r="M19" s="312">
        <v>2024</v>
      </c>
      <c r="N19" s="245">
        <v>3.3</v>
      </c>
      <c r="O19" s="245"/>
      <c r="P19" s="245"/>
      <c r="Q19" s="245"/>
      <c r="R19" s="245"/>
      <c r="S19" s="245">
        <f t="shared" si="0"/>
        <v>3.3</v>
      </c>
      <c r="T19" s="278"/>
      <c r="U19" s="245"/>
      <c r="V19" s="267"/>
      <c r="W19" s="268"/>
      <c r="X19" s="268"/>
      <c r="Y19" s="268"/>
      <c r="Z19" s="532"/>
      <c r="AA19" s="533"/>
      <c r="AC19" s="270"/>
    </row>
    <row r="20" spans="1:30" s="269" customFormat="1" ht="31.5" customHeight="1">
      <c r="A20" s="265"/>
      <c r="B20" s="265"/>
      <c r="C20" s="266"/>
      <c r="D20" s="274">
        <v>4</v>
      </c>
      <c r="E20" s="261" t="s">
        <v>349</v>
      </c>
      <c r="F20" s="246" t="s">
        <v>353</v>
      </c>
      <c r="G20" s="245"/>
      <c r="H20" s="245">
        <v>20.7</v>
      </c>
      <c r="I20" s="245"/>
      <c r="J20" s="245">
        <v>3.7</v>
      </c>
      <c r="K20" s="245">
        <v>1.9</v>
      </c>
      <c r="L20" s="245">
        <v>5.7</v>
      </c>
      <c r="M20" s="312">
        <v>2024</v>
      </c>
      <c r="N20" s="245">
        <v>10.9</v>
      </c>
      <c r="O20" s="245"/>
      <c r="P20" s="245"/>
      <c r="Q20" s="245"/>
      <c r="R20" s="245"/>
      <c r="S20" s="245">
        <f t="shared" si="0"/>
        <v>10.9</v>
      </c>
      <c r="T20" s="278"/>
      <c r="U20" s="245"/>
      <c r="V20" s="267"/>
      <c r="W20" s="268"/>
      <c r="X20" s="268"/>
      <c r="Y20" s="268"/>
      <c r="Z20" s="532"/>
      <c r="AA20" s="533"/>
      <c r="AC20" s="270"/>
    </row>
    <row r="21" spans="1:30" s="269" customFormat="1" ht="31.5" customHeight="1">
      <c r="A21" s="265"/>
      <c r="B21" s="265"/>
      <c r="C21" s="266"/>
      <c r="D21" s="274">
        <v>5</v>
      </c>
      <c r="E21" s="261" t="s">
        <v>350</v>
      </c>
      <c r="F21" s="246" t="s">
        <v>354</v>
      </c>
      <c r="G21" s="310">
        <f>79.3/1000</f>
        <v>7.9299999999999995E-2</v>
      </c>
      <c r="H21" s="245">
        <v>4.0999999999999996</v>
      </c>
      <c r="I21" s="245"/>
      <c r="J21" s="245">
        <v>0.7</v>
      </c>
      <c r="K21" s="245">
        <v>0.3</v>
      </c>
      <c r="L21" s="245">
        <v>7.7</v>
      </c>
      <c r="M21" s="312">
        <v>2024</v>
      </c>
      <c r="N21" s="245">
        <v>2.6</v>
      </c>
      <c r="O21" s="245"/>
      <c r="P21" s="245"/>
      <c r="Q21" s="245"/>
      <c r="R21" s="245"/>
      <c r="S21" s="245">
        <f t="shared" si="0"/>
        <v>2.6</v>
      </c>
      <c r="T21" s="278"/>
      <c r="U21" s="245"/>
      <c r="V21" s="267"/>
      <c r="W21" s="268"/>
      <c r="X21" s="268"/>
      <c r="Y21" s="268"/>
      <c r="Z21" s="532"/>
      <c r="AA21" s="533"/>
      <c r="AC21" s="270"/>
    </row>
    <row r="22" spans="1:30" s="269" customFormat="1" ht="31.5" customHeight="1">
      <c r="A22" s="265"/>
      <c r="B22" s="265"/>
      <c r="C22" s="266"/>
      <c r="D22" s="274">
        <v>6</v>
      </c>
      <c r="E22" s="261" t="s">
        <v>358</v>
      </c>
      <c r="F22" s="246" t="s">
        <v>361</v>
      </c>
      <c r="G22" s="245"/>
      <c r="H22" s="245">
        <v>11.6</v>
      </c>
      <c r="I22" s="245"/>
      <c r="J22" s="245">
        <v>2.1</v>
      </c>
      <c r="K22" s="245">
        <v>1.1000000000000001</v>
      </c>
      <c r="L22" s="245">
        <v>6.5</v>
      </c>
      <c r="M22" s="312">
        <v>2024</v>
      </c>
      <c r="N22" s="245">
        <v>7</v>
      </c>
      <c r="O22" s="245"/>
      <c r="P22" s="245"/>
      <c r="Q22" s="245"/>
      <c r="R22" s="245"/>
      <c r="S22" s="245">
        <f t="shared" si="0"/>
        <v>7</v>
      </c>
      <c r="T22" s="278"/>
      <c r="U22" s="245"/>
      <c r="V22" s="267"/>
      <c r="W22" s="268"/>
      <c r="X22" s="268"/>
      <c r="Y22" s="268"/>
      <c r="Z22" s="532"/>
      <c r="AA22" s="533"/>
      <c r="AC22" s="270"/>
    </row>
    <row r="23" spans="1:30" s="269" customFormat="1" ht="31.5" customHeight="1">
      <c r="A23" s="265"/>
      <c r="B23" s="265"/>
      <c r="C23" s="266"/>
      <c r="D23" s="274">
        <v>7</v>
      </c>
      <c r="E23" s="261" t="s">
        <v>359</v>
      </c>
      <c r="F23" s="246" t="s">
        <v>362</v>
      </c>
      <c r="G23" s="245"/>
      <c r="H23" s="245">
        <v>9.6999999999999993</v>
      </c>
      <c r="I23" s="245"/>
      <c r="J23" s="245">
        <v>1.7</v>
      </c>
      <c r="K23" s="245">
        <v>0.9</v>
      </c>
      <c r="L23" s="245">
        <v>5.4</v>
      </c>
      <c r="M23" s="312">
        <v>2024</v>
      </c>
      <c r="N23" s="245">
        <v>4.9000000000000004</v>
      </c>
      <c r="O23" s="245"/>
      <c r="P23" s="245"/>
      <c r="Q23" s="245"/>
      <c r="R23" s="245"/>
      <c r="S23" s="245">
        <f t="shared" si="0"/>
        <v>4.9000000000000004</v>
      </c>
      <c r="T23" s="278"/>
      <c r="U23" s="245"/>
      <c r="V23" s="267"/>
      <c r="W23" s="268"/>
      <c r="X23" s="268"/>
      <c r="Y23" s="268"/>
      <c r="Z23" s="532"/>
      <c r="AA23" s="533"/>
      <c r="AC23" s="270"/>
    </row>
    <row r="24" spans="1:30" s="269" customFormat="1" ht="15.75" customHeight="1">
      <c r="A24" s="265"/>
      <c r="B24" s="265"/>
      <c r="C24" s="266"/>
      <c r="D24" s="274">
        <v>8</v>
      </c>
      <c r="E24" s="261" t="s">
        <v>360</v>
      </c>
      <c r="F24" s="246" t="s">
        <v>363</v>
      </c>
      <c r="G24" s="245"/>
      <c r="H24" s="245">
        <v>30.7</v>
      </c>
      <c r="I24" s="245"/>
      <c r="J24" s="245">
        <v>5.5</v>
      </c>
      <c r="K24" s="245">
        <v>2.9</v>
      </c>
      <c r="L24" s="245">
        <v>5.4</v>
      </c>
      <c r="M24" s="312">
        <v>2024</v>
      </c>
      <c r="N24" s="245">
        <v>15.5</v>
      </c>
      <c r="O24" s="245"/>
      <c r="P24" s="245"/>
      <c r="Q24" s="245"/>
      <c r="R24" s="245"/>
      <c r="S24" s="245">
        <f t="shared" si="0"/>
        <v>15.5</v>
      </c>
      <c r="T24" s="278"/>
      <c r="U24" s="245"/>
      <c r="V24" s="267"/>
      <c r="W24" s="268"/>
      <c r="X24" s="268"/>
      <c r="Y24" s="268"/>
      <c r="Z24" s="532"/>
      <c r="AA24" s="533"/>
      <c r="AC24" s="270"/>
    </row>
    <row r="25" spans="1:30" s="269" customFormat="1" ht="31.5" customHeight="1">
      <c r="A25" s="265"/>
      <c r="B25" s="265"/>
      <c r="C25" s="266"/>
      <c r="D25" s="274">
        <v>9</v>
      </c>
      <c r="E25" s="261" t="s">
        <v>365</v>
      </c>
      <c r="F25" s="246">
        <v>1</v>
      </c>
      <c r="G25" s="245">
        <v>21</v>
      </c>
      <c r="H25" s="245"/>
      <c r="I25" s="245"/>
      <c r="J25" s="245">
        <v>6.8</v>
      </c>
      <c r="K25" s="245">
        <v>3.5</v>
      </c>
      <c r="L25" s="245">
        <v>5.8</v>
      </c>
      <c r="M25" s="312">
        <v>2025</v>
      </c>
      <c r="N25" s="245">
        <v>20.5</v>
      </c>
      <c r="O25" s="245"/>
      <c r="P25" s="245"/>
      <c r="Q25" s="245"/>
      <c r="R25" s="245"/>
      <c r="S25" s="245">
        <f t="shared" si="0"/>
        <v>20.5</v>
      </c>
      <c r="T25" s="278"/>
      <c r="U25" s="245"/>
      <c r="V25" s="267"/>
      <c r="W25" s="268"/>
      <c r="X25" s="268"/>
      <c r="Y25" s="268"/>
      <c r="Z25" s="532"/>
      <c r="AA25" s="533"/>
      <c r="AC25" s="270"/>
    </row>
    <row r="26" spans="1:30" s="269" customFormat="1" ht="15.75" customHeight="1">
      <c r="A26" s="265"/>
      <c r="B26" s="265"/>
      <c r="C26" s="266"/>
      <c r="D26" s="274">
        <v>10</v>
      </c>
      <c r="E26" s="261" t="s">
        <v>366</v>
      </c>
      <c r="F26" s="246">
        <v>1</v>
      </c>
      <c r="G26" s="245">
        <v>11.9</v>
      </c>
      <c r="H26" s="245"/>
      <c r="I26" s="245"/>
      <c r="J26" s="245">
        <v>3.8</v>
      </c>
      <c r="K26" s="245">
        <v>2</v>
      </c>
      <c r="L26" s="245">
        <v>8.1</v>
      </c>
      <c r="M26" s="312">
        <v>2023</v>
      </c>
      <c r="N26" s="245">
        <v>16.100000000000001</v>
      </c>
      <c r="O26" s="245"/>
      <c r="P26" s="245"/>
      <c r="Q26" s="245"/>
      <c r="R26" s="245"/>
      <c r="S26" s="245">
        <f t="shared" si="0"/>
        <v>16.100000000000001</v>
      </c>
      <c r="T26" s="278"/>
      <c r="U26" s="245"/>
      <c r="V26" s="267"/>
      <c r="W26" s="268"/>
      <c r="X26" s="268"/>
      <c r="Y26" s="268"/>
      <c r="Z26" s="532"/>
      <c r="AA26" s="533"/>
      <c r="AC26" s="270"/>
    </row>
    <row r="27" spans="1:30" s="269" customFormat="1" ht="15.75" customHeight="1">
      <c r="A27" s="265"/>
      <c r="B27" s="265"/>
      <c r="C27" s="266"/>
      <c r="D27" s="274">
        <v>11</v>
      </c>
      <c r="E27" s="261" t="s">
        <v>367</v>
      </c>
      <c r="F27" s="246">
        <v>1</v>
      </c>
      <c r="G27" s="245">
        <v>10</v>
      </c>
      <c r="H27" s="245"/>
      <c r="I27" s="245"/>
      <c r="J27" s="245">
        <v>3.2</v>
      </c>
      <c r="K27" s="245">
        <v>1.7</v>
      </c>
      <c r="L27" s="245">
        <v>8.4</v>
      </c>
      <c r="M27" s="312">
        <v>2023</v>
      </c>
      <c r="N27" s="245">
        <v>14.1</v>
      </c>
      <c r="O27" s="245"/>
      <c r="P27" s="245"/>
      <c r="Q27" s="245"/>
      <c r="R27" s="245"/>
      <c r="S27" s="245">
        <f t="shared" si="0"/>
        <v>14.1</v>
      </c>
      <c r="T27" s="278"/>
      <c r="U27" s="245"/>
      <c r="V27" s="267"/>
      <c r="W27" s="268"/>
      <c r="X27" s="268"/>
      <c r="Y27" s="268"/>
      <c r="Z27" s="532"/>
      <c r="AA27" s="533"/>
      <c r="AC27" s="270"/>
      <c r="AD27" s="306"/>
    </row>
    <row r="28" spans="1:30" s="269" customFormat="1" ht="15.75" customHeight="1">
      <c r="A28" s="265"/>
      <c r="B28" s="265"/>
      <c r="C28" s="266"/>
      <c r="D28" s="274">
        <v>12</v>
      </c>
      <c r="E28" s="261" t="s">
        <v>368</v>
      </c>
      <c r="F28" s="246">
        <v>1</v>
      </c>
      <c r="G28" s="245">
        <v>15.3</v>
      </c>
      <c r="H28" s="245"/>
      <c r="I28" s="245"/>
      <c r="J28" s="245">
        <v>4.9000000000000004</v>
      </c>
      <c r="K28" s="245">
        <v>2.6</v>
      </c>
      <c r="L28" s="245">
        <v>8.9</v>
      </c>
      <c r="M28" s="312">
        <v>2023</v>
      </c>
      <c r="N28" s="245">
        <v>22.7</v>
      </c>
      <c r="O28" s="245"/>
      <c r="P28" s="245"/>
      <c r="Q28" s="245"/>
      <c r="R28" s="245"/>
      <c r="S28" s="245">
        <f t="shared" si="0"/>
        <v>22.7</v>
      </c>
      <c r="T28" s="278"/>
      <c r="U28" s="245"/>
      <c r="V28" s="267"/>
      <c r="W28" s="268"/>
      <c r="X28" s="268"/>
      <c r="Y28" s="268"/>
      <c r="Z28" s="532"/>
      <c r="AA28" s="533"/>
      <c r="AC28" s="270"/>
    </row>
    <row r="29" spans="1:30" s="269" customFormat="1" ht="15.75" customHeight="1">
      <c r="A29" s="265"/>
      <c r="B29" s="265"/>
      <c r="C29" s="266"/>
      <c r="D29" s="274">
        <v>13</v>
      </c>
      <c r="E29" s="261" t="s">
        <v>369</v>
      </c>
      <c r="F29" s="246">
        <v>1</v>
      </c>
      <c r="G29" s="245">
        <v>54.2</v>
      </c>
      <c r="H29" s="245"/>
      <c r="I29" s="245"/>
      <c r="J29" s="245">
        <v>17.399999999999999</v>
      </c>
      <c r="K29" s="245">
        <v>9</v>
      </c>
      <c r="L29" s="245">
        <v>7.8</v>
      </c>
      <c r="M29" s="312">
        <v>2024</v>
      </c>
      <c r="N29" s="245">
        <v>70.900000000000006</v>
      </c>
      <c r="O29" s="245"/>
      <c r="P29" s="245"/>
      <c r="Q29" s="245"/>
      <c r="R29" s="245"/>
      <c r="S29" s="245">
        <f t="shared" si="0"/>
        <v>70.900000000000006</v>
      </c>
      <c r="T29" s="278"/>
      <c r="U29" s="245"/>
      <c r="V29" s="267"/>
      <c r="W29" s="268"/>
      <c r="X29" s="268"/>
      <c r="Y29" s="268"/>
      <c r="Z29" s="532"/>
      <c r="AA29" s="533"/>
      <c r="AC29" s="270"/>
    </row>
    <row r="30" spans="1:30" s="269" customFormat="1" ht="15.75" customHeight="1">
      <c r="A30" s="265"/>
      <c r="B30" s="265"/>
      <c r="C30" s="266"/>
      <c r="D30" s="274">
        <v>14</v>
      </c>
      <c r="E30" s="261" t="s">
        <v>370</v>
      </c>
      <c r="F30" s="246">
        <v>1</v>
      </c>
      <c r="G30" s="245">
        <v>15.6</v>
      </c>
      <c r="H30" s="245"/>
      <c r="I30" s="245"/>
      <c r="J30" s="245">
        <v>5</v>
      </c>
      <c r="K30" s="245">
        <v>2.6</v>
      </c>
      <c r="L30" s="245">
        <v>8.4</v>
      </c>
      <c r="M30" s="312">
        <v>2023</v>
      </c>
      <c r="N30" s="245">
        <v>21.9</v>
      </c>
      <c r="O30" s="245"/>
      <c r="P30" s="245"/>
      <c r="Q30" s="245"/>
      <c r="R30" s="245"/>
      <c r="S30" s="245">
        <f t="shared" si="0"/>
        <v>21.9</v>
      </c>
      <c r="T30" s="278"/>
      <c r="U30" s="245"/>
      <c r="V30" s="267"/>
      <c r="W30" s="268"/>
      <c r="X30" s="268"/>
      <c r="Y30" s="268"/>
      <c r="Z30" s="532"/>
      <c r="AA30" s="533"/>
      <c r="AC30" s="270"/>
    </row>
    <row r="31" spans="1:30" s="269" customFormat="1" ht="15.75" customHeight="1">
      <c r="A31" s="265"/>
      <c r="B31" s="265"/>
      <c r="C31" s="266"/>
      <c r="D31" s="274">
        <v>15</v>
      </c>
      <c r="E31" s="261" t="s">
        <v>371</v>
      </c>
      <c r="F31" s="246">
        <v>1</v>
      </c>
      <c r="G31" s="245">
        <v>16.600000000000001</v>
      </c>
      <c r="H31" s="245"/>
      <c r="I31" s="245"/>
      <c r="J31" s="245">
        <v>5.3</v>
      </c>
      <c r="K31" s="245">
        <v>2.8</v>
      </c>
      <c r="L31" s="245">
        <v>7.7</v>
      </c>
      <c r="M31" s="312">
        <v>2023</v>
      </c>
      <c r="N31" s="245">
        <v>21.4</v>
      </c>
      <c r="O31" s="245"/>
      <c r="P31" s="245"/>
      <c r="Q31" s="245"/>
      <c r="R31" s="245"/>
      <c r="S31" s="245">
        <f t="shared" si="0"/>
        <v>21.4</v>
      </c>
      <c r="T31" s="278"/>
      <c r="U31" s="245"/>
      <c r="V31" s="267"/>
      <c r="W31" s="268"/>
      <c r="X31" s="268"/>
      <c r="Y31" s="268"/>
      <c r="Z31" s="532"/>
      <c r="AA31" s="533"/>
      <c r="AC31" s="270"/>
    </row>
    <row r="32" spans="1:30" s="269" customFormat="1" ht="15.75" customHeight="1">
      <c r="A32" s="265"/>
      <c r="B32" s="265"/>
      <c r="C32" s="266"/>
      <c r="D32" s="274">
        <v>16</v>
      </c>
      <c r="E32" s="261" t="s">
        <v>372</v>
      </c>
      <c r="F32" s="246">
        <v>1</v>
      </c>
      <c r="G32" s="245">
        <v>15.9</v>
      </c>
      <c r="H32" s="245"/>
      <c r="I32" s="245"/>
      <c r="J32" s="245">
        <v>5.0999999999999996</v>
      </c>
      <c r="K32" s="245">
        <v>2.7</v>
      </c>
      <c r="L32" s="245">
        <v>8.1</v>
      </c>
      <c r="M32" s="312">
        <v>2024</v>
      </c>
      <c r="N32" s="245">
        <v>21.7</v>
      </c>
      <c r="O32" s="245"/>
      <c r="P32" s="245"/>
      <c r="Q32" s="245"/>
      <c r="R32" s="245"/>
      <c r="S32" s="245">
        <f t="shared" si="0"/>
        <v>21.7</v>
      </c>
      <c r="T32" s="278"/>
      <c r="U32" s="245"/>
      <c r="V32" s="267"/>
      <c r="W32" s="268"/>
      <c r="X32" s="268"/>
      <c r="Y32" s="268"/>
      <c r="Z32" s="532"/>
      <c r="AA32" s="533"/>
      <c r="AC32" s="270"/>
    </row>
    <row r="33" spans="1:29" s="269" customFormat="1" ht="15.75" customHeight="1">
      <c r="A33" s="265"/>
      <c r="B33" s="265"/>
      <c r="C33" s="266"/>
      <c r="D33" s="274">
        <v>17</v>
      </c>
      <c r="E33" s="261" t="s">
        <v>373</v>
      </c>
      <c r="F33" s="246">
        <v>1</v>
      </c>
      <c r="G33" s="245">
        <v>12.2</v>
      </c>
      <c r="H33" s="245"/>
      <c r="I33" s="245"/>
      <c r="J33" s="245">
        <v>3.9</v>
      </c>
      <c r="K33" s="245">
        <v>2</v>
      </c>
      <c r="L33" s="245">
        <v>9.1999999999999993</v>
      </c>
      <c r="M33" s="312">
        <v>2023</v>
      </c>
      <c r="N33" s="245">
        <v>18.8</v>
      </c>
      <c r="O33" s="245"/>
      <c r="P33" s="245"/>
      <c r="Q33" s="245"/>
      <c r="R33" s="245"/>
      <c r="S33" s="245">
        <f t="shared" si="0"/>
        <v>18.8</v>
      </c>
      <c r="T33" s="278"/>
      <c r="U33" s="245"/>
      <c r="V33" s="267"/>
      <c r="W33" s="268"/>
      <c r="X33" s="268"/>
      <c r="Y33" s="268"/>
      <c r="Z33" s="532"/>
      <c r="AA33" s="533"/>
      <c r="AC33" s="270"/>
    </row>
    <row r="34" spans="1:29" s="269" customFormat="1" ht="15.75" customHeight="1">
      <c r="A34" s="265"/>
      <c r="B34" s="265"/>
      <c r="C34" s="266"/>
      <c r="D34" s="274">
        <v>18</v>
      </c>
      <c r="E34" s="261" t="s">
        <v>374</v>
      </c>
      <c r="F34" s="246">
        <v>1</v>
      </c>
      <c r="G34" s="245">
        <v>16.899999999999999</v>
      </c>
      <c r="H34" s="245"/>
      <c r="I34" s="245"/>
      <c r="J34" s="245">
        <v>5.4</v>
      </c>
      <c r="K34" s="245">
        <v>2.8</v>
      </c>
      <c r="L34" s="245">
        <v>7</v>
      </c>
      <c r="M34" s="312">
        <v>2024</v>
      </c>
      <c r="N34" s="245">
        <v>19.7</v>
      </c>
      <c r="O34" s="245"/>
      <c r="P34" s="245"/>
      <c r="Q34" s="245"/>
      <c r="R34" s="245"/>
      <c r="S34" s="245">
        <f t="shared" si="0"/>
        <v>19.7</v>
      </c>
      <c r="T34" s="278"/>
      <c r="U34" s="245"/>
      <c r="V34" s="267"/>
      <c r="W34" s="268"/>
      <c r="X34" s="268"/>
      <c r="Y34" s="268"/>
      <c r="Z34" s="532"/>
      <c r="AA34" s="533"/>
      <c r="AC34" s="270"/>
    </row>
    <row r="35" spans="1:29" s="269" customFormat="1" ht="15.75" customHeight="1">
      <c r="A35" s="265"/>
      <c r="B35" s="265"/>
      <c r="C35" s="266"/>
      <c r="D35" s="274">
        <v>19</v>
      </c>
      <c r="E35" s="261" t="s">
        <v>375</v>
      </c>
      <c r="F35" s="246">
        <v>1</v>
      </c>
      <c r="G35" s="245">
        <v>53.1</v>
      </c>
      <c r="H35" s="245"/>
      <c r="I35" s="245"/>
      <c r="J35" s="245">
        <v>17.100000000000001</v>
      </c>
      <c r="K35" s="245">
        <v>8.9</v>
      </c>
      <c r="L35" s="245">
        <v>8.5</v>
      </c>
      <c r="M35" s="312">
        <v>2023</v>
      </c>
      <c r="N35" s="245">
        <v>75.7</v>
      </c>
      <c r="O35" s="245"/>
      <c r="P35" s="245"/>
      <c r="Q35" s="245"/>
      <c r="R35" s="245"/>
      <c r="S35" s="245">
        <f t="shared" si="0"/>
        <v>75.7</v>
      </c>
      <c r="T35" s="278"/>
      <c r="U35" s="245"/>
      <c r="V35" s="267"/>
      <c r="W35" s="268"/>
      <c r="X35" s="268"/>
      <c r="Y35" s="268"/>
      <c r="Z35" s="532"/>
      <c r="AA35" s="533"/>
      <c r="AC35" s="270"/>
    </row>
    <row r="36" spans="1:29" s="269" customFormat="1" ht="15.75" customHeight="1">
      <c r="A36" s="265"/>
      <c r="B36" s="265"/>
      <c r="C36" s="266"/>
      <c r="D36" s="274">
        <v>20</v>
      </c>
      <c r="E36" s="261" t="s">
        <v>376</v>
      </c>
      <c r="F36" s="246">
        <v>1</v>
      </c>
      <c r="G36" s="245">
        <v>27.8</v>
      </c>
      <c r="H36" s="245"/>
      <c r="I36" s="245"/>
      <c r="J36" s="245">
        <v>9</v>
      </c>
      <c r="K36" s="245">
        <v>4.5999999999999996</v>
      </c>
      <c r="L36" s="245">
        <v>7.5</v>
      </c>
      <c r="M36" s="312">
        <v>2024</v>
      </c>
      <c r="N36" s="245">
        <v>34.6</v>
      </c>
      <c r="O36" s="245"/>
      <c r="P36" s="245"/>
      <c r="Q36" s="245"/>
      <c r="R36" s="245"/>
      <c r="S36" s="245">
        <f t="shared" si="0"/>
        <v>34.6</v>
      </c>
      <c r="T36" s="278"/>
      <c r="U36" s="245"/>
      <c r="V36" s="267"/>
      <c r="W36" s="268"/>
      <c r="X36" s="268"/>
      <c r="Y36" s="268"/>
      <c r="Z36" s="532"/>
      <c r="AA36" s="533"/>
      <c r="AC36" s="270"/>
    </row>
    <row r="37" spans="1:29" s="269" customFormat="1" ht="15.75" customHeight="1">
      <c r="A37" s="265"/>
      <c r="B37" s="265"/>
      <c r="C37" s="266"/>
      <c r="D37" s="274">
        <v>21</v>
      </c>
      <c r="E37" s="261" t="s">
        <v>377</v>
      </c>
      <c r="F37" s="246">
        <v>1</v>
      </c>
      <c r="G37" s="245">
        <v>18.399999999999999</v>
      </c>
      <c r="H37" s="245"/>
      <c r="I37" s="245"/>
      <c r="J37" s="245">
        <v>5.9</v>
      </c>
      <c r="K37" s="245">
        <v>3.1</v>
      </c>
      <c r="L37" s="245">
        <v>8</v>
      </c>
      <c r="M37" s="312">
        <v>2024</v>
      </c>
      <c r="N37" s="245">
        <v>24.5</v>
      </c>
      <c r="O37" s="245"/>
      <c r="P37" s="245"/>
      <c r="Q37" s="245"/>
      <c r="R37" s="245"/>
      <c r="S37" s="245">
        <f t="shared" si="0"/>
        <v>24.5</v>
      </c>
      <c r="T37" s="278"/>
      <c r="U37" s="245"/>
      <c r="V37" s="267"/>
      <c r="W37" s="268"/>
      <c r="X37" s="268"/>
      <c r="Y37" s="268"/>
      <c r="Z37" s="532"/>
      <c r="AA37" s="533"/>
      <c r="AC37" s="270"/>
    </row>
    <row r="38" spans="1:29" s="269" customFormat="1" ht="15.75" customHeight="1">
      <c r="A38" s="265"/>
      <c r="B38" s="265"/>
      <c r="C38" s="266"/>
      <c r="D38" s="274">
        <v>22</v>
      </c>
      <c r="E38" s="261" t="s">
        <v>378</v>
      </c>
      <c r="F38" s="246">
        <v>1</v>
      </c>
      <c r="G38" s="245">
        <v>10</v>
      </c>
      <c r="H38" s="245"/>
      <c r="I38" s="245"/>
      <c r="J38" s="245">
        <v>3.2</v>
      </c>
      <c r="K38" s="245">
        <v>1.7</v>
      </c>
      <c r="L38" s="245">
        <v>9.4</v>
      </c>
      <c r="M38" s="312">
        <v>2024</v>
      </c>
      <c r="N38" s="245">
        <v>15.7</v>
      </c>
      <c r="O38" s="245"/>
      <c r="P38" s="245"/>
      <c r="Q38" s="245"/>
      <c r="R38" s="245"/>
      <c r="S38" s="245">
        <f t="shared" si="0"/>
        <v>15.7</v>
      </c>
      <c r="T38" s="278"/>
      <c r="U38" s="245"/>
      <c r="V38" s="267"/>
      <c r="W38" s="268"/>
      <c r="X38" s="268"/>
      <c r="Y38" s="268"/>
      <c r="Z38" s="532"/>
      <c r="AA38" s="533"/>
      <c r="AC38" s="270"/>
    </row>
    <row r="39" spans="1:29" s="269" customFormat="1" ht="15.75" customHeight="1">
      <c r="A39" s="265"/>
      <c r="B39" s="265"/>
      <c r="C39" s="266"/>
      <c r="D39" s="274">
        <v>23</v>
      </c>
      <c r="E39" s="261" t="s">
        <v>379</v>
      </c>
      <c r="F39" s="246">
        <v>1</v>
      </c>
      <c r="G39" s="245">
        <v>8.4</v>
      </c>
      <c r="H39" s="245"/>
      <c r="I39" s="245"/>
      <c r="J39" s="245">
        <v>2.7</v>
      </c>
      <c r="K39" s="245">
        <v>1.4</v>
      </c>
      <c r="L39" s="245">
        <v>8.5</v>
      </c>
      <c r="M39" s="312">
        <v>2023</v>
      </c>
      <c r="N39" s="245">
        <v>11.9</v>
      </c>
      <c r="O39" s="245"/>
      <c r="P39" s="245"/>
      <c r="Q39" s="245"/>
      <c r="R39" s="245"/>
      <c r="S39" s="245">
        <f t="shared" si="0"/>
        <v>11.9</v>
      </c>
      <c r="T39" s="278"/>
      <c r="U39" s="245"/>
      <c r="V39" s="280"/>
      <c r="W39" s="268"/>
      <c r="X39" s="268"/>
      <c r="Y39" s="268"/>
      <c r="Z39" s="532"/>
      <c r="AA39" s="533"/>
      <c r="AC39" s="270"/>
    </row>
    <row r="40" spans="1:29" s="269" customFormat="1" ht="15.75" customHeight="1">
      <c r="A40" s="265"/>
      <c r="B40" s="265"/>
      <c r="C40" s="266"/>
      <c r="D40" s="274">
        <v>24</v>
      </c>
      <c r="E40" s="261" t="s">
        <v>380</v>
      </c>
      <c r="F40" s="246">
        <v>1</v>
      </c>
      <c r="G40" s="245">
        <v>19.100000000000001</v>
      </c>
      <c r="H40" s="245"/>
      <c r="I40" s="245"/>
      <c r="J40" s="245">
        <v>6.1</v>
      </c>
      <c r="K40" s="245">
        <v>3.2</v>
      </c>
      <c r="L40" s="245">
        <v>8.8000000000000007</v>
      </c>
      <c r="M40" s="312">
        <v>2023</v>
      </c>
      <c r="N40" s="245">
        <v>27.9</v>
      </c>
      <c r="O40" s="245"/>
      <c r="P40" s="245"/>
      <c r="Q40" s="245"/>
      <c r="R40" s="245"/>
      <c r="S40" s="245">
        <f t="shared" si="0"/>
        <v>27.9</v>
      </c>
      <c r="T40" s="278"/>
      <c r="U40" s="245"/>
      <c r="V40" s="267"/>
      <c r="W40" s="268"/>
      <c r="X40" s="268"/>
      <c r="Y40" s="268"/>
      <c r="Z40" s="532"/>
      <c r="AA40" s="533"/>
      <c r="AC40" s="270"/>
    </row>
    <row r="41" spans="1:29" s="269" customFormat="1" ht="15.75" customHeight="1">
      <c r="A41" s="265"/>
      <c r="B41" s="265"/>
      <c r="C41" s="266"/>
      <c r="D41" s="274">
        <v>25</v>
      </c>
      <c r="E41" s="261" t="s">
        <v>381</v>
      </c>
      <c r="F41" s="246">
        <v>1</v>
      </c>
      <c r="G41" s="245">
        <v>16.2</v>
      </c>
      <c r="H41" s="245"/>
      <c r="I41" s="245"/>
      <c r="J41" s="245">
        <v>5.2</v>
      </c>
      <c r="K41" s="245">
        <v>2.7</v>
      </c>
      <c r="L41" s="245">
        <v>7.8</v>
      </c>
      <c r="M41" s="312">
        <v>2023</v>
      </c>
      <c r="N41" s="245">
        <v>21.2</v>
      </c>
      <c r="O41" s="245"/>
      <c r="P41" s="245"/>
      <c r="Q41" s="245"/>
      <c r="R41" s="245"/>
      <c r="S41" s="245">
        <f t="shared" si="0"/>
        <v>21.2</v>
      </c>
      <c r="T41" s="278"/>
      <c r="U41" s="245"/>
      <c r="V41" s="267"/>
      <c r="W41" s="268"/>
      <c r="X41" s="268"/>
      <c r="Y41" s="268"/>
      <c r="Z41" s="532"/>
      <c r="AA41" s="533"/>
      <c r="AC41" s="270"/>
    </row>
    <row r="42" spans="1:29" s="269" customFormat="1" ht="15.75" customHeight="1">
      <c r="A42" s="265"/>
      <c r="B42" s="265"/>
      <c r="C42" s="266"/>
      <c r="D42" s="274">
        <v>26</v>
      </c>
      <c r="E42" s="261" t="s">
        <v>382</v>
      </c>
      <c r="F42" s="246">
        <v>1</v>
      </c>
      <c r="G42" s="245">
        <v>50.3</v>
      </c>
      <c r="H42" s="245"/>
      <c r="I42" s="245"/>
      <c r="J42" s="245">
        <v>16.2</v>
      </c>
      <c r="K42" s="245">
        <v>8.4</v>
      </c>
      <c r="L42" s="245">
        <v>8.3000000000000007</v>
      </c>
      <c r="M42" s="312">
        <v>2024</v>
      </c>
      <c r="N42" s="245">
        <v>69.7</v>
      </c>
      <c r="O42" s="245"/>
      <c r="P42" s="245"/>
      <c r="Q42" s="245"/>
      <c r="R42" s="245"/>
      <c r="S42" s="245">
        <f t="shared" si="0"/>
        <v>69.7</v>
      </c>
      <c r="T42" s="278"/>
      <c r="U42" s="245"/>
      <c r="V42" s="267"/>
      <c r="W42" s="271"/>
      <c r="X42" s="268"/>
      <c r="Y42" s="268"/>
      <c r="Z42" s="530"/>
      <c r="AA42" s="531"/>
      <c r="AC42" s="270"/>
    </row>
    <row r="43" spans="1:29" s="269" customFormat="1" ht="15.75" customHeight="1">
      <c r="A43" s="265"/>
      <c r="B43" s="265"/>
      <c r="C43" s="266"/>
      <c r="D43" s="274">
        <v>27</v>
      </c>
      <c r="E43" s="261" t="s">
        <v>383</v>
      </c>
      <c r="F43" s="246">
        <v>1</v>
      </c>
      <c r="G43" s="245">
        <v>33.1</v>
      </c>
      <c r="H43" s="245"/>
      <c r="I43" s="245"/>
      <c r="J43" s="245">
        <v>10.7</v>
      </c>
      <c r="K43" s="245">
        <v>5.5</v>
      </c>
      <c r="L43" s="245">
        <v>9.1999999999999993</v>
      </c>
      <c r="M43" s="312">
        <v>2023</v>
      </c>
      <c r="N43" s="245">
        <v>50.7</v>
      </c>
      <c r="O43" s="245"/>
      <c r="P43" s="245"/>
      <c r="Q43" s="245"/>
      <c r="R43" s="245"/>
      <c r="S43" s="245">
        <f t="shared" si="0"/>
        <v>50.7</v>
      </c>
      <c r="T43" s="278"/>
      <c r="U43" s="245"/>
      <c r="V43" s="267"/>
      <c r="W43" s="271"/>
      <c r="X43" s="268"/>
      <c r="Y43" s="268"/>
      <c r="Z43" s="272"/>
      <c r="AA43" s="273"/>
      <c r="AC43" s="270"/>
    </row>
    <row r="44" spans="1:29" ht="15.75" customHeight="1">
      <c r="A44" s="51"/>
      <c r="B44" s="51"/>
      <c r="C44" s="52"/>
      <c r="D44" s="274">
        <v>28</v>
      </c>
      <c r="E44" s="261" t="s">
        <v>384</v>
      </c>
      <c r="F44" s="246">
        <v>1</v>
      </c>
      <c r="G44" s="245">
        <v>12.8</v>
      </c>
      <c r="H44" s="245"/>
      <c r="I44" s="245"/>
      <c r="J44" s="245">
        <v>4.0999999999999996</v>
      </c>
      <c r="K44" s="245">
        <v>2.1</v>
      </c>
      <c r="L44" s="245">
        <v>9.1999999999999993</v>
      </c>
      <c r="M44" s="312">
        <v>2024</v>
      </c>
      <c r="N44" s="245">
        <v>19.7</v>
      </c>
      <c r="O44" s="245"/>
      <c r="P44" s="245"/>
      <c r="Q44" s="245"/>
      <c r="R44" s="245"/>
      <c r="S44" s="245">
        <f t="shared" si="0"/>
        <v>19.7</v>
      </c>
      <c r="T44" s="278"/>
      <c r="U44" s="245"/>
      <c r="V44" s="34"/>
      <c r="W44" s="50"/>
      <c r="X44" s="43"/>
      <c r="Y44" s="43"/>
      <c r="Z44" s="242"/>
      <c r="AA44" s="243"/>
      <c r="AC44" s="49"/>
    </row>
    <row r="45" spans="1:29" ht="15.75" customHeight="1">
      <c r="A45" s="51"/>
      <c r="B45" s="51"/>
      <c r="C45" s="52"/>
      <c r="D45" s="274">
        <v>29</v>
      </c>
      <c r="E45" s="261" t="s">
        <v>385</v>
      </c>
      <c r="F45" s="246">
        <v>1</v>
      </c>
      <c r="G45" s="245">
        <v>14.7</v>
      </c>
      <c r="H45" s="245"/>
      <c r="I45" s="245"/>
      <c r="J45" s="245">
        <v>4.7</v>
      </c>
      <c r="K45" s="245">
        <v>2.5</v>
      </c>
      <c r="L45" s="245">
        <v>8.6</v>
      </c>
      <c r="M45" s="312">
        <v>2024</v>
      </c>
      <c r="N45" s="245">
        <v>21.2</v>
      </c>
      <c r="O45" s="245"/>
      <c r="P45" s="245"/>
      <c r="Q45" s="245"/>
      <c r="R45" s="245"/>
      <c r="S45" s="245">
        <f t="shared" si="0"/>
        <v>21.2</v>
      </c>
      <c r="T45" s="278"/>
      <c r="U45" s="245"/>
      <c r="V45" s="34"/>
      <c r="W45" s="50"/>
      <c r="X45" s="43"/>
      <c r="Y45" s="43"/>
      <c r="Z45" s="242"/>
      <c r="AA45" s="243"/>
      <c r="AC45" s="49"/>
    </row>
    <row r="46" spans="1:29" ht="15.75" customHeight="1">
      <c r="A46" s="51"/>
      <c r="B46" s="51"/>
      <c r="C46" s="52"/>
      <c r="D46" s="274">
        <v>30</v>
      </c>
      <c r="E46" s="261" t="s">
        <v>386</v>
      </c>
      <c r="F46" s="246">
        <v>1</v>
      </c>
      <c r="G46" s="245">
        <v>21.9</v>
      </c>
      <c r="H46" s="245"/>
      <c r="I46" s="245"/>
      <c r="J46" s="245">
        <v>7</v>
      </c>
      <c r="K46" s="245">
        <v>3.7</v>
      </c>
      <c r="L46" s="245">
        <v>8.1</v>
      </c>
      <c r="M46" s="312">
        <v>2024</v>
      </c>
      <c r="N46" s="245">
        <v>29.4</v>
      </c>
      <c r="O46" s="245"/>
      <c r="P46" s="245"/>
      <c r="Q46" s="245"/>
      <c r="R46" s="245"/>
      <c r="S46" s="245">
        <f t="shared" si="0"/>
        <v>29.4</v>
      </c>
      <c r="T46" s="278"/>
      <c r="U46" s="245"/>
      <c r="V46" s="34"/>
      <c r="W46" s="50"/>
      <c r="X46" s="43"/>
      <c r="Y46" s="43"/>
      <c r="Z46" s="242"/>
      <c r="AA46" s="243"/>
      <c r="AC46" s="49"/>
    </row>
    <row r="47" spans="1:29" ht="15.75" customHeight="1">
      <c r="A47" s="51"/>
      <c r="B47" s="51"/>
      <c r="C47" s="52"/>
      <c r="D47" s="274">
        <v>31</v>
      </c>
      <c r="E47" s="261" t="s">
        <v>387</v>
      </c>
      <c r="F47" s="246">
        <v>1</v>
      </c>
      <c r="G47" s="245">
        <v>13.7</v>
      </c>
      <c r="H47" s="245"/>
      <c r="I47" s="245"/>
      <c r="J47" s="245">
        <v>4.4000000000000004</v>
      </c>
      <c r="K47" s="245">
        <v>2.2999999999999998</v>
      </c>
      <c r="L47" s="245">
        <v>8.4</v>
      </c>
      <c r="M47" s="312">
        <v>2023</v>
      </c>
      <c r="N47" s="245">
        <v>19.3</v>
      </c>
      <c r="O47" s="245"/>
      <c r="P47" s="245"/>
      <c r="Q47" s="245"/>
      <c r="R47" s="245"/>
      <c r="S47" s="245">
        <f t="shared" si="0"/>
        <v>19.3</v>
      </c>
      <c r="T47" s="278"/>
      <c r="U47" s="245"/>
      <c r="V47" s="34"/>
      <c r="W47" s="50"/>
      <c r="X47" s="43"/>
      <c r="Y47" s="43"/>
      <c r="Z47" s="534"/>
      <c r="AA47" s="535"/>
      <c r="AC47" s="49"/>
    </row>
    <row r="48" spans="1:29" ht="15.75" customHeight="1">
      <c r="A48" s="51"/>
      <c r="B48" s="51"/>
      <c r="C48" s="52"/>
      <c r="D48" s="274">
        <v>32</v>
      </c>
      <c r="E48" s="261" t="s">
        <v>388</v>
      </c>
      <c r="F48" s="246">
        <v>1</v>
      </c>
      <c r="G48" s="245">
        <v>8.6999999999999993</v>
      </c>
      <c r="H48" s="245"/>
      <c r="I48" s="245"/>
      <c r="J48" s="245">
        <v>2.8</v>
      </c>
      <c r="K48" s="245">
        <v>1.5</v>
      </c>
      <c r="L48" s="245">
        <v>9.1999999999999993</v>
      </c>
      <c r="M48" s="312">
        <v>2023</v>
      </c>
      <c r="N48" s="245">
        <v>13.4</v>
      </c>
      <c r="O48" s="245"/>
      <c r="P48" s="245"/>
      <c r="Q48" s="245"/>
      <c r="R48" s="245"/>
      <c r="S48" s="245">
        <f t="shared" si="0"/>
        <v>13.4</v>
      </c>
      <c r="T48" s="278"/>
      <c r="U48" s="245"/>
      <c r="V48" s="34"/>
      <c r="W48" s="50"/>
      <c r="X48" s="43"/>
      <c r="Y48" s="43"/>
      <c r="Z48" s="534"/>
      <c r="AA48" s="535"/>
      <c r="AC48" s="49"/>
    </row>
    <row r="49" spans="1:38" ht="15.75" customHeight="1">
      <c r="A49" s="51"/>
      <c r="B49" s="51"/>
      <c r="C49" s="52"/>
      <c r="D49" s="274">
        <v>33</v>
      </c>
      <c r="E49" s="261" t="s">
        <v>389</v>
      </c>
      <c r="F49" s="246">
        <v>1</v>
      </c>
      <c r="G49" s="245">
        <v>12.2</v>
      </c>
      <c r="H49" s="245"/>
      <c r="I49" s="245"/>
      <c r="J49" s="245">
        <v>3.9</v>
      </c>
      <c r="K49" s="245">
        <v>2</v>
      </c>
      <c r="L49" s="245">
        <v>9</v>
      </c>
      <c r="M49" s="312">
        <v>2023</v>
      </c>
      <c r="N49" s="245">
        <v>18.399999999999999</v>
      </c>
      <c r="O49" s="245"/>
      <c r="P49" s="245"/>
      <c r="Q49" s="245"/>
      <c r="R49" s="245"/>
      <c r="S49" s="245">
        <f t="shared" si="0"/>
        <v>18.399999999999999</v>
      </c>
      <c r="T49" s="278"/>
      <c r="U49" s="245"/>
      <c r="V49" s="34"/>
      <c r="W49" s="50"/>
      <c r="X49" s="43"/>
      <c r="Y49" s="43"/>
      <c r="Z49" s="247"/>
      <c r="AA49" s="248"/>
      <c r="AC49" s="49"/>
    </row>
    <row r="50" spans="1:38" ht="15.75" customHeight="1">
      <c r="A50" s="51"/>
      <c r="B50" s="51"/>
      <c r="C50" s="52"/>
      <c r="D50" s="274">
        <v>34</v>
      </c>
      <c r="E50" s="261" t="s">
        <v>390</v>
      </c>
      <c r="F50" s="246">
        <v>1</v>
      </c>
      <c r="G50" s="245">
        <v>19.100000000000001</v>
      </c>
      <c r="H50" s="245"/>
      <c r="I50" s="245"/>
      <c r="J50" s="245">
        <v>6.1</v>
      </c>
      <c r="K50" s="245">
        <v>3.2</v>
      </c>
      <c r="L50" s="245">
        <v>8.1</v>
      </c>
      <c r="M50" s="312">
        <v>2024</v>
      </c>
      <c r="N50" s="245">
        <v>25.9</v>
      </c>
      <c r="O50" s="245"/>
      <c r="P50" s="245"/>
      <c r="Q50" s="245"/>
      <c r="R50" s="245"/>
      <c r="S50" s="245">
        <f t="shared" si="0"/>
        <v>25.9</v>
      </c>
      <c r="T50" s="278"/>
      <c r="U50" s="245"/>
      <c r="V50" s="34"/>
      <c r="W50" s="50"/>
      <c r="X50" s="43"/>
      <c r="Y50" s="43"/>
      <c r="Z50" s="247"/>
      <c r="AA50" s="248"/>
      <c r="AC50" s="49"/>
    </row>
    <row r="51" spans="1:38" ht="48" customHeight="1">
      <c r="A51" s="51"/>
      <c r="B51" s="51"/>
      <c r="C51" s="52"/>
      <c r="D51" s="274">
        <v>35</v>
      </c>
      <c r="E51" s="261" t="s">
        <v>400</v>
      </c>
      <c r="F51" s="246">
        <v>1</v>
      </c>
      <c r="G51" s="245">
        <v>27.2</v>
      </c>
      <c r="H51" s="245"/>
      <c r="I51" s="245"/>
      <c r="J51" s="245">
        <v>8.8000000000000007</v>
      </c>
      <c r="K51" s="245">
        <v>4.5</v>
      </c>
      <c r="L51" s="245">
        <v>8.8000000000000007</v>
      </c>
      <c r="M51" s="312">
        <v>2023</v>
      </c>
      <c r="N51" s="245">
        <v>39.9</v>
      </c>
      <c r="O51" s="245"/>
      <c r="P51" s="245"/>
      <c r="Q51" s="245"/>
      <c r="R51" s="245"/>
      <c r="S51" s="245">
        <f t="shared" si="0"/>
        <v>39.9</v>
      </c>
      <c r="T51" s="278"/>
      <c r="U51" s="245"/>
      <c r="V51" s="34"/>
      <c r="W51" s="50"/>
      <c r="X51" s="43"/>
      <c r="Y51" s="43"/>
      <c r="Z51" s="247"/>
      <c r="AA51" s="248"/>
      <c r="AC51" s="49"/>
    </row>
    <row r="52" spans="1:38" ht="48" customHeight="1">
      <c r="A52" s="51"/>
      <c r="B52" s="51"/>
      <c r="C52" s="52"/>
      <c r="D52" s="274">
        <v>36</v>
      </c>
      <c r="E52" s="334" t="s">
        <v>401</v>
      </c>
      <c r="F52" s="246">
        <v>1</v>
      </c>
      <c r="G52" s="245">
        <v>61.6</v>
      </c>
      <c r="H52" s="245"/>
      <c r="I52" s="245"/>
      <c r="J52" s="245">
        <v>19.8</v>
      </c>
      <c r="K52" s="245">
        <v>10.3</v>
      </c>
      <c r="L52" s="245">
        <v>6.9</v>
      </c>
      <c r="M52" s="312">
        <v>2023</v>
      </c>
      <c r="N52" s="245">
        <v>71.3</v>
      </c>
      <c r="O52" s="245"/>
      <c r="P52" s="245"/>
      <c r="Q52" s="245"/>
      <c r="R52" s="245"/>
      <c r="S52" s="245">
        <f t="shared" si="0"/>
        <v>71.3</v>
      </c>
      <c r="T52" s="278"/>
      <c r="U52" s="245"/>
      <c r="V52" s="34"/>
      <c r="W52" s="50"/>
      <c r="X52" s="43"/>
      <c r="Y52" s="43"/>
      <c r="Z52" s="247"/>
      <c r="AA52" s="248"/>
      <c r="AC52" s="49"/>
    </row>
    <row r="53" spans="1:38" ht="48" customHeight="1">
      <c r="A53" s="51"/>
      <c r="B53" s="51"/>
      <c r="C53" s="52"/>
      <c r="D53" s="274">
        <v>37</v>
      </c>
      <c r="E53" s="261" t="s">
        <v>405</v>
      </c>
      <c r="F53" s="246">
        <v>1</v>
      </c>
      <c r="G53" s="245">
        <v>61.6</v>
      </c>
      <c r="H53" s="245"/>
      <c r="I53" s="245"/>
      <c r="J53" s="245">
        <v>19.8</v>
      </c>
      <c r="K53" s="245">
        <v>10.3</v>
      </c>
      <c r="L53" s="245">
        <v>6.9</v>
      </c>
      <c r="M53" s="312">
        <v>2023</v>
      </c>
      <c r="N53" s="245">
        <v>71.3</v>
      </c>
      <c r="O53" s="245"/>
      <c r="P53" s="245"/>
      <c r="Q53" s="245"/>
      <c r="R53" s="245"/>
      <c r="S53" s="245">
        <f t="shared" si="0"/>
        <v>71.3</v>
      </c>
      <c r="T53" s="278"/>
      <c r="U53" s="245"/>
      <c r="V53" s="34"/>
      <c r="W53" s="50"/>
      <c r="X53" s="43"/>
      <c r="Y53" s="43"/>
      <c r="Z53" s="247"/>
      <c r="AA53" s="248"/>
      <c r="AC53" s="49"/>
    </row>
    <row r="54" spans="1:38" ht="48" customHeight="1">
      <c r="A54" s="51"/>
      <c r="B54" s="51"/>
      <c r="C54" s="52"/>
      <c r="D54" s="274">
        <v>38</v>
      </c>
      <c r="E54" s="261" t="s">
        <v>406</v>
      </c>
      <c r="F54" s="246">
        <v>1</v>
      </c>
      <c r="G54" s="245">
        <v>27.2</v>
      </c>
      <c r="H54" s="245"/>
      <c r="I54" s="245"/>
      <c r="J54" s="245">
        <v>8.8000000000000007</v>
      </c>
      <c r="K54" s="245">
        <v>4.5</v>
      </c>
      <c r="L54" s="245">
        <v>8.8000000000000007</v>
      </c>
      <c r="M54" s="312">
        <v>2023</v>
      </c>
      <c r="N54" s="245">
        <v>39.9</v>
      </c>
      <c r="O54" s="245"/>
      <c r="P54" s="245"/>
      <c r="Q54" s="245"/>
      <c r="R54" s="245"/>
      <c r="S54" s="245">
        <f t="shared" si="0"/>
        <v>39.9</v>
      </c>
      <c r="T54" s="278"/>
      <c r="U54" s="245"/>
      <c r="V54" s="34"/>
      <c r="W54" s="50"/>
      <c r="X54" s="43"/>
      <c r="Y54" s="43"/>
      <c r="Z54" s="247"/>
      <c r="AA54" s="248"/>
      <c r="AC54" s="49"/>
    </row>
    <row r="55" spans="1:38" ht="48" customHeight="1">
      <c r="A55" s="51"/>
      <c r="B55" s="51"/>
      <c r="C55" s="52"/>
      <c r="D55" s="274">
        <v>39</v>
      </c>
      <c r="E55" s="261" t="s">
        <v>408</v>
      </c>
      <c r="F55" s="246">
        <v>1</v>
      </c>
      <c r="G55" s="245">
        <v>27.2</v>
      </c>
      <c r="H55" s="245"/>
      <c r="I55" s="245"/>
      <c r="J55" s="245">
        <v>8.8000000000000007</v>
      </c>
      <c r="K55" s="245">
        <v>4.5</v>
      </c>
      <c r="L55" s="245">
        <v>8.8000000000000007</v>
      </c>
      <c r="M55" s="312">
        <v>2023</v>
      </c>
      <c r="N55" s="245">
        <v>39.9</v>
      </c>
      <c r="O55" s="245"/>
      <c r="P55" s="245"/>
      <c r="Q55" s="245"/>
      <c r="R55" s="245"/>
      <c r="S55" s="245">
        <f t="shared" si="0"/>
        <v>39.9</v>
      </c>
      <c r="T55" s="278"/>
      <c r="U55" s="245"/>
      <c r="V55" s="34"/>
      <c r="W55" s="50"/>
      <c r="X55" s="43"/>
      <c r="Y55" s="43"/>
      <c r="Z55" s="247"/>
      <c r="AA55" s="248"/>
      <c r="AC55" s="49"/>
    </row>
    <row r="56" spans="1:38" ht="48" customHeight="1">
      <c r="A56" s="51"/>
      <c r="B56" s="51"/>
      <c r="C56" s="52"/>
      <c r="D56" s="274">
        <v>40</v>
      </c>
      <c r="E56" s="261" t="s">
        <v>408</v>
      </c>
      <c r="F56" s="246">
        <v>1</v>
      </c>
      <c r="G56" s="245">
        <v>27.2</v>
      </c>
      <c r="H56" s="245"/>
      <c r="I56" s="245"/>
      <c r="J56" s="245">
        <v>8.8000000000000007</v>
      </c>
      <c r="K56" s="245">
        <v>4.5</v>
      </c>
      <c r="L56" s="245">
        <v>8.8000000000000007</v>
      </c>
      <c r="M56" s="312">
        <v>2023</v>
      </c>
      <c r="N56" s="245">
        <v>39.9</v>
      </c>
      <c r="O56" s="245"/>
      <c r="P56" s="245"/>
      <c r="Q56" s="245"/>
      <c r="R56" s="245"/>
      <c r="S56" s="245">
        <f t="shared" si="0"/>
        <v>39.9</v>
      </c>
      <c r="T56" s="278"/>
      <c r="U56" s="245"/>
      <c r="V56" s="34"/>
      <c r="W56" s="50"/>
      <c r="X56" s="43"/>
      <c r="Y56" s="43"/>
      <c r="Z56" s="247"/>
      <c r="AA56" s="248"/>
      <c r="AC56" s="49"/>
    </row>
    <row r="57" spans="1:38" ht="48" customHeight="1">
      <c r="A57" s="51"/>
      <c r="B57" s="51"/>
      <c r="C57" s="52"/>
      <c r="D57" s="274">
        <v>41</v>
      </c>
      <c r="E57" s="261" t="s">
        <v>409</v>
      </c>
      <c r="F57" s="246">
        <v>1</v>
      </c>
      <c r="G57" s="245">
        <v>27.2</v>
      </c>
      <c r="H57" s="245"/>
      <c r="I57" s="245"/>
      <c r="J57" s="245">
        <v>8.8000000000000007</v>
      </c>
      <c r="K57" s="245">
        <v>4.5</v>
      </c>
      <c r="L57" s="245">
        <v>8.8000000000000007</v>
      </c>
      <c r="M57" s="312">
        <v>2023</v>
      </c>
      <c r="N57" s="245">
        <v>39.9</v>
      </c>
      <c r="O57" s="245"/>
      <c r="P57" s="245"/>
      <c r="Q57" s="245"/>
      <c r="R57" s="245"/>
      <c r="S57" s="245">
        <f t="shared" si="0"/>
        <v>39.9</v>
      </c>
      <c r="T57" s="278"/>
      <c r="U57" s="245"/>
      <c r="V57" s="34"/>
      <c r="W57" s="50"/>
      <c r="X57" s="43"/>
      <c r="Y57" s="43"/>
      <c r="Z57" s="247"/>
      <c r="AA57" s="248"/>
      <c r="AC57" s="49"/>
    </row>
    <row r="58" spans="1:38" ht="48" customHeight="1">
      <c r="A58" s="51"/>
      <c r="B58" s="51"/>
      <c r="C58" s="52"/>
      <c r="D58" s="274">
        <v>42</v>
      </c>
      <c r="E58" s="261" t="s">
        <v>409</v>
      </c>
      <c r="F58" s="246">
        <v>1</v>
      </c>
      <c r="G58" s="245">
        <v>27.2</v>
      </c>
      <c r="H58" s="245"/>
      <c r="I58" s="245"/>
      <c r="J58" s="245">
        <v>8.8000000000000007</v>
      </c>
      <c r="K58" s="245">
        <v>4.5</v>
      </c>
      <c r="L58" s="245">
        <v>8.8000000000000007</v>
      </c>
      <c r="M58" s="312">
        <v>2023</v>
      </c>
      <c r="N58" s="245">
        <v>39.9</v>
      </c>
      <c r="O58" s="245"/>
      <c r="P58" s="245"/>
      <c r="Q58" s="245"/>
      <c r="R58" s="245"/>
      <c r="S58" s="245">
        <f t="shared" si="0"/>
        <v>39.9</v>
      </c>
      <c r="T58" s="278"/>
      <c r="U58" s="245"/>
      <c r="V58" s="34"/>
      <c r="W58" s="50"/>
      <c r="X58" s="43"/>
      <c r="Y58" s="43"/>
      <c r="Z58" s="247"/>
      <c r="AA58" s="248"/>
      <c r="AC58" s="49"/>
    </row>
    <row r="59" spans="1:38" ht="48" customHeight="1">
      <c r="A59" s="51"/>
      <c r="B59" s="51"/>
      <c r="C59" s="52"/>
      <c r="D59" s="274">
        <v>43</v>
      </c>
      <c r="E59" s="261" t="s">
        <v>409</v>
      </c>
      <c r="F59" s="246">
        <v>1</v>
      </c>
      <c r="G59" s="245">
        <v>27.2</v>
      </c>
      <c r="H59" s="245"/>
      <c r="I59" s="245"/>
      <c r="J59" s="245">
        <v>8.8000000000000007</v>
      </c>
      <c r="K59" s="245">
        <v>4.5</v>
      </c>
      <c r="L59" s="245">
        <v>8.8000000000000007</v>
      </c>
      <c r="M59" s="312">
        <v>2023</v>
      </c>
      <c r="N59" s="245">
        <v>39.9</v>
      </c>
      <c r="O59" s="245"/>
      <c r="P59" s="245"/>
      <c r="Q59" s="245"/>
      <c r="R59" s="245"/>
      <c r="S59" s="245">
        <f t="shared" si="0"/>
        <v>39.9</v>
      </c>
      <c r="T59" s="278"/>
      <c r="U59" s="245"/>
      <c r="V59" s="34"/>
      <c r="W59" s="50"/>
      <c r="X59" s="43"/>
      <c r="Y59" s="43"/>
      <c r="Z59" s="247"/>
      <c r="AA59" s="248"/>
      <c r="AC59" s="49"/>
    </row>
    <row r="60" spans="1:38" ht="47.25">
      <c r="A60" s="51"/>
      <c r="B60" s="51"/>
      <c r="C60" s="52"/>
      <c r="D60" s="274">
        <v>44</v>
      </c>
      <c r="E60" s="261" t="s">
        <v>410</v>
      </c>
      <c r="F60" s="246">
        <v>1</v>
      </c>
      <c r="G60" s="245">
        <v>27.2</v>
      </c>
      <c r="H60" s="245"/>
      <c r="I60" s="245"/>
      <c r="J60" s="245">
        <v>8.8000000000000007</v>
      </c>
      <c r="K60" s="245">
        <v>4.5</v>
      </c>
      <c r="L60" s="245">
        <v>8.8000000000000007</v>
      </c>
      <c r="M60" s="312">
        <v>2023</v>
      </c>
      <c r="N60" s="245">
        <v>39.9</v>
      </c>
      <c r="O60" s="245"/>
      <c r="P60" s="245"/>
      <c r="Q60" s="245"/>
      <c r="R60" s="245"/>
      <c r="S60" s="245">
        <f t="shared" si="0"/>
        <v>39.9</v>
      </c>
      <c r="T60" s="278"/>
      <c r="U60" s="245"/>
      <c r="V60" s="34"/>
      <c r="W60" s="50"/>
      <c r="X60" s="43"/>
      <c r="Y60" s="43"/>
      <c r="Z60" s="534"/>
      <c r="AA60" s="535"/>
      <c r="AC60" s="49"/>
    </row>
    <row r="61" spans="1:38" ht="47.25">
      <c r="A61" s="252"/>
      <c r="B61" s="252"/>
      <c r="C61" s="253"/>
      <c r="D61" s="274">
        <v>45</v>
      </c>
      <c r="E61" s="334" t="s">
        <v>413</v>
      </c>
      <c r="F61" s="246">
        <v>1</v>
      </c>
      <c r="G61" s="245">
        <v>61.6</v>
      </c>
      <c r="H61" s="245"/>
      <c r="I61" s="245"/>
      <c r="J61" s="245">
        <v>19.8</v>
      </c>
      <c r="K61" s="245">
        <v>10.3</v>
      </c>
      <c r="L61" s="245">
        <v>6.9</v>
      </c>
      <c r="M61" s="312">
        <v>2023</v>
      </c>
      <c r="N61" s="245">
        <v>71.3</v>
      </c>
      <c r="O61" s="245"/>
      <c r="P61" s="245"/>
      <c r="Q61" s="245"/>
      <c r="R61" s="245"/>
      <c r="S61" s="245">
        <f t="shared" si="0"/>
        <v>71.3</v>
      </c>
      <c r="T61" s="278"/>
      <c r="U61" s="245"/>
      <c r="V61" s="34"/>
      <c r="W61" s="260"/>
      <c r="X61" s="234"/>
      <c r="Y61" s="234"/>
      <c r="Z61" s="234"/>
      <c r="AA61" s="234"/>
      <c r="AC61" s="49"/>
    </row>
    <row r="62" spans="1:38" ht="47.25">
      <c r="A62" s="252"/>
      <c r="B62" s="252"/>
      <c r="C62" s="253"/>
      <c r="D62" s="274">
        <v>46</v>
      </c>
      <c r="E62" s="261" t="s">
        <v>417</v>
      </c>
      <c r="F62" s="246">
        <v>1</v>
      </c>
      <c r="G62" s="245">
        <v>61.6</v>
      </c>
      <c r="H62" s="245"/>
      <c r="I62" s="245"/>
      <c r="J62" s="245">
        <v>19.8</v>
      </c>
      <c r="K62" s="245">
        <v>10.3</v>
      </c>
      <c r="L62" s="245">
        <v>6.9</v>
      </c>
      <c r="M62" s="312">
        <v>2023</v>
      </c>
      <c r="N62" s="245">
        <v>71.3</v>
      </c>
      <c r="O62" s="245"/>
      <c r="P62" s="245"/>
      <c r="Q62" s="245"/>
      <c r="R62" s="245"/>
      <c r="S62" s="245">
        <f t="shared" si="0"/>
        <v>71.3</v>
      </c>
      <c r="T62" s="278"/>
      <c r="U62" s="245"/>
      <c r="V62" s="34"/>
      <c r="W62" s="260"/>
      <c r="X62" s="234"/>
      <c r="Y62" s="234"/>
      <c r="Z62" s="234"/>
      <c r="AA62" s="234"/>
      <c r="AC62" s="49"/>
    </row>
    <row r="63" spans="1:38" ht="31.5" customHeight="1">
      <c r="A63" s="489" t="s">
        <v>0</v>
      </c>
      <c r="B63" s="492" t="s">
        <v>1</v>
      </c>
      <c r="C63" s="495" t="s">
        <v>2</v>
      </c>
      <c r="D63" s="274">
        <v>47</v>
      </c>
      <c r="E63" s="261" t="s">
        <v>418</v>
      </c>
      <c r="F63" s="246">
        <v>1</v>
      </c>
      <c r="G63" s="245">
        <v>27.2</v>
      </c>
      <c r="H63" s="245"/>
      <c r="I63" s="245"/>
      <c r="J63" s="245">
        <v>8.8000000000000007</v>
      </c>
      <c r="K63" s="245">
        <v>4.5</v>
      </c>
      <c r="L63" s="245">
        <v>8.8000000000000007</v>
      </c>
      <c r="M63" s="312">
        <v>2023</v>
      </c>
      <c r="N63" s="245">
        <v>39.9</v>
      </c>
      <c r="O63" s="245"/>
      <c r="P63" s="245"/>
      <c r="Q63" s="245"/>
      <c r="R63" s="245"/>
      <c r="S63" s="245">
        <f t="shared" si="0"/>
        <v>39.9</v>
      </c>
      <c r="T63" s="278"/>
      <c r="U63" s="245"/>
      <c r="V63" s="30"/>
      <c r="W63" s="23"/>
      <c r="X63" s="23"/>
      <c r="Y63" s="23"/>
      <c r="AC63" s="23"/>
      <c r="AD63" s="23"/>
      <c r="AE63" s="23"/>
      <c r="AF63" s="23"/>
      <c r="AI63" s="23"/>
      <c r="AJ63" s="23"/>
      <c r="AK63" s="23"/>
      <c r="AL63" s="23"/>
    </row>
    <row r="64" spans="1:38" ht="47.25" customHeight="1">
      <c r="A64" s="490"/>
      <c r="B64" s="493"/>
      <c r="C64" s="496"/>
      <c r="D64" s="274">
        <v>48</v>
      </c>
      <c r="E64" s="261" t="s">
        <v>420</v>
      </c>
      <c r="F64" s="246">
        <v>1</v>
      </c>
      <c r="G64" s="245">
        <v>44.8</v>
      </c>
      <c r="H64" s="245"/>
      <c r="I64" s="245"/>
      <c r="J64" s="245">
        <v>14.4</v>
      </c>
      <c r="K64" s="245">
        <v>7.5</v>
      </c>
      <c r="L64" s="245">
        <v>9.5</v>
      </c>
      <c r="M64" s="312">
        <v>2023</v>
      </c>
      <c r="N64" s="245">
        <v>71.3</v>
      </c>
      <c r="O64" s="245"/>
      <c r="P64" s="245"/>
      <c r="Q64" s="245"/>
      <c r="R64" s="245"/>
      <c r="S64" s="245">
        <f t="shared" si="0"/>
        <v>71.3</v>
      </c>
      <c r="T64" s="278"/>
      <c r="U64" s="245"/>
      <c r="V64" s="31"/>
      <c r="W64" s="23"/>
      <c r="X64" s="23"/>
      <c r="Y64" s="23"/>
      <c r="AC64" s="170"/>
      <c r="AD64" s="170"/>
      <c r="AE64" s="170"/>
      <c r="AF64" s="170"/>
      <c r="AH64" s="171"/>
      <c r="AI64" s="171"/>
      <c r="AJ64" s="171"/>
      <c r="AK64" s="171"/>
      <c r="AL64" s="171"/>
    </row>
    <row r="65" spans="1:38" ht="31.5" customHeight="1">
      <c r="A65" s="491"/>
      <c r="B65" s="494"/>
      <c r="C65" s="497"/>
      <c r="D65" s="274">
        <v>49</v>
      </c>
      <c r="E65" s="261" t="s">
        <v>418</v>
      </c>
      <c r="F65" s="246">
        <v>1</v>
      </c>
      <c r="G65" s="245">
        <v>27.2</v>
      </c>
      <c r="H65" s="245"/>
      <c r="I65" s="245"/>
      <c r="J65" s="245">
        <v>8.8000000000000007</v>
      </c>
      <c r="K65" s="245">
        <v>4.5</v>
      </c>
      <c r="L65" s="245">
        <v>8.8000000000000007</v>
      </c>
      <c r="M65" s="312">
        <v>2023</v>
      </c>
      <c r="N65" s="245">
        <v>39.9</v>
      </c>
      <c r="O65" s="245"/>
      <c r="P65" s="245"/>
      <c r="Q65" s="245"/>
      <c r="R65" s="245"/>
      <c r="S65" s="245">
        <f t="shared" si="0"/>
        <v>39.9</v>
      </c>
      <c r="T65" s="278"/>
      <c r="U65" s="245"/>
      <c r="V65" s="32"/>
      <c r="W65" s="35" t="s">
        <v>32</v>
      </c>
      <c r="X65" s="35" t="s">
        <v>33</v>
      </c>
      <c r="Y65" s="35" t="s">
        <v>34</v>
      </c>
      <c r="Z65" s="44" t="s">
        <v>35</v>
      </c>
      <c r="AA65" s="169" t="s">
        <v>36</v>
      </c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</row>
    <row r="66" spans="1:38" ht="48" customHeight="1">
      <c r="A66" s="51"/>
      <c r="B66" s="51"/>
      <c r="C66" s="52"/>
      <c r="D66" s="274">
        <v>50</v>
      </c>
      <c r="E66" s="261" t="s">
        <v>429</v>
      </c>
      <c r="F66" s="246">
        <v>1</v>
      </c>
      <c r="G66" s="245">
        <v>27.2</v>
      </c>
      <c r="H66" s="245"/>
      <c r="I66" s="245"/>
      <c r="J66" s="245">
        <v>8.8000000000000007</v>
      </c>
      <c r="K66" s="245">
        <v>4.5</v>
      </c>
      <c r="L66" s="245">
        <v>8.8000000000000007</v>
      </c>
      <c r="M66" s="312">
        <v>2023</v>
      </c>
      <c r="N66" s="245">
        <v>39.9</v>
      </c>
      <c r="O66" s="245"/>
      <c r="P66" s="245"/>
      <c r="Q66" s="245"/>
      <c r="R66" s="245"/>
      <c r="S66" s="245">
        <f t="shared" si="0"/>
        <v>39.9</v>
      </c>
      <c r="T66" s="278"/>
      <c r="U66" s="245"/>
      <c r="V66" s="34"/>
      <c r="W66" s="50"/>
      <c r="X66" s="43"/>
      <c r="Y66" s="43"/>
      <c r="Z66" s="528"/>
      <c r="AA66" s="529"/>
      <c r="AC66" s="49"/>
    </row>
    <row r="67" spans="1:38" ht="51.95" customHeight="1">
      <c r="A67" s="51"/>
      <c r="B67" s="51"/>
      <c r="C67" s="52"/>
      <c r="D67" s="274">
        <v>51</v>
      </c>
      <c r="E67" s="261" t="s">
        <v>438</v>
      </c>
      <c r="F67" s="246">
        <v>1</v>
      </c>
      <c r="G67" s="245">
        <v>27.2</v>
      </c>
      <c r="H67" s="245"/>
      <c r="I67" s="245"/>
      <c r="J67" s="245">
        <v>8.8000000000000007</v>
      </c>
      <c r="K67" s="245">
        <v>4.5</v>
      </c>
      <c r="L67" s="245">
        <v>8.8000000000000007</v>
      </c>
      <c r="M67" s="312">
        <v>2023</v>
      </c>
      <c r="N67" s="245">
        <v>39.9</v>
      </c>
      <c r="O67" s="245"/>
      <c r="P67" s="245"/>
      <c r="Q67" s="245"/>
      <c r="R67" s="245"/>
      <c r="S67" s="245">
        <f t="shared" si="0"/>
        <v>39.9</v>
      </c>
      <c r="T67" s="278"/>
      <c r="U67" s="245"/>
      <c r="V67" s="34"/>
      <c r="W67" s="50"/>
      <c r="X67" s="43"/>
      <c r="Y67" s="43"/>
      <c r="Z67" s="532"/>
      <c r="AA67" s="533"/>
      <c r="AC67" s="49"/>
    </row>
    <row r="68" spans="1:38" ht="47.25">
      <c r="A68" s="51"/>
      <c r="B68" s="51"/>
      <c r="C68" s="52"/>
      <c r="D68" s="274">
        <v>52</v>
      </c>
      <c r="E68" s="261" t="s">
        <v>438</v>
      </c>
      <c r="F68" s="246">
        <v>1</v>
      </c>
      <c r="G68" s="245">
        <v>27.2</v>
      </c>
      <c r="H68" s="245"/>
      <c r="I68" s="245"/>
      <c r="J68" s="245">
        <v>8.8000000000000007</v>
      </c>
      <c r="K68" s="245">
        <v>4.5</v>
      </c>
      <c r="L68" s="245">
        <v>8.8000000000000007</v>
      </c>
      <c r="M68" s="312">
        <v>2023</v>
      </c>
      <c r="N68" s="245">
        <v>39.9</v>
      </c>
      <c r="O68" s="245"/>
      <c r="P68" s="245"/>
      <c r="Q68" s="245"/>
      <c r="R68" s="245"/>
      <c r="S68" s="245">
        <f t="shared" si="0"/>
        <v>39.9</v>
      </c>
      <c r="T68" s="278"/>
      <c r="U68" s="245"/>
      <c r="V68" s="34"/>
      <c r="W68" s="50"/>
      <c r="X68" s="43"/>
      <c r="Y68" s="43"/>
      <c r="Z68" s="263"/>
      <c r="AA68" s="264"/>
      <c r="AC68" s="49"/>
    </row>
    <row r="69" spans="1:38" ht="47.25">
      <c r="A69" s="51"/>
      <c r="B69" s="51"/>
      <c r="C69" s="52"/>
      <c r="D69" s="274">
        <v>53</v>
      </c>
      <c r="E69" s="261" t="s">
        <v>439</v>
      </c>
      <c r="F69" s="246">
        <v>1</v>
      </c>
      <c r="G69" s="245">
        <v>27.2</v>
      </c>
      <c r="H69" s="245"/>
      <c r="I69" s="245"/>
      <c r="J69" s="245">
        <v>8.8000000000000007</v>
      </c>
      <c r="K69" s="245">
        <v>4.5</v>
      </c>
      <c r="L69" s="245">
        <v>8.8000000000000007</v>
      </c>
      <c r="M69" s="312">
        <v>2024</v>
      </c>
      <c r="N69" s="245">
        <v>39.9</v>
      </c>
      <c r="O69" s="245"/>
      <c r="P69" s="245"/>
      <c r="Q69" s="245"/>
      <c r="R69" s="245"/>
      <c r="S69" s="245">
        <f t="shared" si="0"/>
        <v>39.9</v>
      </c>
      <c r="T69" s="278"/>
      <c r="U69" s="245"/>
      <c r="V69" s="34"/>
      <c r="W69" s="50"/>
      <c r="X69" s="43"/>
      <c r="Y69" s="43"/>
      <c r="Z69" s="532"/>
      <c r="AA69" s="533"/>
      <c r="AC69" s="49"/>
    </row>
    <row r="70" spans="1:38" ht="47.25">
      <c r="A70" s="51"/>
      <c r="B70" s="51"/>
      <c r="C70" s="52"/>
      <c r="D70" s="274">
        <v>54</v>
      </c>
      <c r="E70" s="261" t="s">
        <v>439</v>
      </c>
      <c r="F70" s="246">
        <v>1</v>
      </c>
      <c r="G70" s="245">
        <v>27.2</v>
      </c>
      <c r="H70" s="245"/>
      <c r="I70" s="245"/>
      <c r="J70" s="245">
        <v>8.8000000000000007</v>
      </c>
      <c r="K70" s="245">
        <v>4.5</v>
      </c>
      <c r="L70" s="245">
        <v>8.8000000000000007</v>
      </c>
      <c r="M70" s="312">
        <v>2024</v>
      </c>
      <c r="N70" s="245">
        <v>39.9</v>
      </c>
      <c r="O70" s="245"/>
      <c r="P70" s="245"/>
      <c r="Q70" s="245"/>
      <c r="R70" s="245"/>
      <c r="S70" s="245">
        <f t="shared" si="0"/>
        <v>39.9</v>
      </c>
      <c r="T70" s="278"/>
      <c r="U70" s="245"/>
      <c r="V70" s="34"/>
      <c r="W70" s="50"/>
      <c r="X70" s="43"/>
      <c r="Y70" s="43"/>
      <c r="Z70" s="532"/>
      <c r="AA70" s="533"/>
      <c r="AC70" s="49"/>
    </row>
    <row r="71" spans="1:38" ht="47.25" customHeight="1">
      <c r="A71" s="51"/>
      <c r="B71" s="51"/>
      <c r="C71" s="52"/>
      <c r="D71" s="274">
        <v>55</v>
      </c>
      <c r="E71" s="261" t="s">
        <v>443</v>
      </c>
      <c r="F71" s="246">
        <v>1</v>
      </c>
      <c r="G71" s="245">
        <v>61.6</v>
      </c>
      <c r="H71" s="245"/>
      <c r="I71" s="245"/>
      <c r="J71" s="245">
        <v>19.8</v>
      </c>
      <c r="K71" s="245">
        <v>10.3</v>
      </c>
      <c r="L71" s="245">
        <v>6.9</v>
      </c>
      <c r="M71" s="312">
        <v>2024</v>
      </c>
      <c r="N71" s="245">
        <v>71.3</v>
      </c>
      <c r="O71" s="245"/>
      <c r="P71" s="245"/>
      <c r="Q71" s="245"/>
      <c r="R71" s="245"/>
      <c r="S71" s="245">
        <f t="shared" si="0"/>
        <v>71.3</v>
      </c>
      <c r="T71" s="278"/>
      <c r="U71" s="245"/>
      <c r="V71" s="34"/>
      <c r="W71" s="50"/>
      <c r="X71" s="43"/>
      <c r="Y71" s="43"/>
      <c r="Z71" s="532"/>
      <c r="AA71" s="533"/>
      <c r="AC71" s="49"/>
    </row>
    <row r="72" spans="1:38" ht="47.25" customHeight="1">
      <c r="A72" s="51"/>
      <c r="B72" s="51"/>
      <c r="C72" s="52"/>
      <c r="D72" s="274">
        <v>56</v>
      </c>
      <c r="E72" s="261" t="s">
        <v>444</v>
      </c>
      <c r="F72" s="246">
        <v>1</v>
      </c>
      <c r="G72" s="245">
        <v>27.2</v>
      </c>
      <c r="H72" s="245"/>
      <c r="I72" s="245"/>
      <c r="J72" s="245">
        <v>8.8000000000000007</v>
      </c>
      <c r="K72" s="245">
        <v>4.5</v>
      </c>
      <c r="L72" s="245">
        <v>8.8000000000000007</v>
      </c>
      <c r="M72" s="312">
        <v>2024</v>
      </c>
      <c r="N72" s="245">
        <v>39.9</v>
      </c>
      <c r="O72" s="245"/>
      <c r="P72" s="245"/>
      <c r="Q72" s="245"/>
      <c r="R72" s="245"/>
      <c r="S72" s="245">
        <f t="shared" si="0"/>
        <v>39.9</v>
      </c>
      <c r="T72" s="278"/>
      <c r="U72" s="245"/>
      <c r="V72" s="34"/>
      <c r="W72" s="50"/>
      <c r="X72" s="43"/>
      <c r="Y72" s="43"/>
      <c r="Z72" s="532"/>
      <c r="AA72" s="533"/>
      <c r="AC72" s="49"/>
    </row>
    <row r="73" spans="1:38" ht="48" customHeight="1">
      <c r="A73" s="51"/>
      <c r="B73" s="51"/>
      <c r="C73" s="52"/>
      <c r="D73" s="274">
        <v>57</v>
      </c>
      <c r="E73" s="261" t="s">
        <v>451</v>
      </c>
      <c r="F73" s="246">
        <v>1</v>
      </c>
      <c r="G73" s="245">
        <v>27.2</v>
      </c>
      <c r="H73" s="245"/>
      <c r="I73" s="245"/>
      <c r="J73" s="245">
        <v>8.8000000000000007</v>
      </c>
      <c r="K73" s="245">
        <v>4.5</v>
      </c>
      <c r="L73" s="245">
        <v>8.8000000000000007</v>
      </c>
      <c r="M73" s="312">
        <v>2024</v>
      </c>
      <c r="N73" s="245">
        <v>39.9</v>
      </c>
      <c r="O73" s="245"/>
      <c r="P73" s="245"/>
      <c r="Q73" s="245"/>
      <c r="R73" s="245"/>
      <c r="S73" s="245">
        <f t="shared" si="0"/>
        <v>39.9</v>
      </c>
      <c r="T73" s="278"/>
      <c r="U73" s="245"/>
      <c r="V73" s="34"/>
      <c r="W73" s="50"/>
      <c r="X73" s="43"/>
      <c r="Y73" s="43"/>
      <c r="Z73" s="532"/>
      <c r="AA73" s="533"/>
      <c r="AC73" s="49"/>
    </row>
    <row r="74" spans="1:38" ht="48" customHeight="1">
      <c r="A74" s="51"/>
      <c r="B74" s="51"/>
      <c r="C74" s="52"/>
      <c r="D74" s="274">
        <v>58</v>
      </c>
      <c r="E74" s="334" t="s">
        <v>453</v>
      </c>
      <c r="F74" s="246">
        <v>1</v>
      </c>
      <c r="G74" s="245">
        <v>61.6</v>
      </c>
      <c r="H74" s="245"/>
      <c r="I74" s="245"/>
      <c r="J74" s="245">
        <v>19.8</v>
      </c>
      <c r="K74" s="245">
        <v>10.3</v>
      </c>
      <c r="L74" s="245">
        <v>6.9</v>
      </c>
      <c r="M74" s="312">
        <v>2024</v>
      </c>
      <c r="N74" s="245">
        <v>71.3</v>
      </c>
      <c r="O74" s="245"/>
      <c r="P74" s="245"/>
      <c r="Q74" s="245"/>
      <c r="R74" s="245"/>
      <c r="S74" s="245">
        <f t="shared" si="0"/>
        <v>71.3</v>
      </c>
      <c r="T74" s="278"/>
      <c r="U74" s="245"/>
      <c r="V74" s="34"/>
      <c r="W74" s="50"/>
      <c r="X74" s="43"/>
      <c r="Y74" s="43"/>
      <c r="Z74" s="530"/>
      <c r="AA74" s="531"/>
      <c r="AC74" s="49"/>
    </row>
    <row r="75" spans="1:38" ht="48" customHeight="1">
      <c r="A75" s="51"/>
      <c r="B75" s="51"/>
      <c r="C75" s="52"/>
      <c r="D75" s="274">
        <v>59</v>
      </c>
      <c r="E75" s="261" t="s">
        <v>451</v>
      </c>
      <c r="F75" s="246">
        <v>1</v>
      </c>
      <c r="G75" s="245">
        <v>27.2</v>
      </c>
      <c r="H75" s="245"/>
      <c r="I75" s="245"/>
      <c r="J75" s="245">
        <v>8.8000000000000007</v>
      </c>
      <c r="K75" s="245">
        <v>4.5</v>
      </c>
      <c r="L75" s="245">
        <v>8.8000000000000007</v>
      </c>
      <c r="M75" s="312">
        <v>2024</v>
      </c>
      <c r="N75" s="245">
        <v>39.9</v>
      </c>
      <c r="O75" s="245"/>
      <c r="P75" s="245"/>
      <c r="Q75" s="245"/>
      <c r="R75" s="245"/>
      <c r="S75" s="245">
        <f t="shared" si="0"/>
        <v>39.9</v>
      </c>
      <c r="T75" s="278"/>
      <c r="U75" s="245"/>
      <c r="V75" s="34"/>
      <c r="W75" s="50"/>
      <c r="X75" s="43"/>
      <c r="Y75" s="43"/>
      <c r="Z75" s="263"/>
      <c r="AA75" s="264"/>
      <c r="AC75" s="49"/>
    </row>
    <row r="76" spans="1:38" ht="48" customHeight="1">
      <c r="A76" s="51"/>
      <c r="B76" s="51"/>
      <c r="C76" s="52"/>
      <c r="D76" s="274">
        <v>60</v>
      </c>
      <c r="E76" s="261" t="s">
        <v>456</v>
      </c>
      <c r="F76" s="246">
        <v>1</v>
      </c>
      <c r="G76" s="245">
        <v>27.2</v>
      </c>
      <c r="H76" s="245"/>
      <c r="I76" s="245"/>
      <c r="J76" s="245">
        <v>8.8000000000000007</v>
      </c>
      <c r="K76" s="245">
        <v>4.5</v>
      </c>
      <c r="L76" s="245">
        <v>8.8000000000000007</v>
      </c>
      <c r="M76" s="312">
        <v>2024</v>
      </c>
      <c r="N76" s="245">
        <v>39.9</v>
      </c>
      <c r="O76" s="245"/>
      <c r="P76" s="245"/>
      <c r="Q76" s="245"/>
      <c r="R76" s="245"/>
      <c r="S76" s="245">
        <f t="shared" si="0"/>
        <v>39.9</v>
      </c>
      <c r="T76" s="278"/>
      <c r="U76" s="245"/>
      <c r="V76" s="34"/>
      <c r="W76" s="50"/>
      <c r="X76" s="43"/>
      <c r="Y76" s="43"/>
      <c r="Z76" s="528"/>
      <c r="AA76" s="529"/>
      <c r="AC76" s="49"/>
    </row>
    <row r="77" spans="1:38" ht="48" customHeight="1">
      <c r="A77" s="51"/>
      <c r="B77" s="51"/>
      <c r="C77" s="52"/>
      <c r="D77" s="274">
        <v>61</v>
      </c>
      <c r="E77" s="261" t="s">
        <v>456</v>
      </c>
      <c r="F77" s="246">
        <v>1</v>
      </c>
      <c r="G77" s="245">
        <v>27.2</v>
      </c>
      <c r="H77" s="245"/>
      <c r="I77" s="245"/>
      <c r="J77" s="245">
        <v>8.8000000000000007</v>
      </c>
      <c r="K77" s="245">
        <v>4.5</v>
      </c>
      <c r="L77" s="245">
        <v>8.8000000000000007</v>
      </c>
      <c r="M77" s="312">
        <v>2024</v>
      </c>
      <c r="N77" s="245">
        <v>39.9</v>
      </c>
      <c r="O77" s="245"/>
      <c r="P77" s="245"/>
      <c r="Q77" s="245"/>
      <c r="R77" s="245"/>
      <c r="S77" s="245">
        <f t="shared" si="0"/>
        <v>39.9</v>
      </c>
      <c r="T77" s="278"/>
      <c r="U77" s="245"/>
      <c r="V77" s="34"/>
      <c r="W77" s="50"/>
      <c r="X77" s="43"/>
      <c r="Y77" s="43"/>
      <c r="Z77" s="530"/>
      <c r="AA77" s="531"/>
      <c r="AC77" s="49"/>
    </row>
    <row r="78" spans="1:38" ht="48" customHeight="1">
      <c r="A78" s="51"/>
      <c r="B78" s="51"/>
      <c r="C78" s="52"/>
      <c r="D78" s="274">
        <v>62</v>
      </c>
      <c r="E78" s="261" t="s">
        <v>457</v>
      </c>
      <c r="F78" s="246">
        <v>1</v>
      </c>
      <c r="G78" s="245">
        <v>61.6</v>
      </c>
      <c r="H78" s="245"/>
      <c r="I78" s="245"/>
      <c r="J78" s="245">
        <v>19.8</v>
      </c>
      <c r="K78" s="245">
        <v>10.3</v>
      </c>
      <c r="L78" s="245">
        <v>6.9</v>
      </c>
      <c r="M78" s="312">
        <v>2024</v>
      </c>
      <c r="N78" s="245">
        <v>71.3</v>
      </c>
      <c r="O78" s="245"/>
      <c r="P78" s="245"/>
      <c r="Q78" s="245"/>
      <c r="R78" s="245"/>
      <c r="S78" s="245">
        <f t="shared" si="0"/>
        <v>71.3</v>
      </c>
      <c r="T78" s="278"/>
      <c r="U78" s="245"/>
      <c r="V78" s="34"/>
      <c r="W78" s="50"/>
      <c r="X78" s="43"/>
      <c r="Y78" s="43"/>
      <c r="Z78" s="43"/>
      <c r="AA78" s="43"/>
      <c r="AC78" s="49"/>
    </row>
    <row r="79" spans="1:38" ht="48" customHeight="1">
      <c r="A79" s="51"/>
      <c r="B79" s="51"/>
      <c r="C79" s="52"/>
      <c r="D79" s="274">
        <v>63</v>
      </c>
      <c r="E79" s="334" t="s">
        <v>457</v>
      </c>
      <c r="F79" s="246">
        <v>1</v>
      </c>
      <c r="G79" s="245">
        <v>61.6</v>
      </c>
      <c r="H79" s="245"/>
      <c r="I79" s="245"/>
      <c r="J79" s="245">
        <v>19.8</v>
      </c>
      <c r="K79" s="245">
        <v>10.3</v>
      </c>
      <c r="L79" s="245">
        <v>6.9</v>
      </c>
      <c r="M79" s="312">
        <v>2024</v>
      </c>
      <c r="N79" s="245">
        <v>71.3</v>
      </c>
      <c r="O79" s="245"/>
      <c r="P79" s="245"/>
      <c r="Q79" s="245"/>
      <c r="R79" s="245"/>
      <c r="S79" s="245">
        <f t="shared" si="0"/>
        <v>71.3</v>
      </c>
      <c r="T79" s="278"/>
      <c r="U79" s="245"/>
      <c r="V79" s="34"/>
      <c r="W79" s="50"/>
      <c r="X79" s="43"/>
      <c r="Y79" s="43"/>
      <c r="Z79" s="43"/>
      <c r="AA79" s="43"/>
      <c r="AC79" s="49"/>
    </row>
    <row r="80" spans="1:38" ht="48" customHeight="1">
      <c r="A80" s="51"/>
      <c r="B80" s="51"/>
      <c r="C80" s="52"/>
      <c r="D80" s="274">
        <v>64</v>
      </c>
      <c r="E80" s="334" t="s">
        <v>457</v>
      </c>
      <c r="F80" s="246">
        <v>1</v>
      </c>
      <c r="G80" s="245">
        <v>61.6</v>
      </c>
      <c r="H80" s="245"/>
      <c r="I80" s="245"/>
      <c r="J80" s="245">
        <v>19.8</v>
      </c>
      <c r="K80" s="245">
        <v>10.3</v>
      </c>
      <c r="L80" s="245">
        <v>6.9</v>
      </c>
      <c r="M80" s="312">
        <v>2024</v>
      </c>
      <c r="N80" s="245">
        <v>71.3</v>
      </c>
      <c r="O80" s="245"/>
      <c r="P80" s="245"/>
      <c r="Q80" s="245"/>
      <c r="R80" s="245"/>
      <c r="S80" s="245">
        <f t="shared" si="0"/>
        <v>71.3</v>
      </c>
      <c r="T80" s="278"/>
      <c r="U80" s="245"/>
      <c r="V80" s="34"/>
      <c r="W80" s="50"/>
      <c r="X80" s="43"/>
      <c r="Y80" s="43"/>
      <c r="Z80" s="43"/>
      <c r="AA80" s="43"/>
      <c r="AC80" s="49"/>
    </row>
    <row r="81" spans="1:29" ht="31.5" customHeight="1">
      <c r="A81" s="51"/>
      <c r="B81" s="51"/>
      <c r="C81" s="52"/>
      <c r="D81" s="274">
        <v>65</v>
      </c>
      <c r="E81" s="261" t="s">
        <v>464</v>
      </c>
      <c r="F81" s="246">
        <v>1</v>
      </c>
      <c r="G81" s="245">
        <v>27.2</v>
      </c>
      <c r="H81" s="245"/>
      <c r="I81" s="245"/>
      <c r="J81" s="245">
        <v>8.8000000000000007</v>
      </c>
      <c r="K81" s="245">
        <v>4.5</v>
      </c>
      <c r="L81" s="245">
        <v>8.8000000000000007</v>
      </c>
      <c r="M81" s="312">
        <v>2024</v>
      </c>
      <c r="N81" s="245">
        <v>39.9</v>
      </c>
      <c r="O81" s="245"/>
      <c r="P81" s="245"/>
      <c r="Q81" s="245"/>
      <c r="R81" s="245"/>
      <c r="S81" s="245">
        <f t="shared" si="0"/>
        <v>39.9</v>
      </c>
      <c r="T81" s="278"/>
      <c r="U81" s="245"/>
      <c r="V81" s="34"/>
      <c r="W81" s="50"/>
      <c r="X81" s="43"/>
      <c r="Y81" s="43"/>
      <c r="Z81" s="43"/>
      <c r="AA81" s="43"/>
      <c r="AC81" s="49"/>
    </row>
    <row r="82" spans="1:29" ht="48" customHeight="1">
      <c r="A82" s="51"/>
      <c r="B82" s="51"/>
      <c r="C82" s="52"/>
      <c r="D82" s="274">
        <v>66</v>
      </c>
      <c r="E82" s="261" t="s">
        <v>466</v>
      </c>
      <c r="F82" s="246">
        <v>1</v>
      </c>
      <c r="G82" s="245">
        <v>61.6</v>
      </c>
      <c r="H82" s="245"/>
      <c r="I82" s="245"/>
      <c r="J82" s="245">
        <v>19.8</v>
      </c>
      <c r="K82" s="245">
        <v>10.3</v>
      </c>
      <c r="L82" s="245">
        <v>6.9</v>
      </c>
      <c r="M82" s="312">
        <v>2024</v>
      </c>
      <c r="N82" s="245">
        <v>71.3</v>
      </c>
      <c r="O82" s="245"/>
      <c r="P82" s="245"/>
      <c r="Q82" s="245"/>
      <c r="R82" s="245"/>
      <c r="S82" s="245">
        <f t="shared" si="0"/>
        <v>71.3</v>
      </c>
      <c r="T82" s="278"/>
      <c r="U82" s="245"/>
      <c r="V82" s="34"/>
      <c r="W82" s="50"/>
      <c r="X82" s="43"/>
      <c r="Y82" s="43"/>
      <c r="Z82" s="43"/>
      <c r="AA82" s="43"/>
      <c r="AC82" s="49"/>
    </row>
    <row r="83" spans="1:29" ht="48" customHeight="1">
      <c r="A83" s="51"/>
      <c r="B83" s="51"/>
      <c r="C83" s="52"/>
      <c r="D83" s="274">
        <v>67</v>
      </c>
      <c r="E83" s="334" t="s">
        <v>466</v>
      </c>
      <c r="F83" s="246">
        <v>1</v>
      </c>
      <c r="G83" s="245">
        <v>61.6</v>
      </c>
      <c r="H83" s="245"/>
      <c r="I83" s="245"/>
      <c r="J83" s="245">
        <v>19.8</v>
      </c>
      <c r="K83" s="245">
        <v>10.3</v>
      </c>
      <c r="L83" s="245">
        <v>6.9</v>
      </c>
      <c r="M83" s="312">
        <v>2024</v>
      </c>
      <c r="N83" s="245">
        <v>71.3</v>
      </c>
      <c r="O83" s="245"/>
      <c r="P83" s="245"/>
      <c r="Q83" s="245"/>
      <c r="R83" s="245"/>
      <c r="S83" s="245">
        <f t="shared" si="0"/>
        <v>71.3</v>
      </c>
      <c r="T83" s="278"/>
      <c r="U83" s="245"/>
      <c r="V83" s="34"/>
      <c r="W83" s="50"/>
      <c r="X83" s="43"/>
      <c r="Y83" s="43"/>
      <c r="Z83" s="43"/>
      <c r="AA83" s="43"/>
      <c r="AC83" s="49"/>
    </row>
    <row r="84" spans="1:29" ht="48" customHeight="1">
      <c r="A84" s="265"/>
      <c r="B84" s="265"/>
      <c r="C84" s="266"/>
      <c r="D84" s="274">
        <v>68</v>
      </c>
      <c r="E84" s="261" t="s">
        <v>469</v>
      </c>
      <c r="F84" s="246">
        <v>1</v>
      </c>
      <c r="G84" s="245">
        <v>27.2</v>
      </c>
      <c r="H84" s="245"/>
      <c r="I84" s="245"/>
      <c r="J84" s="245">
        <v>8.8000000000000007</v>
      </c>
      <c r="K84" s="245">
        <v>4.5</v>
      </c>
      <c r="L84" s="245">
        <v>8.8000000000000007</v>
      </c>
      <c r="M84" s="312">
        <v>2025</v>
      </c>
      <c r="N84" s="245">
        <v>39.9</v>
      </c>
      <c r="O84" s="245"/>
      <c r="P84" s="245"/>
      <c r="Q84" s="245"/>
      <c r="R84" s="245"/>
      <c r="S84" s="245">
        <f t="shared" si="0"/>
        <v>39.9</v>
      </c>
      <c r="T84" s="278"/>
      <c r="U84" s="245"/>
      <c r="V84" s="34"/>
      <c r="W84" s="50"/>
      <c r="X84" s="43"/>
      <c r="Y84" s="43"/>
      <c r="Z84" s="43"/>
      <c r="AA84" s="43"/>
      <c r="AC84" s="49"/>
    </row>
    <row r="85" spans="1:29" ht="31.5" customHeight="1">
      <c r="A85" s="265"/>
      <c r="B85" s="265"/>
      <c r="C85" s="266"/>
      <c r="D85" s="274">
        <v>69</v>
      </c>
      <c r="E85" s="261" t="s">
        <v>474</v>
      </c>
      <c r="F85" s="246">
        <v>1</v>
      </c>
      <c r="G85" s="245">
        <v>27.2</v>
      </c>
      <c r="H85" s="245"/>
      <c r="I85" s="245"/>
      <c r="J85" s="245">
        <v>8.8000000000000007</v>
      </c>
      <c r="K85" s="245">
        <v>4.5</v>
      </c>
      <c r="L85" s="245">
        <v>8.8000000000000007</v>
      </c>
      <c r="M85" s="312">
        <v>2025</v>
      </c>
      <c r="N85" s="245">
        <v>39.9</v>
      </c>
      <c r="O85" s="245"/>
      <c r="P85" s="245"/>
      <c r="Q85" s="245"/>
      <c r="R85" s="245"/>
      <c r="S85" s="245">
        <f t="shared" si="0"/>
        <v>39.9</v>
      </c>
      <c r="T85" s="278"/>
      <c r="U85" s="245"/>
      <c r="V85" s="34"/>
      <c r="W85" s="50"/>
      <c r="X85" s="43"/>
      <c r="Y85" s="43"/>
      <c r="Z85" s="43"/>
      <c r="AA85" s="43"/>
      <c r="AC85" s="49"/>
    </row>
    <row r="86" spans="1:29" ht="48" customHeight="1">
      <c r="A86" s="265"/>
      <c r="B86" s="265"/>
      <c r="C86" s="266"/>
      <c r="D86" s="274">
        <v>70</v>
      </c>
      <c r="E86" s="334" t="s">
        <v>475</v>
      </c>
      <c r="F86" s="246">
        <v>1</v>
      </c>
      <c r="G86" s="245">
        <v>44.8</v>
      </c>
      <c r="H86" s="245"/>
      <c r="I86" s="245"/>
      <c r="J86" s="245">
        <v>14.4</v>
      </c>
      <c r="K86" s="245">
        <v>7.5</v>
      </c>
      <c r="L86" s="245">
        <v>9.5</v>
      </c>
      <c r="M86" s="312">
        <v>2025</v>
      </c>
      <c r="N86" s="245">
        <v>71.3</v>
      </c>
      <c r="O86" s="245"/>
      <c r="P86" s="245"/>
      <c r="Q86" s="245"/>
      <c r="R86" s="245"/>
      <c r="S86" s="245">
        <f t="shared" si="0"/>
        <v>71.3</v>
      </c>
      <c r="T86" s="278"/>
      <c r="U86" s="245"/>
      <c r="V86" s="34"/>
      <c r="W86" s="50"/>
      <c r="X86" s="43"/>
      <c r="Y86" s="43"/>
      <c r="Z86" s="43"/>
      <c r="AA86" s="43"/>
      <c r="AC86" s="49"/>
    </row>
    <row r="87" spans="1:29" ht="48" customHeight="1">
      <c r="A87" s="265"/>
      <c r="B87" s="265"/>
      <c r="C87" s="266"/>
      <c r="D87" s="274">
        <v>71</v>
      </c>
      <c r="E87" s="261" t="s">
        <v>477</v>
      </c>
      <c r="F87" s="246">
        <v>1</v>
      </c>
      <c r="G87" s="245">
        <v>44.8</v>
      </c>
      <c r="H87" s="245"/>
      <c r="I87" s="245"/>
      <c r="J87" s="245">
        <v>14.4</v>
      </c>
      <c r="K87" s="245">
        <v>7.5</v>
      </c>
      <c r="L87" s="245">
        <v>9.5</v>
      </c>
      <c r="M87" s="312">
        <v>2025</v>
      </c>
      <c r="N87" s="245">
        <v>71.3</v>
      </c>
      <c r="O87" s="245"/>
      <c r="P87" s="245"/>
      <c r="Q87" s="245"/>
      <c r="R87" s="245"/>
      <c r="S87" s="245">
        <f t="shared" si="0"/>
        <v>71.3</v>
      </c>
      <c r="T87" s="278"/>
      <c r="U87" s="245"/>
      <c r="V87" s="34"/>
      <c r="W87" s="50"/>
      <c r="X87" s="43"/>
      <c r="Y87" s="43"/>
      <c r="Z87" s="43"/>
      <c r="AA87" s="43"/>
      <c r="AC87" s="49"/>
    </row>
    <row r="88" spans="1:29" ht="31.5" customHeight="1">
      <c r="A88" s="265"/>
      <c r="B88" s="265"/>
      <c r="C88" s="266"/>
      <c r="D88" s="274">
        <v>72</v>
      </c>
      <c r="E88" s="261" t="s">
        <v>479</v>
      </c>
      <c r="F88" s="246">
        <v>1</v>
      </c>
      <c r="G88" s="245">
        <v>32.799999999999997</v>
      </c>
      <c r="H88" s="245"/>
      <c r="I88" s="245"/>
      <c r="J88" s="245">
        <v>10.6</v>
      </c>
      <c r="K88" s="245">
        <v>5.5</v>
      </c>
      <c r="L88" s="245">
        <v>6.8</v>
      </c>
      <c r="M88" s="312">
        <v>2025</v>
      </c>
      <c r="N88" s="245">
        <v>37.1</v>
      </c>
      <c r="O88" s="245"/>
      <c r="P88" s="245"/>
      <c r="Q88" s="245"/>
      <c r="R88" s="245"/>
      <c r="S88" s="245">
        <f t="shared" si="0"/>
        <v>37.1</v>
      </c>
      <c r="T88" s="278"/>
      <c r="U88" s="245"/>
      <c r="V88" s="34"/>
      <c r="W88" s="50"/>
      <c r="X88" s="43"/>
      <c r="Y88" s="43"/>
      <c r="Z88" s="43"/>
      <c r="AA88" s="43"/>
      <c r="AC88" s="49"/>
    </row>
    <row r="89" spans="1:29" ht="47.25">
      <c r="A89" s="265"/>
      <c r="B89" s="265"/>
      <c r="C89" s="266"/>
      <c r="D89" s="274">
        <v>73</v>
      </c>
      <c r="E89" s="261" t="s">
        <v>481</v>
      </c>
      <c r="F89" s="246">
        <v>1</v>
      </c>
      <c r="G89" s="245">
        <v>27.2</v>
      </c>
      <c r="H89" s="245"/>
      <c r="I89" s="245"/>
      <c r="J89" s="245">
        <v>8.8000000000000007</v>
      </c>
      <c r="K89" s="245">
        <v>4.5</v>
      </c>
      <c r="L89" s="245">
        <v>8.8000000000000007</v>
      </c>
      <c r="M89" s="312">
        <v>2025</v>
      </c>
      <c r="N89" s="245">
        <v>39.9</v>
      </c>
      <c r="O89" s="245"/>
      <c r="P89" s="245"/>
      <c r="Q89" s="245"/>
      <c r="R89" s="245"/>
      <c r="S89" s="245">
        <f t="shared" si="0"/>
        <v>39.9</v>
      </c>
      <c r="T89" s="278"/>
      <c r="U89" s="245"/>
      <c r="V89" s="34"/>
      <c r="W89" s="50"/>
      <c r="X89" s="43"/>
      <c r="Y89" s="43"/>
      <c r="Z89" s="43"/>
      <c r="AA89" s="43"/>
      <c r="AC89" s="49"/>
    </row>
    <row r="90" spans="1:29" ht="47.25">
      <c r="A90" s="265"/>
      <c r="B90" s="265"/>
      <c r="C90" s="266"/>
      <c r="D90" s="274">
        <v>74</v>
      </c>
      <c r="E90" s="261" t="s">
        <v>481</v>
      </c>
      <c r="F90" s="246">
        <v>1</v>
      </c>
      <c r="G90" s="245">
        <v>27.2</v>
      </c>
      <c r="H90" s="245"/>
      <c r="I90" s="245"/>
      <c r="J90" s="245">
        <v>8.8000000000000007</v>
      </c>
      <c r="K90" s="245">
        <v>4.5</v>
      </c>
      <c r="L90" s="245">
        <v>8.8000000000000007</v>
      </c>
      <c r="M90" s="312">
        <v>2025</v>
      </c>
      <c r="N90" s="245">
        <v>39.9</v>
      </c>
      <c r="O90" s="245"/>
      <c r="P90" s="245"/>
      <c r="Q90" s="245"/>
      <c r="R90" s="245"/>
      <c r="S90" s="245">
        <f t="shared" si="0"/>
        <v>39.9</v>
      </c>
      <c r="T90" s="278"/>
      <c r="U90" s="245"/>
      <c r="V90" s="34"/>
      <c r="W90" s="50"/>
      <c r="X90" s="43"/>
      <c r="Y90" s="43"/>
      <c r="Z90" s="43"/>
      <c r="AA90" s="43"/>
      <c r="AC90" s="49"/>
    </row>
    <row r="91" spans="1:29" ht="47.25">
      <c r="A91" s="265"/>
      <c r="B91" s="265"/>
      <c r="C91" s="266"/>
      <c r="D91" s="274">
        <v>75</v>
      </c>
      <c r="E91" s="334" t="s">
        <v>482</v>
      </c>
      <c r="F91" s="246">
        <v>1</v>
      </c>
      <c r="G91" s="245">
        <v>61.6</v>
      </c>
      <c r="H91" s="245"/>
      <c r="I91" s="245"/>
      <c r="J91" s="245">
        <v>19.8</v>
      </c>
      <c r="K91" s="245">
        <v>10.3</v>
      </c>
      <c r="L91" s="245">
        <v>6.9</v>
      </c>
      <c r="M91" s="312">
        <v>2025</v>
      </c>
      <c r="N91" s="245">
        <v>71.3</v>
      </c>
      <c r="O91" s="245"/>
      <c r="P91" s="245"/>
      <c r="Q91" s="245"/>
      <c r="R91" s="245"/>
      <c r="S91" s="245">
        <f t="shared" si="0"/>
        <v>71.3</v>
      </c>
      <c r="T91" s="278"/>
      <c r="U91" s="245"/>
      <c r="V91" s="34"/>
      <c r="W91" s="50"/>
      <c r="X91" s="43"/>
      <c r="Y91" s="43"/>
      <c r="Z91" s="43"/>
      <c r="AA91" s="43"/>
      <c r="AC91" s="49"/>
    </row>
    <row r="92" spans="1:29" ht="47.25">
      <c r="A92" s="265"/>
      <c r="B92" s="265"/>
      <c r="C92" s="266"/>
      <c r="D92" s="274">
        <v>76</v>
      </c>
      <c r="E92" s="261" t="s">
        <v>483</v>
      </c>
      <c r="F92" s="246">
        <v>1</v>
      </c>
      <c r="G92" s="245">
        <v>27.2</v>
      </c>
      <c r="H92" s="245"/>
      <c r="I92" s="245"/>
      <c r="J92" s="245">
        <v>8.8000000000000007</v>
      </c>
      <c r="K92" s="245">
        <v>4.5</v>
      </c>
      <c r="L92" s="245">
        <v>8.8000000000000007</v>
      </c>
      <c r="M92" s="312">
        <v>2025</v>
      </c>
      <c r="N92" s="245">
        <v>39.9</v>
      </c>
      <c r="O92" s="245"/>
      <c r="P92" s="245"/>
      <c r="Q92" s="245"/>
      <c r="R92" s="245"/>
      <c r="S92" s="245">
        <f t="shared" si="0"/>
        <v>39.9</v>
      </c>
      <c r="T92" s="278"/>
      <c r="U92" s="245"/>
      <c r="V92" s="34"/>
      <c r="W92" s="50"/>
      <c r="X92" s="43"/>
      <c r="Y92" s="43"/>
      <c r="Z92" s="43"/>
      <c r="AA92" s="43"/>
      <c r="AC92" s="49"/>
    </row>
    <row r="93" spans="1:29" ht="47.25">
      <c r="A93" s="265"/>
      <c r="B93" s="265"/>
      <c r="C93" s="266"/>
      <c r="D93" s="274">
        <v>77</v>
      </c>
      <c r="E93" s="261" t="s">
        <v>483</v>
      </c>
      <c r="F93" s="246">
        <v>1</v>
      </c>
      <c r="G93" s="245">
        <v>27.2</v>
      </c>
      <c r="H93" s="245"/>
      <c r="I93" s="245"/>
      <c r="J93" s="245">
        <v>8.8000000000000007</v>
      </c>
      <c r="K93" s="245">
        <v>4.5</v>
      </c>
      <c r="L93" s="245">
        <v>8.8000000000000007</v>
      </c>
      <c r="M93" s="312">
        <v>2025</v>
      </c>
      <c r="N93" s="245">
        <v>39.9</v>
      </c>
      <c r="O93" s="245"/>
      <c r="P93" s="245"/>
      <c r="Q93" s="245"/>
      <c r="R93" s="245"/>
      <c r="S93" s="245">
        <f t="shared" si="0"/>
        <v>39.9</v>
      </c>
      <c r="T93" s="278"/>
      <c r="U93" s="245"/>
      <c r="V93" s="34"/>
      <c r="W93" s="50"/>
      <c r="X93" s="43"/>
      <c r="Y93" s="43"/>
      <c r="Z93" s="43"/>
      <c r="AA93" s="43"/>
      <c r="AC93" s="49"/>
    </row>
    <row r="94" spans="1:29" ht="47.25">
      <c r="A94" s="265"/>
      <c r="B94" s="265"/>
      <c r="C94" s="266"/>
      <c r="D94" s="274">
        <v>78</v>
      </c>
      <c r="E94" s="334" t="s">
        <v>486</v>
      </c>
      <c r="F94" s="246">
        <v>1</v>
      </c>
      <c r="G94" s="245">
        <v>61.6</v>
      </c>
      <c r="H94" s="245"/>
      <c r="I94" s="245"/>
      <c r="J94" s="245">
        <v>19.8</v>
      </c>
      <c r="K94" s="245">
        <v>10.3</v>
      </c>
      <c r="L94" s="245">
        <v>6.9</v>
      </c>
      <c r="M94" s="312">
        <v>2025</v>
      </c>
      <c r="N94" s="245">
        <v>71.3</v>
      </c>
      <c r="O94" s="245"/>
      <c r="P94" s="245"/>
      <c r="Q94" s="245"/>
      <c r="R94" s="245"/>
      <c r="S94" s="245">
        <f t="shared" si="0"/>
        <v>71.3</v>
      </c>
      <c r="T94" s="278"/>
      <c r="U94" s="245"/>
      <c r="V94" s="34"/>
      <c r="W94" s="50"/>
      <c r="X94" s="43"/>
      <c r="Y94" s="43"/>
      <c r="Z94" s="43"/>
      <c r="AA94" s="43"/>
      <c r="AC94" s="49"/>
    </row>
    <row r="95" spans="1:29" ht="47.25">
      <c r="A95" s="265"/>
      <c r="B95" s="265"/>
      <c r="C95" s="266"/>
      <c r="D95" s="274">
        <v>79</v>
      </c>
      <c r="E95" s="334" t="s">
        <v>486</v>
      </c>
      <c r="F95" s="246">
        <v>1</v>
      </c>
      <c r="G95" s="245">
        <v>61.6</v>
      </c>
      <c r="H95" s="245"/>
      <c r="I95" s="245"/>
      <c r="J95" s="245">
        <v>19.8</v>
      </c>
      <c r="K95" s="245">
        <v>10.3</v>
      </c>
      <c r="L95" s="245">
        <v>6.9</v>
      </c>
      <c r="M95" s="312">
        <v>2025</v>
      </c>
      <c r="N95" s="245">
        <v>71.3</v>
      </c>
      <c r="O95" s="245"/>
      <c r="P95" s="245"/>
      <c r="Q95" s="245"/>
      <c r="R95" s="245"/>
      <c r="S95" s="245">
        <f t="shared" si="0"/>
        <v>71.3</v>
      </c>
      <c r="T95" s="278"/>
      <c r="U95" s="245"/>
      <c r="V95" s="34"/>
      <c r="W95" s="50"/>
      <c r="X95" s="43"/>
      <c r="Y95" s="43"/>
      <c r="Z95" s="43"/>
      <c r="AA95" s="43"/>
      <c r="AC95" s="49"/>
    </row>
    <row r="96" spans="1:29" ht="31.5" customHeight="1">
      <c r="A96" s="265"/>
      <c r="B96" s="265"/>
      <c r="C96" s="266"/>
      <c r="D96" s="274">
        <v>80</v>
      </c>
      <c r="E96" s="261" t="s">
        <v>490</v>
      </c>
      <c r="F96" s="246">
        <v>1</v>
      </c>
      <c r="G96" s="245">
        <v>27.2</v>
      </c>
      <c r="H96" s="245"/>
      <c r="I96" s="245"/>
      <c r="J96" s="245">
        <v>8.8000000000000007</v>
      </c>
      <c r="K96" s="245">
        <v>4.5</v>
      </c>
      <c r="L96" s="245">
        <v>8.8000000000000007</v>
      </c>
      <c r="M96" s="312">
        <v>2025</v>
      </c>
      <c r="N96" s="245">
        <v>39.9</v>
      </c>
      <c r="O96" s="245"/>
      <c r="P96" s="245"/>
      <c r="Q96" s="245"/>
      <c r="R96" s="245"/>
      <c r="S96" s="245">
        <f t="shared" si="0"/>
        <v>39.9</v>
      </c>
      <c r="T96" s="278"/>
      <c r="U96" s="245"/>
      <c r="V96" s="34"/>
      <c r="W96" s="50"/>
      <c r="X96" s="43"/>
      <c r="Y96" s="43"/>
      <c r="Z96" s="43"/>
      <c r="AA96" s="43"/>
      <c r="AC96" s="49"/>
    </row>
    <row r="97" spans="1:29" ht="31.5" customHeight="1">
      <c r="A97" s="265"/>
      <c r="B97" s="265"/>
      <c r="C97" s="266"/>
      <c r="D97" s="274">
        <v>81</v>
      </c>
      <c r="E97" s="261" t="s">
        <v>490</v>
      </c>
      <c r="F97" s="246">
        <v>1</v>
      </c>
      <c r="G97" s="245">
        <v>27.2</v>
      </c>
      <c r="H97" s="245"/>
      <c r="I97" s="245"/>
      <c r="J97" s="245">
        <v>8.8000000000000007</v>
      </c>
      <c r="K97" s="245">
        <v>4.5</v>
      </c>
      <c r="L97" s="245">
        <v>8.8000000000000007</v>
      </c>
      <c r="M97" s="312">
        <v>2025</v>
      </c>
      <c r="N97" s="245">
        <v>39.9</v>
      </c>
      <c r="O97" s="245"/>
      <c r="P97" s="245"/>
      <c r="Q97" s="245"/>
      <c r="R97" s="245"/>
      <c r="S97" s="245">
        <f t="shared" si="0"/>
        <v>39.9</v>
      </c>
      <c r="T97" s="278"/>
      <c r="U97" s="245"/>
      <c r="V97" s="34"/>
      <c r="W97" s="50"/>
      <c r="X97" s="43"/>
      <c r="Y97" s="43"/>
      <c r="Z97" s="43"/>
      <c r="AA97" s="43"/>
      <c r="AC97" s="49"/>
    </row>
    <row r="98" spans="1:29" ht="48" customHeight="1">
      <c r="A98" s="265"/>
      <c r="B98" s="265"/>
      <c r="C98" s="266"/>
      <c r="D98" s="274">
        <v>82</v>
      </c>
      <c r="E98" s="261" t="s">
        <v>494</v>
      </c>
      <c r="F98" s="246">
        <v>1</v>
      </c>
      <c r="G98" s="245">
        <v>27.2</v>
      </c>
      <c r="H98" s="245"/>
      <c r="I98" s="245"/>
      <c r="J98" s="245">
        <v>8.8000000000000007</v>
      </c>
      <c r="K98" s="245">
        <v>4.5</v>
      </c>
      <c r="L98" s="245">
        <v>8.8000000000000007</v>
      </c>
      <c r="M98" s="312">
        <v>2025</v>
      </c>
      <c r="N98" s="245">
        <v>39.9</v>
      </c>
      <c r="O98" s="245"/>
      <c r="P98" s="245"/>
      <c r="Q98" s="245"/>
      <c r="R98" s="245"/>
      <c r="S98" s="245">
        <f t="shared" si="0"/>
        <v>39.9</v>
      </c>
      <c r="T98" s="278"/>
      <c r="U98" s="245"/>
      <c r="V98" s="34"/>
      <c r="W98" s="50"/>
      <c r="X98" s="43"/>
      <c r="Y98" s="43"/>
      <c r="Z98" s="43"/>
      <c r="AA98" s="43"/>
      <c r="AC98" s="49"/>
    </row>
    <row r="99" spans="1:29" ht="48" customHeight="1">
      <c r="A99" s="265"/>
      <c r="B99" s="265"/>
      <c r="C99" s="266"/>
      <c r="D99" s="274">
        <v>83</v>
      </c>
      <c r="E99" s="334" t="s">
        <v>505</v>
      </c>
      <c r="F99" s="246">
        <v>1</v>
      </c>
      <c r="G99" s="245">
        <v>61.6</v>
      </c>
      <c r="H99" s="245"/>
      <c r="I99" s="245"/>
      <c r="J99" s="245">
        <v>19.8</v>
      </c>
      <c r="K99" s="245">
        <v>10.3</v>
      </c>
      <c r="L99" s="245">
        <v>6.9</v>
      </c>
      <c r="M99" s="312">
        <v>2025</v>
      </c>
      <c r="N99" s="245">
        <v>71.3</v>
      </c>
      <c r="O99" s="245"/>
      <c r="P99" s="245"/>
      <c r="Q99" s="245"/>
      <c r="R99" s="245"/>
      <c r="S99" s="245">
        <f t="shared" si="0"/>
        <v>71.3</v>
      </c>
      <c r="T99" s="278"/>
      <c r="U99" s="245"/>
      <c r="V99" s="34"/>
      <c r="W99" s="50"/>
      <c r="X99" s="43"/>
      <c r="Y99" s="43"/>
      <c r="Z99" s="43"/>
      <c r="AA99" s="43"/>
      <c r="AC99" s="49"/>
    </row>
    <row r="100" spans="1:29" ht="48" customHeight="1">
      <c r="A100" s="265"/>
      <c r="B100" s="265"/>
      <c r="C100" s="266"/>
      <c r="D100" s="274">
        <v>84</v>
      </c>
      <c r="E100" s="334" t="s">
        <v>506</v>
      </c>
      <c r="F100" s="246">
        <v>1</v>
      </c>
      <c r="G100" s="245">
        <v>61.6</v>
      </c>
      <c r="H100" s="245"/>
      <c r="I100" s="245"/>
      <c r="J100" s="245">
        <v>19.8</v>
      </c>
      <c r="K100" s="245">
        <v>10.3</v>
      </c>
      <c r="L100" s="245">
        <v>6.9</v>
      </c>
      <c r="M100" s="312">
        <v>2025</v>
      </c>
      <c r="N100" s="245">
        <v>71.3</v>
      </c>
      <c r="O100" s="245"/>
      <c r="P100" s="245"/>
      <c r="Q100" s="245"/>
      <c r="R100" s="245"/>
      <c r="S100" s="245">
        <f t="shared" si="0"/>
        <v>71.3</v>
      </c>
      <c r="T100" s="278"/>
      <c r="U100" s="245"/>
      <c r="V100" s="12"/>
      <c r="W100" s="50"/>
      <c r="X100" s="43"/>
      <c r="Y100" s="43"/>
      <c r="Z100" s="43"/>
      <c r="AA100" s="43"/>
      <c r="AC100" s="49"/>
    </row>
    <row r="101" spans="1:29" ht="47.25">
      <c r="A101" s="265"/>
      <c r="B101" s="265"/>
      <c r="C101" s="266"/>
      <c r="D101" s="274">
        <v>85</v>
      </c>
      <c r="E101" s="261" t="s">
        <v>507</v>
      </c>
      <c r="F101" s="246">
        <v>1</v>
      </c>
      <c r="G101" s="245">
        <v>61.6</v>
      </c>
      <c r="H101" s="245"/>
      <c r="I101" s="245"/>
      <c r="J101" s="245">
        <v>19.8</v>
      </c>
      <c r="K101" s="245">
        <v>10.3</v>
      </c>
      <c r="L101" s="245">
        <v>6.9</v>
      </c>
      <c r="M101" s="312">
        <v>2025</v>
      </c>
      <c r="N101" s="245">
        <v>71.3</v>
      </c>
      <c r="O101" s="245"/>
      <c r="P101" s="245"/>
      <c r="Q101" s="245"/>
      <c r="R101" s="245"/>
      <c r="S101" s="245">
        <f t="shared" si="0"/>
        <v>71.3</v>
      </c>
      <c r="T101" s="278"/>
      <c r="U101" s="245"/>
      <c r="V101" s="34"/>
      <c r="W101" s="43"/>
      <c r="X101" s="43"/>
      <c r="Y101" s="43"/>
      <c r="Z101" s="43"/>
      <c r="AA101" s="43"/>
      <c r="AC101" s="49"/>
    </row>
    <row r="102" spans="1:29" ht="47.25">
      <c r="A102" s="265"/>
      <c r="B102" s="265"/>
      <c r="C102" s="266"/>
      <c r="D102" s="274">
        <v>86</v>
      </c>
      <c r="E102" s="334" t="s">
        <v>509</v>
      </c>
      <c r="F102" s="246">
        <v>1</v>
      </c>
      <c r="G102" s="245">
        <v>44.8</v>
      </c>
      <c r="H102" s="245"/>
      <c r="I102" s="245"/>
      <c r="J102" s="245">
        <v>14.4</v>
      </c>
      <c r="K102" s="245">
        <v>7.5</v>
      </c>
      <c r="L102" s="245">
        <v>9.5</v>
      </c>
      <c r="M102" s="312">
        <v>2025</v>
      </c>
      <c r="N102" s="245">
        <v>71.3</v>
      </c>
      <c r="O102" s="245"/>
      <c r="P102" s="245"/>
      <c r="Q102" s="245"/>
      <c r="R102" s="245"/>
      <c r="S102" s="245">
        <f t="shared" si="0"/>
        <v>71.3</v>
      </c>
      <c r="T102" s="278"/>
      <c r="U102" s="245"/>
      <c r="V102" s="34"/>
      <c r="W102" s="43"/>
      <c r="X102" s="43"/>
      <c r="Y102" s="43"/>
      <c r="Z102" s="43"/>
      <c r="AA102" s="43"/>
      <c r="AC102" s="49"/>
    </row>
    <row r="103" spans="1:29" ht="47.25">
      <c r="A103" s="265"/>
      <c r="B103" s="265"/>
      <c r="C103" s="266"/>
      <c r="D103" s="274">
        <v>87</v>
      </c>
      <c r="E103" s="334" t="s">
        <v>507</v>
      </c>
      <c r="F103" s="246">
        <v>1</v>
      </c>
      <c r="G103" s="245">
        <v>61.6</v>
      </c>
      <c r="H103" s="245"/>
      <c r="I103" s="245"/>
      <c r="J103" s="245">
        <v>19.8</v>
      </c>
      <c r="K103" s="245">
        <v>10.3</v>
      </c>
      <c r="L103" s="245">
        <v>6.9</v>
      </c>
      <c r="M103" s="312">
        <v>2025</v>
      </c>
      <c r="N103" s="245">
        <v>71.3</v>
      </c>
      <c r="O103" s="245"/>
      <c r="P103" s="245"/>
      <c r="Q103" s="245"/>
      <c r="R103" s="245"/>
      <c r="S103" s="245">
        <f t="shared" si="0"/>
        <v>71.3</v>
      </c>
      <c r="T103" s="278"/>
      <c r="U103" s="245"/>
      <c r="V103" s="34"/>
      <c r="W103" s="43"/>
      <c r="X103" s="43"/>
      <c r="Y103" s="43"/>
      <c r="Z103" s="43"/>
      <c r="AA103" s="43"/>
      <c r="AC103" s="49"/>
    </row>
    <row r="104" spans="1:29" ht="47.25">
      <c r="A104" s="51"/>
      <c r="B104" s="51"/>
      <c r="C104" s="52"/>
      <c r="D104" s="274">
        <v>88</v>
      </c>
      <c r="E104" s="334" t="s">
        <v>510</v>
      </c>
      <c r="F104" s="246">
        <v>1</v>
      </c>
      <c r="G104" s="245">
        <v>61.6</v>
      </c>
      <c r="H104" s="245"/>
      <c r="I104" s="245"/>
      <c r="J104" s="245">
        <v>19.8</v>
      </c>
      <c r="K104" s="245">
        <v>10.3</v>
      </c>
      <c r="L104" s="245">
        <v>6.9</v>
      </c>
      <c r="M104" s="312">
        <v>2026</v>
      </c>
      <c r="N104" s="245">
        <v>71.3</v>
      </c>
      <c r="O104" s="245"/>
      <c r="P104" s="245"/>
      <c r="Q104" s="245"/>
      <c r="R104" s="245"/>
      <c r="S104" s="245">
        <f t="shared" si="0"/>
        <v>71.3</v>
      </c>
      <c r="T104" s="278"/>
      <c r="U104" s="245"/>
      <c r="V104" s="34"/>
      <c r="W104" s="43"/>
      <c r="X104" s="43"/>
      <c r="Y104" s="43"/>
      <c r="Z104" s="43"/>
      <c r="AA104" s="43"/>
      <c r="AC104" s="49"/>
    </row>
    <row r="105" spans="1:29" ht="47.25">
      <c r="A105" s="51"/>
      <c r="B105" s="51"/>
      <c r="C105" s="52"/>
      <c r="D105" s="274">
        <v>89</v>
      </c>
      <c r="E105" s="261" t="s">
        <v>515</v>
      </c>
      <c r="F105" s="246">
        <v>1</v>
      </c>
      <c r="G105" s="245">
        <v>27.2</v>
      </c>
      <c r="H105" s="245"/>
      <c r="I105" s="245"/>
      <c r="J105" s="245">
        <v>8.8000000000000007</v>
      </c>
      <c r="K105" s="245">
        <v>4.5</v>
      </c>
      <c r="L105" s="245">
        <v>8.8000000000000007</v>
      </c>
      <c r="M105" s="312">
        <v>2026</v>
      </c>
      <c r="N105" s="245">
        <v>39.9</v>
      </c>
      <c r="O105" s="245"/>
      <c r="P105" s="245"/>
      <c r="Q105" s="245"/>
      <c r="R105" s="245"/>
      <c r="S105" s="245">
        <f t="shared" si="0"/>
        <v>39.9</v>
      </c>
      <c r="T105" s="278"/>
      <c r="U105" s="245"/>
      <c r="V105" s="34"/>
      <c r="W105" s="43"/>
      <c r="X105" s="43"/>
      <c r="Y105" s="43"/>
      <c r="Z105" s="43"/>
      <c r="AA105" s="43"/>
      <c r="AC105" s="49"/>
    </row>
    <row r="106" spans="1:29" ht="47.25">
      <c r="A106" s="232"/>
      <c r="B106" s="232"/>
      <c r="C106" s="233"/>
      <c r="D106" s="274">
        <v>90</v>
      </c>
      <c r="E106" s="261" t="s">
        <v>518</v>
      </c>
      <c r="F106" s="246">
        <v>1</v>
      </c>
      <c r="G106" s="245">
        <v>27.2</v>
      </c>
      <c r="H106" s="245"/>
      <c r="I106" s="245"/>
      <c r="J106" s="245">
        <v>8.8000000000000007</v>
      </c>
      <c r="K106" s="245">
        <v>4.5</v>
      </c>
      <c r="L106" s="245">
        <v>8.8000000000000007</v>
      </c>
      <c r="M106" s="312">
        <v>2026</v>
      </c>
      <c r="N106" s="245">
        <v>39.9</v>
      </c>
      <c r="O106" s="245"/>
      <c r="P106" s="245"/>
      <c r="Q106" s="245"/>
      <c r="R106" s="245"/>
      <c r="S106" s="245">
        <f t="shared" si="0"/>
        <v>39.9</v>
      </c>
      <c r="T106" s="278"/>
      <c r="U106" s="245"/>
      <c r="V106" s="34"/>
      <c r="W106" s="234"/>
      <c r="X106" s="234"/>
      <c r="Y106" s="234"/>
      <c r="Z106" s="234"/>
      <c r="AA106" s="234"/>
      <c r="AC106" s="49"/>
    </row>
    <row r="107" spans="1:29" ht="47.25">
      <c r="D107" s="274">
        <v>91</v>
      </c>
      <c r="E107" s="261" t="s">
        <v>518</v>
      </c>
      <c r="F107" s="246">
        <v>1</v>
      </c>
      <c r="G107" s="245">
        <v>27.2</v>
      </c>
      <c r="H107" s="245"/>
      <c r="I107" s="245"/>
      <c r="J107" s="245">
        <v>8.8000000000000007</v>
      </c>
      <c r="K107" s="245">
        <v>4.5</v>
      </c>
      <c r="L107" s="245">
        <v>8.8000000000000007</v>
      </c>
      <c r="M107" s="312">
        <v>2026</v>
      </c>
      <c r="N107" s="245">
        <v>39.9</v>
      </c>
      <c r="O107" s="245"/>
      <c r="P107" s="245"/>
      <c r="Q107" s="245"/>
      <c r="R107" s="245"/>
      <c r="S107" s="245">
        <f t="shared" si="0"/>
        <v>39.9</v>
      </c>
      <c r="T107" s="278"/>
      <c r="U107" s="245"/>
    </row>
    <row r="108" spans="1:29" ht="47.25">
      <c r="D108" s="274">
        <v>92</v>
      </c>
      <c r="E108" s="261" t="s">
        <v>522</v>
      </c>
      <c r="F108" s="246">
        <v>1</v>
      </c>
      <c r="G108" s="245">
        <v>27.2</v>
      </c>
      <c r="H108" s="245"/>
      <c r="I108" s="245"/>
      <c r="J108" s="245">
        <v>8.8000000000000007</v>
      </c>
      <c r="K108" s="245">
        <v>4.5</v>
      </c>
      <c r="L108" s="245">
        <v>8.8000000000000007</v>
      </c>
      <c r="M108" s="312">
        <v>2026</v>
      </c>
      <c r="N108" s="245">
        <v>39.9</v>
      </c>
      <c r="O108" s="245"/>
      <c r="P108" s="245"/>
      <c r="Q108" s="245"/>
      <c r="R108" s="245"/>
      <c r="S108" s="245">
        <f t="shared" si="0"/>
        <v>39.9</v>
      </c>
      <c r="T108" s="278"/>
      <c r="U108" s="245"/>
    </row>
    <row r="109" spans="1:29" ht="47.25">
      <c r="D109" s="274">
        <v>93</v>
      </c>
      <c r="E109" s="261" t="s">
        <v>522</v>
      </c>
      <c r="F109" s="246">
        <v>1</v>
      </c>
      <c r="G109" s="245">
        <v>27.2</v>
      </c>
      <c r="H109" s="245"/>
      <c r="I109" s="245"/>
      <c r="J109" s="245">
        <v>8.8000000000000007</v>
      </c>
      <c r="K109" s="245">
        <v>4.5</v>
      </c>
      <c r="L109" s="245">
        <v>8.8000000000000007</v>
      </c>
      <c r="M109" s="312">
        <v>2026</v>
      </c>
      <c r="N109" s="245">
        <v>39.9</v>
      </c>
      <c r="O109" s="245"/>
      <c r="P109" s="245"/>
      <c r="Q109" s="245"/>
      <c r="R109" s="245"/>
      <c r="S109" s="245">
        <f t="shared" si="0"/>
        <v>39.9</v>
      </c>
      <c r="T109" s="278"/>
      <c r="U109" s="245"/>
    </row>
    <row r="110" spans="1:29" ht="47.25">
      <c r="D110" s="274">
        <v>94</v>
      </c>
      <c r="E110" s="261" t="s">
        <v>523</v>
      </c>
      <c r="F110" s="246">
        <v>1</v>
      </c>
      <c r="G110" s="245">
        <v>27.2</v>
      </c>
      <c r="H110" s="245"/>
      <c r="I110" s="245"/>
      <c r="J110" s="245">
        <v>8.8000000000000007</v>
      </c>
      <c r="K110" s="245">
        <v>4.5</v>
      </c>
      <c r="L110" s="245">
        <v>8.8000000000000007</v>
      </c>
      <c r="M110" s="312">
        <v>2026</v>
      </c>
      <c r="N110" s="245">
        <v>39.9</v>
      </c>
      <c r="O110" s="245"/>
      <c r="P110" s="245"/>
      <c r="Q110" s="245"/>
      <c r="R110" s="245"/>
      <c r="S110" s="245">
        <f t="shared" si="0"/>
        <v>39.9</v>
      </c>
      <c r="T110" s="278"/>
      <c r="U110" s="245"/>
    </row>
    <row r="111" spans="1:29" ht="47.25">
      <c r="D111" s="274">
        <v>95</v>
      </c>
      <c r="E111" s="261" t="s">
        <v>523</v>
      </c>
      <c r="F111" s="246">
        <v>1</v>
      </c>
      <c r="G111" s="245">
        <v>27.2</v>
      </c>
      <c r="H111" s="245"/>
      <c r="I111" s="245"/>
      <c r="J111" s="245">
        <v>8.8000000000000007</v>
      </c>
      <c r="K111" s="245">
        <v>4.5</v>
      </c>
      <c r="L111" s="245">
        <v>8.8000000000000007</v>
      </c>
      <c r="M111" s="312">
        <v>2026</v>
      </c>
      <c r="N111" s="245">
        <v>39.9</v>
      </c>
      <c r="O111" s="245"/>
      <c r="P111" s="245"/>
      <c r="Q111" s="245"/>
      <c r="R111" s="245"/>
      <c r="S111" s="245">
        <f t="shared" si="0"/>
        <v>39.9</v>
      </c>
      <c r="T111" s="278"/>
      <c r="U111" s="245"/>
    </row>
    <row r="112" spans="1:29" ht="31.5" customHeight="1">
      <c r="D112" s="274">
        <v>96</v>
      </c>
      <c r="E112" s="261" t="s">
        <v>528</v>
      </c>
      <c r="F112" s="246">
        <v>1</v>
      </c>
      <c r="G112" s="245">
        <v>27.2</v>
      </c>
      <c r="H112" s="245"/>
      <c r="I112" s="245"/>
      <c r="J112" s="245">
        <v>8.8000000000000007</v>
      </c>
      <c r="K112" s="245">
        <v>4.5</v>
      </c>
      <c r="L112" s="245">
        <v>8.8000000000000007</v>
      </c>
      <c r="M112" s="312">
        <v>2026</v>
      </c>
      <c r="N112" s="245">
        <v>39.9</v>
      </c>
      <c r="O112" s="245"/>
      <c r="P112" s="245"/>
      <c r="Q112" s="245"/>
      <c r="R112" s="245"/>
      <c r="S112" s="245">
        <f t="shared" si="0"/>
        <v>39.9</v>
      </c>
      <c r="T112" s="278"/>
      <c r="U112" s="245"/>
    </row>
    <row r="113" spans="4:21" ht="47.25">
      <c r="D113" s="274">
        <v>97</v>
      </c>
      <c r="E113" s="334" t="s">
        <v>532</v>
      </c>
      <c r="F113" s="246">
        <v>1</v>
      </c>
      <c r="G113" s="245">
        <v>61.6</v>
      </c>
      <c r="H113" s="245"/>
      <c r="I113" s="245"/>
      <c r="J113" s="245">
        <v>19.8</v>
      </c>
      <c r="K113" s="245">
        <v>10.3</v>
      </c>
      <c r="L113" s="245">
        <v>6.9</v>
      </c>
      <c r="M113" s="312">
        <v>2026</v>
      </c>
      <c r="N113" s="245">
        <v>71.3</v>
      </c>
      <c r="O113" s="245"/>
      <c r="P113" s="245"/>
      <c r="Q113" s="245"/>
      <c r="R113" s="245"/>
      <c r="S113" s="245">
        <f t="shared" si="0"/>
        <v>71.3</v>
      </c>
      <c r="T113" s="278"/>
      <c r="U113" s="245"/>
    </row>
    <row r="114" spans="4:21" ht="47.25">
      <c r="D114" s="274">
        <v>98</v>
      </c>
      <c r="E114" s="261" t="s">
        <v>533</v>
      </c>
      <c r="F114" s="246">
        <v>1</v>
      </c>
      <c r="G114" s="245">
        <v>27.2</v>
      </c>
      <c r="H114" s="245"/>
      <c r="I114" s="245"/>
      <c r="J114" s="245">
        <v>8.8000000000000007</v>
      </c>
      <c r="K114" s="245">
        <v>4.5</v>
      </c>
      <c r="L114" s="245">
        <v>8.8000000000000007</v>
      </c>
      <c r="M114" s="312">
        <v>2026</v>
      </c>
      <c r="N114" s="245">
        <v>39.9</v>
      </c>
      <c r="O114" s="245"/>
      <c r="P114" s="245"/>
      <c r="Q114" s="245"/>
      <c r="R114" s="245"/>
      <c r="S114" s="245">
        <f t="shared" si="0"/>
        <v>39.9</v>
      </c>
      <c r="T114" s="278"/>
      <c r="U114" s="245"/>
    </row>
    <row r="115" spans="4:21" ht="47.25">
      <c r="D115" s="274">
        <v>99</v>
      </c>
      <c r="E115" s="261" t="s">
        <v>533</v>
      </c>
      <c r="F115" s="246">
        <v>1</v>
      </c>
      <c r="G115" s="245">
        <v>27.2</v>
      </c>
      <c r="H115" s="245"/>
      <c r="I115" s="245"/>
      <c r="J115" s="245">
        <v>8.8000000000000007</v>
      </c>
      <c r="K115" s="245">
        <v>4.5</v>
      </c>
      <c r="L115" s="245">
        <v>8.8000000000000007</v>
      </c>
      <c r="M115" s="312">
        <v>2026</v>
      </c>
      <c r="N115" s="245">
        <v>39.9</v>
      </c>
      <c r="O115" s="245"/>
      <c r="P115" s="245"/>
      <c r="Q115" s="245"/>
      <c r="R115" s="245"/>
      <c r="S115" s="245">
        <f t="shared" si="0"/>
        <v>39.9</v>
      </c>
      <c r="T115" s="278"/>
      <c r="U115" s="245"/>
    </row>
    <row r="116" spans="4:21" ht="47.25">
      <c r="D116" s="274">
        <v>100</v>
      </c>
      <c r="E116" s="334" t="s">
        <v>536</v>
      </c>
      <c r="F116" s="246">
        <v>1</v>
      </c>
      <c r="G116" s="245">
        <v>61.6</v>
      </c>
      <c r="H116" s="245"/>
      <c r="I116" s="245"/>
      <c r="J116" s="245">
        <v>19.8</v>
      </c>
      <c r="K116" s="245">
        <v>10.3</v>
      </c>
      <c r="L116" s="245">
        <v>6.9</v>
      </c>
      <c r="M116" s="312">
        <v>2026</v>
      </c>
      <c r="N116" s="245">
        <v>71.3</v>
      </c>
      <c r="O116" s="245"/>
      <c r="P116" s="245"/>
      <c r="Q116" s="245"/>
      <c r="R116" s="245"/>
      <c r="S116" s="245">
        <f t="shared" si="0"/>
        <v>71.3</v>
      </c>
      <c r="T116" s="278"/>
      <c r="U116" s="245"/>
    </row>
    <row r="117" spans="4:21" ht="47.25">
      <c r="D117" s="274">
        <v>101</v>
      </c>
      <c r="E117" s="334" t="s">
        <v>539</v>
      </c>
      <c r="F117" s="246">
        <v>1</v>
      </c>
      <c r="G117" s="245">
        <v>61.6</v>
      </c>
      <c r="H117" s="245"/>
      <c r="I117" s="245"/>
      <c r="J117" s="245">
        <v>19.8</v>
      </c>
      <c r="K117" s="245">
        <v>10.3</v>
      </c>
      <c r="L117" s="245">
        <v>6.9</v>
      </c>
      <c r="M117" s="312">
        <v>2026</v>
      </c>
      <c r="N117" s="245">
        <v>71.3</v>
      </c>
      <c r="O117" s="245"/>
      <c r="P117" s="245"/>
      <c r="Q117" s="245"/>
      <c r="R117" s="245"/>
      <c r="S117" s="245">
        <f t="shared" si="0"/>
        <v>71.3</v>
      </c>
      <c r="T117" s="278"/>
      <c r="U117" s="245"/>
    </row>
    <row r="118" spans="4:21" ht="48" customHeight="1">
      <c r="D118" s="274">
        <v>102</v>
      </c>
      <c r="E118" s="334" t="s">
        <v>540</v>
      </c>
      <c r="F118" s="246">
        <v>1</v>
      </c>
      <c r="G118" s="245">
        <v>61.6</v>
      </c>
      <c r="H118" s="245"/>
      <c r="I118" s="245"/>
      <c r="J118" s="245">
        <v>19.8</v>
      </c>
      <c r="K118" s="245">
        <v>10.3</v>
      </c>
      <c r="L118" s="245">
        <v>6.9</v>
      </c>
      <c r="M118" s="312">
        <v>2026</v>
      </c>
      <c r="N118" s="245">
        <v>71.3</v>
      </c>
      <c r="O118" s="245"/>
      <c r="P118" s="245"/>
      <c r="Q118" s="245"/>
      <c r="R118" s="245"/>
      <c r="S118" s="245">
        <f t="shared" si="0"/>
        <v>71.3</v>
      </c>
      <c r="T118" s="278"/>
      <c r="U118" s="245"/>
    </row>
    <row r="119" spans="4:21" ht="48" customHeight="1">
      <c r="D119" s="274">
        <v>103</v>
      </c>
      <c r="E119" s="261" t="s">
        <v>540</v>
      </c>
      <c r="F119" s="246">
        <v>1</v>
      </c>
      <c r="G119" s="245">
        <v>61.6</v>
      </c>
      <c r="H119" s="245"/>
      <c r="I119" s="245"/>
      <c r="J119" s="245">
        <v>19.8</v>
      </c>
      <c r="K119" s="245">
        <v>10.3</v>
      </c>
      <c r="L119" s="245">
        <v>6.9</v>
      </c>
      <c r="M119" s="312">
        <v>2026</v>
      </c>
      <c r="N119" s="245">
        <v>71.3</v>
      </c>
      <c r="O119" s="245"/>
      <c r="P119" s="245"/>
      <c r="Q119" s="245"/>
      <c r="R119" s="245"/>
      <c r="S119" s="245">
        <f t="shared" si="0"/>
        <v>71.3</v>
      </c>
      <c r="T119" s="278"/>
      <c r="U119" s="245"/>
    </row>
    <row r="120" spans="4:21" ht="47.25">
      <c r="D120" s="274">
        <v>104</v>
      </c>
      <c r="E120" s="261" t="s">
        <v>544</v>
      </c>
      <c r="F120" s="246">
        <v>1</v>
      </c>
      <c r="G120" s="245">
        <v>27.2</v>
      </c>
      <c r="H120" s="245"/>
      <c r="I120" s="245"/>
      <c r="J120" s="245">
        <v>8.8000000000000007</v>
      </c>
      <c r="K120" s="245">
        <v>4.5</v>
      </c>
      <c r="L120" s="245">
        <v>8.8000000000000007</v>
      </c>
      <c r="M120" s="312">
        <v>2026</v>
      </c>
      <c r="N120" s="245">
        <v>39.9</v>
      </c>
      <c r="O120" s="245"/>
      <c r="P120" s="245"/>
      <c r="Q120" s="245"/>
      <c r="R120" s="245"/>
      <c r="S120" s="245">
        <f t="shared" si="0"/>
        <v>39.9</v>
      </c>
      <c r="T120" s="278"/>
      <c r="U120" s="245"/>
    </row>
    <row r="121" spans="4:21" ht="47.25">
      <c r="D121" s="274">
        <v>105</v>
      </c>
      <c r="E121" s="261" t="s">
        <v>544</v>
      </c>
      <c r="F121" s="246">
        <v>1</v>
      </c>
      <c r="G121" s="245">
        <v>27.2</v>
      </c>
      <c r="H121" s="245"/>
      <c r="I121" s="245"/>
      <c r="J121" s="245">
        <v>8.8000000000000007</v>
      </c>
      <c r="K121" s="245">
        <v>4.5</v>
      </c>
      <c r="L121" s="245">
        <v>8.8000000000000007</v>
      </c>
      <c r="M121" s="312">
        <v>2026</v>
      </c>
      <c r="N121" s="245">
        <v>39.9</v>
      </c>
      <c r="O121" s="245"/>
      <c r="P121" s="245"/>
      <c r="Q121" s="245"/>
      <c r="R121" s="245"/>
      <c r="S121" s="245">
        <f t="shared" si="0"/>
        <v>39.9</v>
      </c>
      <c r="T121" s="278"/>
      <c r="U121" s="245"/>
    </row>
    <row r="122" spans="4:21" ht="48" customHeight="1">
      <c r="D122" s="274">
        <v>106</v>
      </c>
      <c r="E122" s="261" t="s">
        <v>545</v>
      </c>
      <c r="F122" s="246">
        <v>1</v>
      </c>
      <c r="G122" s="245">
        <v>27.2</v>
      </c>
      <c r="H122" s="245"/>
      <c r="I122" s="245"/>
      <c r="J122" s="245">
        <v>8.8000000000000007</v>
      </c>
      <c r="K122" s="245">
        <v>4.5</v>
      </c>
      <c r="L122" s="245">
        <v>8.8000000000000007</v>
      </c>
      <c r="M122" s="312">
        <v>2026</v>
      </c>
      <c r="N122" s="245">
        <v>39.9</v>
      </c>
      <c r="O122" s="245"/>
      <c r="P122" s="245"/>
      <c r="Q122" s="245"/>
      <c r="R122" s="245"/>
      <c r="S122" s="245">
        <f t="shared" si="0"/>
        <v>39.9</v>
      </c>
      <c r="T122" s="278"/>
      <c r="U122" s="245"/>
    </row>
    <row r="123" spans="4:21" ht="47.25">
      <c r="D123" s="274">
        <v>107</v>
      </c>
      <c r="E123" s="334" t="s">
        <v>546</v>
      </c>
      <c r="F123" s="246">
        <v>1</v>
      </c>
      <c r="G123" s="245">
        <v>61.6</v>
      </c>
      <c r="H123" s="245"/>
      <c r="I123" s="245"/>
      <c r="J123" s="245">
        <v>19.8</v>
      </c>
      <c r="K123" s="245">
        <v>10.3</v>
      </c>
      <c r="L123" s="245">
        <v>6.9</v>
      </c>
      <c r="M123" s="312">
        <v>2026</v>
      </c>
      <c r="N123" s="245">
        <v>71.3</v>
      </c>
      <c r="O123" s="245"/>
      <c r="P123" s="245"/>
      <c r="Q123" s="245"/>
      <c r="R123" s="245"/>
      <c r="S123" s="245">
        <f t="shared" si="0"/>
        <v>71.3</v>
      </c>
      <c r="T123" s="278"/>
      <c r="U123" s="245"/>
    </row>
    <row r="124" spans="4:21" ht="47.25">
      <c r="D124" s="274">
        <v>108</v>
      </c>
      <c r="E124" s="261" t="s">
        <v>545</v>
      </c>
      <c r="F124" s="246">
        <v>1</v>
      </c>
      <c r="G124" s="245">
        <v>27.2</v>
      </c>
      <c r="H124" s="245"/>
      <c r="I124" s="245"/>
      <c r="J124" s="245">
        <v>8.8000000000000007</v>
      </c>
      <c r="K124" s="245">
        <v>4.5</v>
      </c>
      <c r="L124" s="245">
        <v>8.8000000000000007</v>
      </c>
      <c r="M124" s="312">
        <v>2026</v>
      </c>
      <c r="N124" s="245">
        <v>39.9</v>
      </c>
      <c r="O124" s="245"/>
      <c r="P124" s="245"/>
      <c r="Q124" s="245"/>
      <c r="R124" s="245"/>
      <c r="S124" s="245">
        <f t="shared" si="0"/>
        <v>39.9</v>
      </c>
      <c r="T124" s="278"/>
      <c r="U124" s="245"/>
    </row>
    <row r="125" spans="4:21" ht="47.25">
      <c r="D125" s="274">
        <v>109</v>
      </c>
      <c r="E125" s="334" t="s">
        <v>547</v>
      </c>
      <c r="F125" s="246">
        <v>1</v>
      </c>
      <c r="G125" s="245">
        <v>61.6</v>
      </c>
      <c r="H125" s="245"/>
      <c r="I125" s="245"/>
      <c r="J125" s="245">
        <v>19.8</v>
      </c>
      <c r="K125" s="245">
        <v>10.3</v>
      </c>
      <c r="L125" s="245">
        <v>6.9</v>
      </c>
      <c r="M125" s="312">
        <v>2027</v>
      </c>
      <c r="N125" s="245">
        <v>71.3</v>
      </c>
      <c r="O125" s="245"/>
      <c r="P125" s="245"/>
      <c r="Q125" s="245"/>
      <c r="R125" s="245"/>
      <c r="S125" s="245">
        <f t="shared" si="0"/>
        <v>71.3</v>
      </c>
      <c r="T125" s="278"/>
      <c r="U125" s="245"/>
    </row>
    <row r="126" spans="4:21" ht="31.5" customHeight="1">
      <c r="D126" s="274">
        <v>110</v>
      </c>
      <c r="E126" s="261" t="s">
        <v>548</v>
      </c>
      <c r="F126" s="246">
        <v>1</v>
      </c>
      <c r="G126" s="245">
        <v>27.2</v>
      </c>
      <c r="H126" s="245"/>
      <c r="I126" s="245"/>
      <c r="J126" s="245">
        <v>8.8000000000000007</v>
      </c>
      <c r="K126" s="245">
        <v>4.5</v>
      </c>
      <c r="L126" s="245">
        <v>8.8000000000000007</v>
      </c>
      <c r="M126" s="312">
        <v>2027</v>
      </c>
      <c r="N126" s="245">
        <v>39.9</v>
      </c>
      <c r="O126" s="245"/>
      <c r="P126" s="245"/>
      <c r="Q126" s="245"/>
      <c r="R126" s="245"/>
      <c r="S126" s="245">
        <f t="shared" si="0"/>
        <v>39.9</v>
      </c>
      <c r="T126" s="278"/>
      <c r="U126" s="245"/>
    </row>
    <row r="127" spans="4:21" ht="47.25">
      <c r="D127" s="274">
        <v>111</v>
      </c>
      <c r="E127" s="261" t="s">
        <v>551</v>
      </c>
      <c r="F127" s="246">
        <v>1</v>
      </c>
      <c r="G127" s="245">
        <v>27.2</v>
      </c>
      <c r="H127" s="245"/>
      <c r="I127" s="245"/>
      <c r="J127" s="245">
        <v>8.8000000000000007</v>
      </c>
      <c r="K127" s="245">
        <v>4.5</v>
      </c>
      <c r="L127" s="245">
        <v>8.8000000000000007</v>
      </c>
      <c r="M127" s="312">
        <v>2027</v>
      </c>
      <c r="N127" s="245">
        <v>39.9</v>
      </c>
      <c r="O127" s="245"/>
      <c r="P127" s="245"/>
      <c r="Q127" s="245"/>
      <c r="R127" s="245"/>
      <c r="S127" s="245">
        <f t="shared" si="0"/>
        <v>39.9</v>
      </c>
      <c r="T127" s="278"/>
      <c r="U127" s="245"/>
    </row>
    <row r="128" spans="4:21" ht="47.25">
      <c r="D128" s="274">
        <v>112</v>
      </c>
      <c r="E128" s="261" t="s">
        <v>551</v>
      </c>
      <c r="F128" s="246">
        <v>1</v>
      </c>
      <c r="G128" s="245">
        <v>27.2</v>
      </c>
      <c r="H128" s="245"/>
      <c r="I128" s="245"/>
      <c r="J128" s="245">
        <v>8.8000000000000007</v>
      </c>
      <c r="K128" s="245">
        <v>4.5</v>
      </c>
      <c r="L128" s="245">
        <v>8.8000000000000007</v>
      </c>
      <c r="M128" s="312">
        <v>2027</v>
      </c>
      <c r="N128" s="245">
        <v>39.9</v>
      </c>
      <c r="O128" s="245"/>
      <c r="P128" s="245"/>
      <c r="Q128" s="245"/>
      <c r="R128" s="245"/>
      <c r="S128" s="245">
        <f t="shared" si="0"/>
        <v>39.9</v>
      </c>
      <c r="T128" s="278"/>
      <c r="U128" s="245"/>
    </row>
    <row r="129" spans="4:26" ht="47.25">
      <c r="D129" s="274">
        <v>113</v>
      </c>
      <c r="E129" s="334" t="s">
        <v>552</v>
      </c>
      <c r="F129" s="246">
        <v>1</v>
      </c>
      <c r="G129" s="245">
        <v>61.6</v>
      </c>
      <c r="H129" s="245"/>
      <c r="I129" s="245"/>
      <c r="J129" s="245">
        <v>19.8</v>
      </c>
      <c r="K129" s="245">
        <v>10.3</v>
      </c>
      <c r="L129" s="245">
        <v>6.9</v>
      </c>
      <c r="M129" s="312">
        <v>2027</v>
      </c>
      <c r="N129" s="245">
        <v>71.3</v>
      </c>
      <c r="O129" s="245"/>
      <c r="P129" s="245"/>
      <c r="Q129" s="245"/>
      <c r="R129" s="245"/>
      <c r="S129" s="245">
        <f t="shared" si="0"/>
        <v>71.3</v>
      </c>
      <c r="T129" s="278"/>
      <c r="U129" s="245"/>
    </row>
    <row r="130" spans="4:26" ht="47.25">
      <c r="D130" s="274">
        <v>114</v>
      </c>
      <c r="E130" s="334" t="s">
        <v>552</v>
      </c>
      <c r="F130" s="246">
        <v>1</v>
      </c>
      <c r="G130" s="245">
        <v>61.6</v>
      </c>
      <c r="H130" s="245"/>
      <c r="I130" s="245"/>
      <c r="J130" s="245">
        <v>19.8</v>
      </c>
      <c r="K130" s="245">
        <v>10.3</v>
      </c>
      <c r="L130" s="245">
        <v>6.9</v>
      </c>
      <c r="M130" s="312">
        <v>2027</v>
      </c>
      <c r="N130" s="245">
        <v>71.3</v>
      </c>
      <c r="O130" s="245"/>
      <c r="P130" s="245"/>
      <c r="Q130" s="245"/>
      <c r="R130" s="245"/>
      <c r="S130" s="245">
        <f t="shared" si="0"/>
        <v>71.3</v>
      </c>
      <c r="T130" s="278"/>
      <c r="U130" s="245"/>
    </row>
    <row r="131" spans="4:26" ht="47.25">
      <c r="D131" s="274">
        <v>115</v>
      </c>
      <c r="E131" s="261" t="s">
        <v>556</v>
      </c>
      <c r="F131" s="246">
        <v>1</v>
      </c>
      <c r="G131" s="245">
        <v>27.2</v>
      </c>
      <c r="H131" s="245"/>
      <c r="I131" s="245"/>
      <c r="J131" s="245">
        <v>8.8000000000000007</v>
      </c>
      <c r="K131" s="245">
        <v>4.5</v>
      </c>
      <c r="L131" s="245">
        <v>8.8000000000000007</v>
      </c>
      <c r="M131" s="312">
        <v>2027</v>
      </c>
      <c r="N131" s="245">
        <v>39.9</v>
      </c>
      <c r="O131" s="245"/>
      <c r="P131" s="245"/>
      <c r="Q131" s="245"/>
      <c r="R131" s="245"/>
      <c r="S131" s="245">
        <f t="shared" si="0"/>
        <v>39.9</v>
      </c>
      <c r="T131" s="278"/>
      <c r="U131" s="245"/>
    </row>
    <row r="132" spans="4:26" ht="47.25">
      <c r="D132" s="274">
        <v>116</v>
      </c>
      <c r="E132" s="261" t="s">
        <v>559</v>
      </c>
      <c r="F132" s="246">
        <v>1</v>
      </c>
      <c r="G132" s="245">
        <v>27.2</v>
      </c>
      <c r="H132" s="245"/>
      <c r="I132" s="245"/>
      <c r="J132" s="245">
        <v>8.8000000000000007</v>
      </c>
      <c r="K132" s="245">
        <v>4.5</v>
      </c>
      <c r="L132" s="245">
        <v>8.8000000000000007</v>
      </c>
      <c r="M132" s="312">
        <v>2027</v>
      </c>
      <c r="N132" s="245">
        <v>39.9</v>
      </c>
      <c r="O132" s="245"/>
      <c r="P132" s="245"/>
      <c r="Q132" s="245"/>
      <c r="R132" s="245"/>
      <c r="S132" s="245">
        <f t="shared" si="0"/>
        <v>39.9</v>
      </c>
      <c r="T132" s="278"/>
      <c r="U132" s="245"/>
    </row>
    <row r="133" spans="4:26" ht="47.25">
      <c r="D133" s="274">
        <v>117</v>
      </c>
      <c r="E133" s="261" t="s">
        <v>560</v>
      </c>
      <c r="F133" s="246">
        <v>1</v>
      </c>
      <c r="G133" s="245">
        <v>27.2</v>
      </c>
      <c r="H133" s="245"/>
      <c r="I133" s="245"/>
      <c r="J133" s="245">
        <v>8.8000000000000007</v>
      </c>
      <c r="K133" s="245">
        <v>4.5</v>
      </c>
      <c r="L133" s="245">
        <v>8.8000000000000007</v>
      </c>
      <c r="M133" s="312">
        <v>2027</v>
      </c>
      <c r="N133" s="245">
        <v>39.9</v>
      </c>
      <c r="O133" s="245"/>
      <c r="P133" s="245"/>
      <c r="Q133" s="245"/>
      <c r="R133" s="245"/>
      <c r="S133" s="245">
        <f t="shared" si="0"/>
        <v>39.9</v>
      </c>
      <c r="T133" s="278"/>
      <c r="U133" s="245"/>
    </row>
    <row r="134" spans="4:26" ht="47.25">
      <c r="D134" s="274">
        <v>118</v>
      </c>
      <c r="E134" s="261" t="s">
        <v>560</v>
      </c>
      <c r="F134" s="246">
        <v>1</v>
      </c>
      <c r="G134" s="245">
        <v>27.2</v>
      </c>
      <c r="H134" s="245"/>
      <c r="I134" s="245"/>
      <c r="J134" s="245">
        <v>8.8000000000000007</v>
      </c>
      <c r="K134" s="245">
        <v>4.5</v>
      </c>
      <c r="L134" s="245">
        <v>8.8000000000000007</v>
      </c>
      <c r="M134" s="312">
        <v>2027</v>
      </c>
      <c r="N134" s="245">
        <v>39.9</v>
      </c>
      <c r="O134" s="245"/>
      <c r="P134" s="245"/>
      <c r="Q134" s="245"/>
      <c r="R134" s="245"/>
      <c r="S134" s="245">
        <f t="shared" si="0"/>
        <v>39.9</v>
      </c>
      <c r="T134" s="278"/>
      <c r="U134" s="245"/>
    </row>
    <row r="135" spans="4:26" ht="47.25">
      <c r="D135" s="274">
        <v>119</v>
      </c>
      <c r="E135" s="261" t="s">
        <v>567</v>
      </c>
      <c r="F135" s="246">
        <v>1</v>
      </c>
      <c r="G135" s="245">
        <v>61.6</v>
      </c>
      <c r="H135" s="245"/>
      <c r="I135" s="245"/>
      <c r="J135" s="245">
        <v>19.8</v>
      </c>
      <c r="K135" s="245">
        <v>10.3</v>
      </c>
      <c r="L135" s="245">
        <v>6.9</v>
      </c>
      <c r="M135" s="312">
        <v>2027</v>
      </c>
      <c r="N135" s="245">
        <v>71.3</v>
      </c>
      <c r="O135" s="245"/>
      <c r="P135" s="245"/>
      <c r="Q135" s="245"/>
      <c r="R135" s="245"/>
      <c r="S135" s="245">
        <f t="shared" si="0"/>
        <v>71.3</v>
      </c>
      <c r="T135" s="278"/>
      <c r="U135" s="245"/>
    </row>
    <row r="136" spans="4:26" ht="47.25">
      <c r="D136" s="274">
        <v>120</v>
      </c>
      <c r="E136" s="261" t="s">
        <v>567</v>
      </c>
      <c r="F136" s="246">
        <v>1</v>
      </c>
      <c r="G136" s="245">
        <v>61.6</v>
      </c>
      <c r="H136" s="245"/>
      <c r="I136" s="245"/>
      <c r="J136" s="245">
        <v>19.8</v>
      </c>
      <c r="K136" s="245">
        <v>10.3</v>
      </c>
      <c r="L136" s="245">
        <v>6.9</v>
      </c>
      <c r="M136" s="312">
        <v>2027</v>
      </c>
      <c r="N136" s="245">
        <v>71.3</v>
      </c>
      <c r="O136" s="245"/>
      <c r="P136" s="245"/>
      <c r="Q136" s="245"/>
      <c r="R136" s="245"/>
      <c r="S136" s="245">
        <f t="shared" si="0"/>
        <v>71.3</v>
      </c>
      <c r="T136" s="278"/>
      <c r="U136" s="245"/>
    </row>
    <row r="137" spans="4:26" ht="47.25">
      <c r="D137" s="274">
        <v>121</v>
      </c>
      <c r="E137" s="334" t="s">
        <v>572</v>
      </c>
      <c r="F137" s="246">
        <v>1</v>
      </c>
      <c r="G137" s="245">
        <v>61.6</v>
      </c>
      <c r="H137" s="245"/>
      <c r="I137" s="245"/>
      <c r="J137" s="245">
        <v>19.8</v>
      </c>
      <c r="K137" s="245">
        <v>10.3</v>
      </c>
      <c r="L137" s="245">
        <v>6.9</v>
      </c>
      <c r="M137" s="312">
        <v>2027</v>
      </c>
      <c r="N137" s="245">
        <v>71.3</v>
      </c>
      <c r="O137" s="245"/>
      <c r="P137" s="245"/>
      <c r="Q137" s="245"/>
      <c r="R137" s="245"/>
      <c r="S137" s="245">
        <f t="shared" si="0"/>
        <v>71.3</v>
      </c>
      <c r="T137" s="278"/>
      <c r="U137" s="245"/>
    </row>
    <row r="138" spans="4:26" ht="47.25">
      <c r="D138" s="274">
        <v>122</v>
      </c>
      <c r="E138" s="261" t="s">
        <v>573</v>
      </c>
      <c r="F138" s="246">
        <v>1</v>
      </c>
      <c r="G138" s="245">
        <v>27.2</v>
      </c>
      <c r="H138" s="245"/>
      <c r="I138" s="245"/>
      <c r="J138" s="245">
        <v>8.8000000000000007</v>
      </c>
      <c r="K138" s="245">
        <v>4.5</v>
      </c>
      <c r="L138" s="245">
        <v>8.8000000000000007</v>
      </c>
      <c r="M138" s="312">
        <v>2027</v>
      </c>
      <c r="N138" s="245">
        <v>39.9</v>
      </c>
      <c r="O138" s="245"/>
      <c r="P138" s="245"/>
      <c r="Q138" s="245"/>
      <c r="R138" s="245"/>
      <c r="S138" s="245">
        <f t="shared" si="0"/>
        <v>39.9</v>
      </c>
      <c r="T138" s="278"/>
      <c r="U138" s="245"/>
    </row>
    <row r="139" spans="4:26" ht="47.25">
      <c r="D139" s="274">
        <v>123</v>
      </c>
      <c r="E139" s="261" t="s">
        <v>573</v>
      </c>
      <c r="F139" s="246">
        <v>1</v>
      </c>
      <c r="G139" s="245">
        <v>27.2</v>
      </c>
      <c r="H139" s="245"/>
      <c r="I139" s="245"/>
      <c r="J139" s="245">
        <v>8.8000000000000007</v>
      </c>
      <c r="K139" s="245">
        <v>4.5</v>
      </c>
      <c r="L139" s="245">
        <v>8.8000000000000007</v>
      </c>
      <c r="M139" s="312">
        <v>2027</v>
      </c>
      <c r="N139" s="245">
        <v>39.9</v>
      </c>
      <c r="O139" s="245"/>
      <c r="P139" s="245"/>
      <c r="Q139" s="245"/>
      <c r="R139" s="245"/>
      <c r="S139" s="245">
        <f t="shared" si="0"/>
        <v>39.9</v>
      </c>
      <c r="T139" s="278"/>
      <c r="U139" s="245"/>
    </row>
    <row r="140" spans="4:26" ht="31.5" customHeight="1">
      <c r="D140" s="274">
        <v>124</v>
      </c>
      <c r="E140" s="261" t="s">
        <v>578</v>
      </c>
      <c r="F140" s="246">
        <v>1</v>
      </c>
      <c r="G140" s="245">
        <v>27.2</v>
      </c>
      <c r="H140" s="245"/>
      <c r="I140" s="245"/>
      <c r="J140" s="245">
        <v>8.8000000000000007</v>
      </c>
      <c r="K140" s="245">
        <v>4.5</v>
      </c>
      <c r="L140" s="245">
        <v>8.8000000000000007</v>
      </c>
      <c r="M140" s="312">
        <v>2027</v>
      </c>
      <c r="N140" s="245">
        <v>39.9</v>
      </c>
      <c r="O140" s="245"/>
      <c r="P140" s="245"/>
      <c r="Q140" s="245"/>
      <c r="R140" s="245"/>
      <c r="S140" s="245">
        <f t="shared" si="0"/>
        <v>39.9</v>
      </c>
      <c r="T140" s="278"/>
      <c r="U140" s="245"/>
    </row>
    <row r="141" spans="4:26" ht="31.5" customHeight="1">
      <c r="D141" s="274">
        <v>125</v>
      </c>
      <c r="E141" s="261" t="s">
        <v>579</v>
      </c>
      <c r="F141" s="246">
        <v>1</v>
      </c>
      <c r="G141" s="245">
        <v>27.2</v>
      </c>
      <c r="H141" s="245"/>
      <c r="I141" s="245"/>
      <c r="J141" s="245">
        <v>8.8000000000000007</v>
      </c>
      <c r="K141" s="245">
        <v>4.5</v>
      </c>
      <c r="L141" s="245">
        <v>8.8000000000000007</v>
      </c>
      <c r="M141" s="312">
        <v>2027</v>
      </c>
      <c r="N141" s="245">
        <v>39.9</v>
      </c>
      <c r="O141" s="245"/>
      <c r="P141" s="245"/>
      <c r="Q141" s="245"/>
      <c r="R141" s="245"/>
      <c r="S141" s="245">
        <f t="shared" si="0"/>
        <v>39.9</v>
      </c>
      <c r="T141" s="278"/>
      <c r="U141" s="245"/>
    </row>
    <row r="142" spans="4:26" ht="31.5" customHeight="1">
      <c r="D142" s="274">
        <v>126</v>
      </c>
      <c r="E142" s="261" t="s">
        <v>579</v>
      </c>
      <c r="F142" s="246">
        <v>1</v>
      </c>
      <c r="G142" s="245">
        <v>27.2</v>
      </c>
      <c r="H142" s="245"/>
      <c r="I142" s="245"/>
      <c r="J142" s="245">
        <v>8.8000000000000007</v>
      </c>
      <c r="K142" s="245">
        <v>4.5</v>
      </c>
      <c r="L142" s="245">
        <v>8.8000000000000007</v>
      </c>
      <c r="M142" s="312">
        <v>2027</v>
      </c>
      <c r="N142" s="245">
        <v>39.9</v>
      </c>
      <c r="O142" s="245"/>
      <c r="P142" s="245"/>
      <c r="Q142" s="245"/>
      <c r="R142" s="245"/>
      <c r="S142" s="245">
        <f t="shared" si="0"/>
        <v>39.9</v>
      </c>
      <c r="T142" s="278"/>
      <c r="U142" s="245"/>
    </row>
    <row r="143" spans="4:26" ht="47.25">
      <c r="D143" s="274">
        <v>127</v>
      </c>
      <c r="E143" s="334" t="s">
        <v>583</v>
      </c>
      <c r="F143" s="246">
        <v>1</v>
      </c>
      <c r="G143" s="245">
        <v>61.6</v>
      </c>
      <c r="H143" s="245"/>
      <c r="I143" s="245"/>
      <c r="J143" s="245">
        <v>19.8</v>
      </c>
      <c r="K143" s="245">
        <v>10.3</v>
      </c>
      <c r="L143" s="245">
        <v>6.9</v>
      </c>
      <c r="M143" s="312">
        <v>2027</v>
      </c>
      <c r="N143" s="245">
        <v>71.3</v>
      </c>
      <c r="O143" s="245"/>
      <c r="P143" s="245"/>
      <c r="Q143" s="245"/>
      <c r="R143" s="245"/>
      <c r="S143" s="245">
        <f t="shared" si="0"/>
        <v>71.3</v>
      </c>
      <c r="T143" s="278"/>
      <c r="U143" s="245"/>
    </row>
    <row r="144" spans="4:26" ht="47.25">
      <c r="D144" s="274">
        <v>128</v>
      </c>
      <c r="E144" s="261" t="s">
        <v>584</v>
      </c>
      <c r="F144" s="246">
        <v>1</v>
      </c>
      <c r="G144" s="245">
        <v>27.2</v>
      </c>
      <c r="H144" s="245"/>
      <c r="I144" s="245"/>
      <c r="J144" s="245">
        <v>8.8000000000000007</v>
      </c>
      <c r="K144" s="245">
        <v>4.5</v>
      </c>
      <c r="L144" s="245">
        <v>8.8000000000000007</v>
      </c>
      <c r="M144" s="312">
        <v>2027</v>
      </c>
      <c r="N144" s="245">
        <v>39.9</v>
      </c>
      <c r="O144" s="245"/>
      <c r="P144" s="245"/>
      <c r="Q144" s="245"/>
      <c r="R144" s="245"/>
      <c r="S144" s="245">
        <f t="shared" si="0"/>
        <v>39.9</v>
      </c>
      <c r="T144" s="278"/>
      <c r="U144" s="245"/>
      <c r="Z144" s="322"/>
    </row>
    <row r="145" spans="4:21" ht="31.5">
      <c r="D145" s="274">
        <v>129</v>
      </c>
      <c r="E145" s="261" t="s">
        <v>807</v>
      </c>
      <c r="F145" s="246">
        <v>269</v>
      </c>
      <c r="G145" s="245">
        <v>18.8</v>
      </c>
      <c r="H145" s="245"/>
      <c r="I145" s="245"/>
      <c r="J145" s="245">
        <v>6.1</v>
      </c>
      <c r="K145" s="245">
        <v>3.1</v>
      </c>
      <c r="L145" s="245">
        <v>3.4</v>
      </c>
      <c r="M145" s="312">
        <v>2023</v>
      </c>
      <c r="N145" s="245">
        <v>10.5</v>
      </c>
      <c r="O145" s="245"/>
      <c r="P145" s="245"/>
      <c r="Q145" s="245"/>
      <c r="R145" s="245"/>
      <c r="S145" s="245">
        <f t="shared" si="0"/>
        <v>10.5</v>
      </c>
      <c r="T145" s="278"/>
      <c r="U145" s="245"/>
    </row>
    <row r="146" spans="4:21" ht="35.25" customHeight="1">
      <c r="D146" s="274">
        <v>130</v>
      </c>
      <c r="E146" s="261" t="s">
        <v>807</v>
      </c>
      <c r="F146" s="246">
        <v>30</v>
      </c>
      <c r="G146" s="245">
        <v>1.1000000000000001</v>
      </c>
      <c r="H146" s="245"/>
      <c r="I146" s="245"/>
      <c r="J146" s="313">
        <v>0.34</v>
      </c>
      <c r="K146" s="313">
        <v>0.17</v>
      </c>
      <c r="L146" s="245">
        <v>4.5</v>
      </c>
      <c r="M146" s="312">
        <v>2023</v>
      </c>
      <c r="N146" s="313">
        <v>0.79</v>
      </c>
      <c r="O146" s="245"/>
      <c r="P146" s="245"/>
      <c r="Q146" s="245"/>
      <c r="R146" s="245"/>
      <c r="S146" s="313">
        <f t="shared" si="0"/>
        <v>0.79</v>
      </c>
      <c r="T146" s="278"/>
      <c r="U146" s="245"/>
    </row>
    <row r="147" spans="4:21" ht="31.5">
      <c r="D147" s="274">
        <v>131</v>
      </c>
      <c r="E147" s="261" t="s">
        <v>808</v>
      </c>
      <c r="F147" s="246">
        <v>200</v>
      </c>
      <c r="G147" s="245">
        <v>13.9</v>
      </c>
      <c r="H147" s="245"/>
      <c r="I147" s="245"/>
      <c r="J147" s="245">
        <v>4.5</v>
      </c>
      <c r="K147" s="245">
        <v>2.2999999999999998</v>
      </c>
      <c r="L147" s="245">
        <v>3.4</v>
      </c>
      <c r="M147" s="312">
        <v>2023</v>
      </c>
      <c r="N147" s="245">
        <v>7.8</v>
      </c>
      <c r="O147" s="245"/>
      <c r="P147" s="245"/>
      <c r="Q147" s="245"/>
      <c r="R147" s="245"/>
      <c r="S147" s="245">
        <f t="shared" si="0"/>
        <v>7.8</v>
      </c>
      <c r="T147" s="278"/>
      <c r="U147" s="245"/>
    </row>
    <row r="148" spans="4:21" ht="31.5">
      <c r="D148" s="274">
        <v>132</v>
      </c>
      <c r="E148" s="261" t="s">
        <v>809</v>
      </c>
      <c r="F148" s="246">
        <v>190</v>
      </c>
      <c r="G148" s="245">
        <v>13.3</v>
      </c>
      <c r="H148" s="245"/>
      <c r="I148" s="245"/>
      <c r="J148" s="245">
        <v>4.3</v>
      </c>
      <c r="K148" s="245">
        <v>2.2000000000000002</v>
      </c>
      <c r="L148" s="245">
        <v>3.4</v>
      </c>
      <c r="M148" s="312">
        <v>2023</v>
      </c>
      <c r="N148" s="245">
        <v>7.4</v>
      </c>
      <c r="O148" s="245"/>
      <c r="P148" s="245"/>
      <c r="Q148" s="245"/>
      <c r="R148" s="245"/>
      <c r="S148" s="245">
        <f t="shared" si="0"/>
        <v>7.4</v>
      </c>
      <c r="T148" s="278"/>
      <c r="U148" s="245"/>
    </row>
    <row r="149" spans="4:21" ht="31.5">
      <c r="D149" s="274">
        <v>133</v>
      </c>
      <c r="E149" s="261" t="s">
        <v>810</v>
      </c>
      <c r="F149" s="246">
        <v>22</v>
      </c>
      <c r="G149" s="245">
        <v>1.5</v>
      </c>
      <c r="H149" s="245"/>
      <c r="I149" s="245"/>
      <c r="J149" s="313">
        <v>0.49</v>
      </c>
      <c r="K149" s="313">
        <v>0.26</v>
      </c>
      <c r="L149" s="245">
        <v>3.4</v>
      </c>
      <c r="M149" s="312">
        <v>2023</v>
      </c>
      <c r="N149" s="313">
        <v>0.87</v>
      </c>
      <c r="O149" s="245"/>
      <c r="P149" s="245"/>
      <c r="Q149" s="245"/>
      <c r="R149" s="245"/>
      <c r="S149" s="313">
        <f t="shared" si="0"/>
        <v>0.87</v>
      </c>
      <c r="T149" s="278"/>
      <c r="U149" s="245"/>
    </row>
    <row r="150" spans="4:21" ht="31.5">
      <c r="D150" s="274">
        <v>134</v>
      </c>
      <c r="E150" s="261" t="s">
        <v>810</v>
      </c>
      <c r="F150" s="246">
        <v>40</v>
      </c>
      <c r="G150" s="245">
        <v>1.4</v>
      </c>
      <c r="H150" s="245"/>
      <c r="I150" s="245"/>
      <c r="J150" s="313">
        <v>0.45</v>
      </c>
      <c r="K150" s="313">
        <v>0.23</v>
      </c>
      <c r="L150" s="245">
        <v>4.5</v>
      </c>
      <c r="M150" s="312">
        <v>2023</v>
      </c>
      <c r="N150" s="245">
        <v>1</v>
      </c>
      <c r="O150" s="245"/>
      <c r="P150" s="245"/>
      <c r="Q150" s="245"/>
      <c r="R150" s="245"/>
      <c r="S150" s="245">
        <f t="shared" si="0"/>
        <v>1</v>
      </c>
      <c r="T150" s="278"/>
      <c r="U150" s="245"/>
    </row>
    <row r="151" spans="4:21" ht="31.5">
      <c r="D151" s="274">
        <v>135</v>
      </c>
      <c r="E151" s="261" t="s">
        <v>811</v>
      </c>
      <c r="F151" s="246">
        <v>48</v>
      </c>
      <c r="G151" s="245">
        <v>1.7</v>
      </c>
      <c r="H151" s="245"/>
      <c r="I151" s="245"/>
      <c r="J151" s="313">
        <v>0.54</v>
      </c>
      <c r="K151" s="313">
        <v>0.28000000000000003</v>
      </c>
      <c r="L151" s="245">
        <v>4.5</v>
      </c>
      <c r="M151" s="312">
        <v>2023</v>
      </c>
      <c r="N151" s="245">
        <v>1.3</v>
      </c>
      <c r="O151" s="245"/>
      <c r="P151" s="245"/>
      <c r="Q151" s="245"/>
      <c r="R151" s="245"/>
      <c r="S151" s="245">
        <f t="shared" si="0"/>
        <v>1.3</v>
      </c>
      <c r="T151" s="278"/>
      <c r="U151" s="245"/>
    </row>
    <row r="152" spans="4:21" ht="31.5">
      <c r="D152" s="274">
        <v>136</v>
      </c>
      <c r="E152" s="261" t="s">
        <v>812</v>
      </c>
      <c r="F152" s="246">
        <v>20</v>
      </c>
      <c r="G152" s="313">
        <v>0.7</v>
      </c>
      <c r="H152" s="245"/>
      <c r="I152" s="245"/>
      <c r="J152" s="313">
        <v>0.22</v>
      </c>
      <c r="K152" s="313">
        <v>0.12</v>
      </c>
      <c r="L152" s="245">
        <v>4.5</v>
      </c>
      <c r="M152" s="312">
        <v>2023</v>
      </c>
      <c r="N152" s="313">
        <v>0.52</v>
      </c>
      <c r="O152" s="245"/>
      <c r="P152" s="245"/>
      <c r="Q152" s="245"/>
      <c r="R152" s="245"/>
      <c r="S152" s="313">
        <f t="shared" si="0"/>
        <v>0.52</v>
      </c>
      <c r="T152" s="278"/>
      <c r="U152" s="245"/>
    </row>
    <row r="153" spans="4:21" ht="35.25" customHeight="1">
      <c r="D153" s="274">
        <v>137</v>
      </c>
      <c r="E153" s="261" t="s">
        <v>812</v>
      </c>
      <c r="F153" s="246">
        <v>8</v>
      </c>
      <c r="G153" s="313">
        <v>0.56000000000000005</v>
      </c>
      <c r="H153" s="245"/>
      <c r="I153" s="245"/>
      <c r="J153" s="313">
        <v>0.18</v>
      </c>
      <c r="K153" s="313">
        <v>0.09</v>
      </c>
      <c r="L153" s="245">
        <v>3.4</v>
      </c>
      <c r="M153" s="312">
        <v>2023</v>
      </c>
      <c r="N153" s="313">
        <v>0.32</v>
      </c>
      <c r="O153" s="245"/>
      <c r="P153" s="245"/>
      <c r="Q153" s="245"/>
      <c r="R153" s="245"/>
      <c r="S153" s="313">
        <f t="shared" si="0"/>
        <v>0.32</v>
      </c>
      <c r="T153" s="278"/>
      <c r="U153" s="245"/>
    </row>
    <row r="154" spans="4:21" ht="31.5">
      <c r="D154" s="274">
        <v>138</v>
      </c>
      <c r="E154" s="261" t="s">
        <v>813</v>
      </c>
      <c r="F154" s="246">
        <v>32</v>
      </c>
      <c r="G154" s="245">
        <v>2.2000000000000002</v>
      </c>
      <c r="H154" s="245"/>
      <c r="I154" s="245"/>
      <c r="J154" s="313">
        <v>0.72</v>
      </c>
      <c r="K154" s="313">
        <v>0.37</v>
      </c>
      <c r="L154" s="245">
        <v>3.4</v>
      </c>
      <c r="M154" s="312">
        <v>2023</v>
      </c>
      <c r="N154" s="245">
        <v>1.3</v>
      </c>
      <c r="O154" s="245"/>
      <c r="P154" s="245"/>
      <c r="Q154" s="245"/>
      <c r="R154" s="245"/>
      <c r="S154" s="245">
        <f t="shared" si="0"/>
        <v>1.3</v>
      </c>
      <c r="T154" s="278"/>
      <c r="U154" s="245"/>
    </row>
    <row r="155" spans="4:21" ht="31.5">
      <c r="D155" s="274">
        <v>139</v>
      </c>
      <c r="E155" s="261" t="s">
        <v>813</v>
      </c>
      <c r="F155" s="246">
        <v>24</v>
      </c>
      <c r="G155" s="313">
        <v>0.84</v>
      </c>
      <c r="H155" s="245"/>
      <c r="I155" s="245"/>
      <c r="J155" s="313">
        <v>0.27</v>
      </c>
      <c r="K155" s="313">
        <v>0.14000000000000001</v>
      </c>
      <c r="L155" s="245">
        <v>4.4000000000000004</v>
      </c>
      <c r="M155" s="312">
        <v>2023</v>
      </c>
      <c r="N155" s="313">
        <v>0.62</v>
      </c>
      <c r="O155" s="245"/>
      <c r="P155" s="245"/>
      <c r="Q155" s="245"/>
      <c r="R155" s="245"/>
      <c r="S155" s="313">
        <f t="shared" si="0"/>
        <v>0.62</v>
      </c>
      <c r="T155" s="278"/>
      <c r="U155" s="245"/>
    </row>
    <row r="156" spans="4:21" ht="31.5">
      <c r="D156" s="274">
        <v>140</v>
      </c>
      <c r="E156" s="261" t="s">
        <v>814</v>
      </c>
      <c r="F156" s="246">
        <v>32</v>
      </c>
      <c r="G156" s="245">
        <v>1.1000000000000001</v>
      </c>
      <c r="H156" s="245"/>
      <c r="I156" s="245"/>
      <c r="J156" s="313">
        <v>0.36</v>
      </c>
      <c r="K156" s="313">
        <v>0.19</v>
      </c>
      <c r="L156" s="245">
        <v>4.5</v>
      </c>
      <c r="M156" s="312">
        <v>2023</v>
      </c>
      <c r="N156" s="313">
        <v>0.84</v>
      </c>
      <c r="O156" s="245"/>
      <c r="P156" s="245"/>
      <c r="Q156" s="245"/>
      <c r="R156" s="245"/>
      <c r="S156" s="313">
        <f t="shared" si="0"/>
        <v>0.84</v>
      </c>
      <c r="T156" s="278"/>
      <c r="U156" s="245"/>
    </row>
    <row r="157" spans="4:21" ht="31.5">
      <c r="D157" s="274">
        <v>141</v>
      </c>
      <c r="E157" s="261" t="s">
        <v>815</v>
      </c>
      <c r="F157" s="246">
        <v>20</v>
      </c>
      <c r="G157" s="313">
        <v>0.7</v>
      </c>
      <c r="H157" s="245"/>
      <c r="I157" s="245"/>
      <c r="J157" s="313">
        <v>0.22</v>
      </c>
      <c r="K157" s="313">
        <v>0.12</v>
      </c>
      <c r="L157" s="245">
        <v>4.5</v>
      </c>
      <c r="M157" s="312">
        <v>2023</v>
      </c>
      <c r="N157" s="313">
        <v>0.52</v>
      </c>
      <c r="O157" s="245"/>
      <c r="P157" s="245"/>
      <c r="Q157" s="245"/>
      <c r="R157" s="245"/>
      <c r="S157" s="313">
        <f t="shared" si="0"/>
        <v>0.52</v>
      </c>
      <c r="T157" s="278"/>
      <c r="U157" s="245"/>
    </row>
    <row r="158" spans="4:21" ht="31.5">
      <c r="D158" s="274">
        <v>142</v>
      </c>
      <c r="E158" s="261" t="s">
        <v>815</v>
      </c>
      <c r="F158" s="246">
        <v>8</v>
      </c>
      <c r="G158" s="313">
        <v>0.56000000000000005</v>
      </c>
      <c r="H158" s="245"/>
      <c r="I158" s="245"/>
      <c r="J158" s="313">
        <v>0.18</v>
      </c>
      <c r="K158" s="313">
        <v>0.09</v>
      </c>
      <c r="L158" s="245">
        <v>3.4</v>
      </c>
      <c r="M158" s="312">
        <v>2023</v>
      </c>
      <c r="N158" s="313">
        <v>0.32</v>
      </c>
      <c r="O158" s="313"/>
      <c r="P158" s="313"/>
      <c r="Q158" s="313"/>
      <c r="R158" s="313"/>
      <c r="S158" s="313">
        <f t="shared" si="0"/>
        <v>0.32</v>
      </c>
      <c r="T158" s="278"/>
      <c r="U158" s="245"/>
    </row>
    <row r="159" spans="4:21" ht="31.5">
      <c r="D159" s="274">
        <v>143</v>
      </c>
      <c r="E159" s="261" t="s">
        <v>816</v>
      </c>
      <c r="F159" s="246">
        <v>6</v>
      </c>
      <c r="G159" s="313">
        <v>0.42</v>
      </c>
      <c r="H159" s="245"/>
      <c r="I159" s="245"/>
      <c r="J159" s="313">
        <v>0.13</v>
      </c>
      <c r="K159" s="313">
        <v>7.0000000000000007E-2</v>
      </c>
      <c r="L159" s="245">
        <v>3.6</v>
      </c>
      <c r="M159" s="312">
        <v>2023</v>
      </c>
      <c r="N159" s="313">
        <v>0.25</v>
      </c>
      <c r="O159" s="245"/>
      <c r="P159" s="245"/>
      <c r="Q159" s="245"/>
      <c r="R159" s="245"/>
      <c r="S159" s="313">
        <f t="shared" si="0"/>
        <v>0.25</v>
      </c>
      <c r="T159" s="278"/>
      <c r="U159" s="245"/>
    </row>
    <row r="160" spans="4:21" ht="31.5">
      <c r="D160" s="274">
        <v>144</v>
      </c>
      <c r="E160" s="261" t="s">
        <v>817</v>
      </c>
      <c r="F160" s="246">
        <v>10</v>
      </c>
      <c r="G160" s="313">
        <v>0.35</v>
      </c>
      <c r="H160" s="245"/>
      <c r="I160" s="245"/>
      <c r="J160" s="313">
        <v>0.11</v>
      </c>
      <c r="K160" s="313">
        <v>0.06</v>
      </c>
      <c r="L160" s="245">
        <v>4.5999999999999996</v>
      </c>
      <c r="M160" s="312">
        <v>2023</v>
      </c>
      <c r="N160" s="313">
        <v>0.27</v>
      </c>
      <c r="O160" s="245"/>
      <c r="P160" s="245"/>
      <c r="Q160" s="245"/>
      <c r="R160" s="245"/>
      <c r="S160" s="313">
        <f t="shared" si="0"/>
        <v>0.27</v>
      </c>
      <c r="T160" s="278"/>
      <c r="U160" s="245"/>
    </row>
    <row r="161" spans="4:21" ht="31.5">
      <c r="D161" s="274">
        <v>145</v>
      </c>
      <c r="E161" s="261" t="s">
        <v>818</v>
      </c>
      <c r="F161" s="246">
        <v>22</v>
      </c>
      <c r="G161" s="245">
        <v>9</v>
      </c>
      <c r="H161" s="245"/>
      <c r="I161" s="245"/>
      <c r="J161" s="245">
        <v>2.9042204066304005</v>
      </c>
      <c r="K161" s="245">
        <v>1.5043861706345474</v>
      </c>
      <c r="L161" s="245">
        <v>0.95720103528511602</v>
      </c>
      <c r="M161" s="312">
        <v>2023</v>
      </c>
      <c r="N161" s="245">
        <v>1.44</v>
      </c>
      <c r="O161" s="245"/>
      <c r="P161" s="245"/>
      <c r="Q161" s="245"/>
      <c r="R161" s="245"/>
      <c r="S161" s="245">
        <f t="shared" si="0"/>
        <v>1.44</v>
      </c>
      <c r="T161" s="278"/>
      <c r="U161" s="245"/>
    </row>
    <row r="162" spans="4:21" ht="31.5">
      <c r="D162" s="274">
        <v>146</v>
      </c>
      <c r="E162" s="261" t="s">
        <v>819</v>
      </c>
      <c r="F162" s="246">
        <v>220</v>
      </c>
      <c r="G162" s="245">
        <v>7.6777113600000009</v>
      </c>
      <c r="H162" s="245"/>
      <c r="I162" s="245"/>
      <c r="J162" s="245">
        <v>2.4736772164515841</v>
      </c>
      <c r="K162" s="245">
        <v>1.2813647981219205</v>
      </c>
      <c r="L162" s="245">
        <v>4.4795986345286236</v>
      </c>
      <c r="M162" s="312">
        <v>2023</v>
      </c>
      <c r="N162" s="245">
        <v>5.74</v>
      </c>
      <c r="O162" s="245"/>
      <c r="P162" s="245"/>
      <c r="Q162" s="245"/>
      <c r="R162" s="245"/>
      <c r="S162" s="245">
        <f t="shared" si="0"/>
        <v>5.74</v>
      </c>
      <c r="T162" s="278"/>
      <c r="U162" s="245"/>
    </row>
    <row r="163" spans="4:21" ht="31.5">
      <c r="D163" s="274">
        <v>147</v>
      </c>
      <c r="E163" s="261" t="s">
        <v>819</v>
      </c>
      <c r="F163" s="246">
        <v>420</v>
      </c>
      <c r="G163" s="245">
        <v>29.314897920000003</v>
      </c>
      <c r="H163" s="245"/>
      <c r="I163" s="245"/>
      <c r="J163" s="245">
        <v>9.4449493719060484</v>
      </c>
      <c r="K163" s="245">
        <v>4.8924837746473324</v>
      </c>
      <c r="L163" s="245">
        <v>3.3623003688317339</v>
      </c>
      <c r="M163" s="312">
        <v>2023</v>
      </c>
      <c r="N163" s="245">
        <v>16.45</v>
      </c>
      <c r="O163" s="245"/>
      <c r="P163" s="245"/>
      <c r="Q163" s="245"/>
      <c r="R163" s="245"/>
      <c r="S163" s="245">
        <f t="shared" si="0"/>
        <v>16.45</v>
      </c>
      <c r="T163" s="278"/>
      <c r="U163" s="245"/>
    </row>
    <row r="164" spans="4:21" ht="31.5">
      <c r="D164" s="274">
        <v>148</v>
      </c>
      <c r="E164" s="261" t="s">
        <v>820</v>
      </c>
      <c r="F164" s="246">
        <v>20</v>
      </c>
      <c r="G164" s="313">
        <v>0.69797376000000011</v>
      </c>
      <c r="H164" s="313"/>
      <c r="I164" s="313"/>
      <c r="J164" s="313">
        <v>0.22487974695014401</v>
      </c>
      <c r="K164" s="313">
        <v>0.1164877089201746</v>
      </c>
      <c r="L164" s="245">
        <v>4.4639902769170252</v>
      </c>
      <c r="M164" s="312">
        <v>2023</v>
      </c>
      <c r="N164" s="313">
        <v>0.52</v>
      </c>
      <c r="O164" s="313"/>
      <c r="P164" s="313"/>
      <c r="Q164" s="313"/>
      <c r="R164" s="313"/>
      <c r="S164" s="313">
        <f t="shared" si="0"/>
        <v>0.52</v>
      </c>
      <c r="T164" s="278"/>
      <c r="U164" s="245"/>
    </row>
    <row r="165" spans="4:21" ht="31.5">
      <c r="D165" s="274">
        <v>149</v>
      </c>
      <c r="E165" s="261" t="s">
        <v>820</v>
      </c>
      <c r="F165" s="246">
        <v>6</v>
      </c>
      <c r="G165" s="313">
        <v>0.41878425600000002</v>
      </c>
      <c r="H165" s="313"/>
      <c r="I165" s="313"/>
      <c r="J165" s="313">
        <v>0.13492784817008638</v>
      </c>
      <c r="K165" s="313">
        <v>6.9892625352104734E-2</v>
      </c>
      <c r="L165" s="245">
        <v>3.5769152859912072</v>
      </c>
      <c r="M165" s="312">
        <v>2024</v>
      </c>
      <c r="N165" s="313">
        <v>0.25</v>
      </c>
      <c r="O165" s="313"/>
      <c r="P165" s="313"/>
      <c r="Q165" s="313"/>
      <c r="R165" s="313"/>
      <c r="S165" s="313">
        <f t="shared" si="0"/>
        <v>0.25</v>
      </c>
      <c r="T165" s="278"/>
      <c r="U165" s="245"/>
    </row>
    <row r="166" spans="4:21" ht="31.5">
      <c r="D166" s="274">
        <v>150</v>
      </c>
      <c r="E166" s="261" t="s">
        <v>821</v>
      </c>
      <c r="F166" s="246">
        <v>28</v>
      </c>
      <c r="G166" s="245">
        <v>0.97716326400000009</v>
      </c>
      <c r="H166" s="245"/>
      <c r="I166" s="245"/>
      <c r="J166" s="313">
        <v>0.31483164573020156</v>
      </c>
      <c r="K166" s="313">
        <v>0.16308279248824439</v>
      </c>
      <c r="L166" s="245">
        <v>4.4762539864689961</v>
      </c>
      <c r="M166" s="312">
        <v>2024</v>
      </c>
      <c r="N166" s="313">
        <v>0.73</v>
      </c>
      <c r="O166" s="313"/>
      <c r="P166" s="313"/>
      <c r="Q166" s="313"/>
      <c r="R166" s="313"/>
      <c r="S166" s="313">
        <f t="shared" si="0"/>
        <v>0.73</v>
      </c>
      <c r="T166" s="278"/>
      <c r="U166" s="245"/>
    </row>
    <row r="167" spans="4:21" ht="31.5">
      <c r="D167" s="274">
        <v>151</v>
      </c>
      <c r="E167" s="261" t="s">
        <v>821</v>
      </c>
      <c r="F167" s="246">
        <v>6</v>
      </c>
      <c r="G167" s="313">
        <v>0.41878425600000002</v>
      </c>
      <c r="H167" s="313"/>
      <c r="I167" s="313"/>
      <c r="J167" s="313">
        <v>0.13492784817008638</v>
      </c>
      <c r="K167" s="313">
        <v>6.9892625352104734E-2</v>
      </c>
      <c r="L167" s="245">
        <v>3.5769152859912072</v>
      </c>
      <c r="M167" s="312">
        <v>2024</v>
      </c>
      <c r="N167" s="313">
        <v>0.25</v>
      </c>
      <c r="O167" s="313"/>
      <c r="P167" s="313"/>
      <c r="Q167" s="313"/>
      <c r="R167" s="313"/>
      <c r="S167" s="313">
        <f t="shared" si="0"/>
        <v>0.25</v>
      </c>
      <c r="T167" s="278"/>
      <c r="U167" s="245"/>
    </row>
    <row r="168" spans="4:21" ht="31.5">
      <c r="D168" s="274">
        <v>152</v>
      </c>
      <c r="E168" s="261" t="s">
        <v>822</v>
      </c>
      <c r="F168" s="246">
        <v>20</v>
      </c>
      <c r="G168" s="313">
        <v>0.69797376000000011</v>
      </c>
      <c r="H168" s="313"/>
      <c r="I168" s="313"/>
      <c r="J168" s="313">
        <v>0.22487974695014401</v>
      </c>
      <c r="K168" s="313">
        <v>0.1164877089201746</v>
      </c>
      <c r="L168" s="245">
        <v>4.4639902769170252</v>
      </c>
      <c r="M168" s="312">
        <v>2024</v>
      </c>
      <c r="N168" s="313">
        <v>0.52</v>
      </c>
      <c r="O168" s="313"/>
      <c r="P168" s="313"/>
      <c r="Q168" s="313"/>
      <c r="R168" s="313"/>
      <c r="S168" s="313">
        <f t="shared" si="0"/>
        <v>0.52</v>
      </c>
      <c r="T168" s="278"/>
      <c r="U168" s="245"/>
    </row>
    <row r="169" spans="4:21" ht="31.5">
      <c r="D169" s="274">
        <v>153</v>
      </c>
      <c r="E169" s="261" t="s">
        <v>822</v>
      </c>
      <c r="F169" s="246">
        <v>6</v>
      </c>
      <c r="G169" s="313">
        <v>0.41878425600000002</v>
      </c>
      <c r="H169" s="313"/>
      <c r="I169" s="313"/>
      <c r="J169" s="313">
        <v>0.13492784817008638</v>
      </c>
      <c r="K169" s="313">
        <v>6.9892625352104734E-2</v>
      </c>
      <c r="L169" s="245">
        <v>3.5769152859912072</v>
      </c>
      <c r="M169" s="312">
        <v>2024</v>
      </c>
      <c r="N169" s="313">
        <v>0.25</v>
      </c>
      <c r="O169" s="313"/>
      <c r="P169" s="313"/>
      <c r="Q169" s="313"/>
      <c r="R169" s="313"/>
      <c r="S169" s="313">
        <f t="shared" si="0"/>
        <v>0.25</v>
      </c>
      <c r="T169" s="278"/>
      <c r="U169" s="245"/>
    </row>
    <row r="170" spans="4:21" ht="31.5" customHeight="1">
      <c r="D170" s="274">
        <v>154</v>
      </c>
      <c r="E170" s="261" t="s">
        <v>823</v>
      </c>
      <c r="F170" s="246">
        <v>6</v>
      </c>
      <c r="G170" s="313">
        <v>0.41878425600000002</v>
      </c>
      <c r="H170" s="313"/>
      <c r="I170" s="313"/>
      <c r="J170" s="313">
        <v>0.13492784817008638</v>
      </c>
      <c r="K170" s="313">
        <v>6.9892625352104734E-2</v>
      </c>
      <c r="L170" s="245">
        <v>3.5769152859912072</v>
      </c>
      <c r="M170" s="312">
        <v>2024</v>
      </c>
      <c r="N170" s="313">
        <v>0.25</v>
      </c>
      <c r="O170" s="313"/>
      <c r="P170" s="313"/>
      <c r="Q170" s="313"/>
      <c r="R170" s="313"/>
      <c r="S170" s="313">
        <f t="shared" si="0"/>
        <v>0.25</v>
      </c>
      <c r="T170" s="278"/>
      <c r="U170" s="245"/>
    </row>
    <row r="171" spans="4:21" ht="31.5">
      <c r="D171" s="274">
        <v>155</v>
      </c>
      <c r="E171" s="261" t="s">
        <v>824</v>
      </c>
      <c r="F171" s="246">
        <v>6</v>
      </c>
      <c r="G171" s="313">
        <v>0.41878425600000002</v>
      </c>
      <c r="H171" s="313"/>
      <c r="I171" s="313"/>
      <c r="J171" s="313">
        <v>0.13492784817008638</v>
      </c>
      <c r="K171" s="313">
        <v>6.9892625352104734E-2</v>
      </c>
      <c r="L171" s="245">
        <v>3.5769152859912072</v>
      </c>
      <c r="M171" s="312">
        <v>2024</v>
      </c>
      <c r="N171" s="313">
        <v>0.25</v>
      </c>
      <c r="O171" s="313"/>
      <c r="P171" s="313"/>
      <c r="Q171" s="313"/>
      <c r="R171" s="313"/>
      <c r="S171" s="313">
        <f t="shared" si="0"/>
        <v>0.25</v>
      </c>
      <c r="T171" s="278"/>
      <c r="U171" s="245"/>
    </row>
    <row r="172" spans="4:21" ht="31.5">
      <c r="D172" s="274">
        <v>156</v>
      </c>
      <c r="E172" s="261" t="s">
        <v>825</v>
      </c>
      <c r="F172" s="246">
        <v>14</v>
      </c>
      <c r="G172" s="245">
        <v>0.97716326400000009</v>
      </c>
      <c r="H172" s="245"/>
      <c r="I172" s="245"/>
      <c r="J172" s="313">
        <v>0.31483164573020156</v>
      </c>
      <c r="K172" s="313">
        <v>0.16308279248824439</v>
      </c>
      <c r="L172" s="245">
        <v>3.3725201267917098</v>
      </c>
      <c r="M172" s="312">
        <v>2024</v>
      </c>
      <c r="N172" s="313">
        <v>0.55000000000000004</v>
      </c>
      <c r="O172" s="245"/>
      <c r="P172" s="245"/>
      <c r="Q172" s="245"/>
      <c r="R172" s="245"/>
      <c r="S172" s="313">
        <f t="shared" si="0"/>
        <v>0.55000000000000004</v>
      </c>
      <c r="T172" s="278"/>
      <c r="U172" s="245"/>
    </row>
    <row r="173" spans="4:21" ht="31.5">
      <c r="D173" s="274">
        <v>157</v>
      </c>
      <c r="E173" s="261" t="s">
        <v>825</v>
      </c>
      <c r="F173" s="246">
        <v>2</v>
      </c>
      <c r="G173" s="313">
        <v>6.9797376000000008E-2</v>
      </c>
      <c r="H173" s="245"/>
      <c r="I173" s="245"/>
      <c r="J173" s="313">
        <v>2.2487974695014401E-2</v>
      </c>
      <c r="K173" s="313">
        <v>1.1648770892017459E-2</v>
      </c>
      <c r="L173" s="245">
        <v>6.0092176804652269</v>
      </c>
      <c r="M173" s="312">
        <v>2024</v>
      </c>
      <c r="N173" s="313">
        <v>7.0000000000000007E-2</v>
      </c>
      <c r="O173" s="245"/>
      <c r="P173" s="245"/>
      <c r="Q173" s="245"/>
      <c r="R173" s="245"/>
      <c r="S173" s="313">
        <f t="shared" si="0"/>
        <v>7.0000000000000007E-2</v>
      </c>
      <c r="T173" s="278"/>
      <c r="U173" s="245"/>
    </row>
    <row r="174" spans="4:21" ht="31.5">
      <c r="D174" s="274">
        <v>158</v>
      </c>
      <c r="E174" s="261" t="s">
        <v>826</v>
      </c>
      <c r="F174" s="246">
        <v>6</v>
      </c>
      <c r="G174" s="313">
        <v>0.41878425600000002</v>
      </c>
      <c r="H174" s="245"/>
      <c r="I174" s="245"/>
      <c r="J174" s="313">
        <v>0.13492784817008638</v>
      </c>
      <c r="K174" s="313">
        <v>6.9892625352104734E-2</v>
      </c>
      <c r="L174" s="245">
        <v>3.5769152859912072</v>
      </c>
      <c r="M174" s="312">
        <v>2024</v>
      </c>
      <c r="N174" s="313">
        <v>0.25</v>
      </c>
      <c r="O174" s="245"/>
      <c r="P174" s="245"/>
      <c r="Q174" s="245"/>
      <c r="R174" s="245"/>
      <c r="S174" s="313">
        <f t="shared" si="0"/>
        <v>0.25</v>
      </c>
      <c r="T174" s="278"/>
      <c r="U174" s="245"/>
    </row>
    <row r="175" spans="4:21" ht="31.5">
      <c r="D175" s="274">
        <v>159</v>
      </c>
      <c r="E175" s="261" t="s">
        <v>826</v>
      </c>
      <c r="F175" s="246">
        <v>26</v>
      </c>
      <c r="G175" s="313">
        <v>0.90736588800000029</v>
      </c>
      <c r="H175" s="245"/>
      <c r="I175" s="245"/>
      <c r="J175" s="313">
        <v>0.29234367103518721</v>
      </c>
      <c r="K175" s="313">
        <v>0.15143402159622696</v>
      </c>
      <c r="L175" s="245">
        <v>4.4904044205674225</v>
      </c>
      <c r="M175" s="312">
        <v>2024</v>
      </c>
      <c r="N175" s="313">
        <v>0.68</v>
      </c>
      <c r="O175" s="245"/>
      <c r="P175" s="245"/>
      <c r="Q175" s="245"/>
      <c r="R175" s="245"/>
      <c r="S175" s="313">
        <f t="shared" si="0"/>
        <v>0.68</v>
      </c>
      <c r="T175" s="278"/>
      <c r="U175" s="245"/>
    </row>
    <row r="176" spans="4:21" ht="31.5">
      <c r="D176" s="274">
        <v>160</v>
      </c>
      <c r="E176" s="261" t="s">
        <v>827</v>
      </c>
      <c r="F176" s="246">
        <v>4</v>
      </c>
      <c r="G176" s="313">
        <v>0.27918950400000003</v>
      </c>
      <c r="H176" s="245"/>
      <c r="I176" s="245"/>
      <c r="J176" s="313">
        <v>8.9951898780057604E-2</v>
      </c>
      <c r="K176" s="313">
        <v>4.6595083568069837E-2</v>
      </c>
      <c r="L176" s="245">
        <v>3.6484535917110303</v>
      </c>
      <c r="M176" s="312">
        <v>2024</v>
      </c>
      <c r="N176" s="313">
        <v>0.17</v>
      </c>
      <c r="O176" s="245"/>
      <c r="P176" s="245"/>
      <c r="Q176" s="245"/>
      <c r="R176" s="245"/>
      <c r="S176" s="313">
        <f t="shared" si="0"/>
        <v>0.17</v>
      </c>
      <c r="T176" s="278"/>
      <c r="U176" s="245"/>
    </row>
    <row r="177" spans="1:21" ht="31.5">
      <c r="D177" s="274">
        <v>161</v>
      </c>
      <c r="E177" s="261" t="s">
        <v>827</v>
      </c>
      <c r="F177" s="246">
        <v>11</v>
      </c>
      <c r="G177" s="313">
        <v>0.38388556800000001</v>
      </c>
      <c r="H177" s="245"/>
      <c r="I177" s="245"/>
      <c r="J177" s="313">
        <v>0.12368386082257919</v>
      </c>
      <c r="K177" s="313">
        <v>6.4068239906096017E-2</v>
      </c>
      <c r="L177" s="245">
        <v>4.6825072834793975</v>
      </c>
      <c r="M177" s="312">
        <v>2024</v>
      </c>
      <c r="N177" s="313">
        <v>0.3</v>
      </c>
      <c r="O177" s="245"/>
      <c r="P177" s="245"/>
      <c r="Q177" s="245"/>
      <c r="R177" s="245"/>
      <c r="S177" s="313">
        <f t="shared" si="0"/>
        <v>0.3</v>
      </c>
      <c r="T177" s="278"/>
      <c r="U177" s="245"/>
    </row>
    <row r="178" spans="1:21" ht="31.5">
      <c r="D178" s="274">
        <v>162</v>
      </c>
      <c r="E178" s="261" t="s">
        <v>828</v>
      </c>
      <c r="F178" s="246">
        <v>6</v>
      </c>
      <c r="G178" s="313">
        <v>0.41878425600000002</v>
      </c>
      <c r="H178" s="245"/>
      <c r="I178" s="245"/>
      <c r="J178" s="313">
        <v>0.13492784817008638</v>
      </c>
      <c r="K178" s="313">
        <v>6.9892625352104734E-2</v>
      </c>
      <c r="L178" s="245">
        <v>3.5769152859912072</v>
      </c>
      <c r="M178" s="312">
        <v>2024</v>
      </c>
      <c r="N178" s="313">
        <v>0.25</v>
      </c>
      <c r="O178" s="245"/>
      <c r="P178" s="245"/>
      <c r="Q178" s="245"/>
      <c r="R178" s="245"/>
      <c r="S178" s="313">
        <f t="shared" si="0"/>
        <v>0.25</v>
      </c>
      <c r="T178" s="278"/>
      <c r="U178" s="245"/>
    </row>
    <row r="179" spans="1:21" ht="31.5">
      <c r="D179" s="274">
        <v>163</v>
      </c>
      <c r="E179" s="261" t="s">
        <v>828</v>
      </c>
      <c r="F179" s="246">
        <v>13</v>
      </c>
      <c r="G179" s="313">
        <v>0.45368294400000014</v>
      </c>
      <c r="H179" s="245"/>
      <c r="I179" s="245"/>
      <c r="J179" s="313">
        <v>0.14617183551759361</v>
      </c>
      <c r="K179" s="313">
        <v>7.5717010798113479E-2</v>
      </c>
      <c r="L179" s="245">
        <v>4.6224751388194045</v>
      </c>
      <c r="M179" s="312">
        <v>2024</v>
      </c>
      <c r="N179" s="313">
        <v>0.35</v>
      </c>
      <c r="O179" s="245"/>
      <c r="P179" s="245"/>
      <c r="Q179" s="245"/>
      <c r="R179" s="245"/>
      <c r="S179" s="313">
        <f t="shared" si="0"/>
        <v>0.35</v>
      </c>
      <c r="T179" s="278"/>
      <c r="U179" s="245"/>
    </row>
    <row r="180" spans="1:21" ht="31.5">
      <c r="D180" s="274">
        <v>164</v>
      </c>
      <c r="E180" s="261" t="s">
        <v>829</v>
      </c>
      <c r="F180" s="246">
        <v>4</v>
      </c>
      <c r="G180" s="313">
        <v>0.27918950400000003</v>
      </c>
      <c r="H180" s="245"/>
      <c r="I180" s="245"/>
      <c r="J180" s="313">
        <v>8.9951898780057604E-2</v>
      </c>
      <c r="K180" s="313">
        <v>4.6595083568069837E-2</v>
      </c>
      <c r="L180" s="245">
        <v>3.6484535917110303</v>
      </c>
      <c r="M180" s="312">
        <v>2024</v>
      </c>
      <c r="N180" s="313">
        <v>0.17</v>
      </c>
      <c r="O180" s="245"/>
      <c r="P180" s="245"/>
      <c r="Q180" s="245"/>
      <c r="R180" s="245"/>
      <c r="S180" s="313">
        <f t="shared" si="0"/>
        <v>0.17</v>
      </c>
      <c r="T180" s="278"/>
      <c r="U180" s="245"/>
    </row>
    <row r="181" spans="1:21" ht="31.5">
      <c r="A181" s="323"/>
      <c r="B181" s="324"/>
      <c r="C181" s="325"/>
      <c r="D181" s="274">
        <v>165</v>
      </c>
      <c r="E181" s="261" t="s">
        <v>829</v>
      </c>
      <c r="F181" s="246">
        <v>11</v>
      </c>
      <c r="G181" s="313">
        <v>0.38388556800000001</v>
      </c>
      <c r="H181" s="245"/>
      <c r="I181" s="245"/>
      <c r="J181" s="313">
        <v>0.12368386082257919</v>
      </c>
      <c r="K181" s="313">
        <v>6.4068239906096017E-2</v>
      </c>
      <c r="L181" s="245">
        <v>4.6825072834793975</v>
      </c>
      <c r="M181" s="312">
        <v>2025</v>
      </c>
      <c r="N181" s="313">
        <v>0.3</v>
      </c>
      <c r="O181" s="245"/>
      <c r="P181" s="245"/>
      <c r="Q181" s="245"/>
      <c r="R181" s="245"/>
      <c r="S181" s="313">
        <f t="shared" si="0"/>
        <v>0.3</v>
      </c>
      <c r="T181" s="278"/>
      <c r="U181" s="245"/>
    </row>
    <row r="182" spans="1:21" ht="31.5">
      <c r="A182" s="323"/>
      <c r="B182" s="324"/>
      <c r="C182" s="325"/>
      <c r="D182" s="274">
        <v>166</v>
      </c>
      <c r="E182" s="261" t="s">
        <v>830</v>
      </c>
      <c r="F182" s="246">
        <v>5</v>
      </c>
      <c r="G182" s="313">
        <v>0.34898688000000005</v>
      </c>
      <c r="H182" s="245"/>
      <c r="I182" s="245"/>
      <c r="J182" s="313">
        <v>0.11243987347507201</v>
      </c>
      <c r="K182" s="313">
        <v>5.8243854460087299E-2</v>
      </c>
      <c r="L182" s="245">
        <v>3.6055306082791354</v>
      </c>
      <c r="M182" s="312">
        <v>2025</v>
      </c>
      <c r="N182" s="313">
        <v>0.21</v>
      </c>
      <c r="O182" s="245"/>
      <c r="P182" s="245"/>
      <c r="Q182" s="245"/>
      <c r="R182" s="245"/>
      <c r="S182" s="313">
        <f t="shared" si="0"/>
        <v>0.21</v>
      </c>
      <c r="T182" s="278"/>
      <c r="U182" s="245"/>
    </row>
    <row r="183" spans="1:21" ht="31.5">
      <c r="A183" s="323"/>
      <c r="B183" s="324"/>
      <c r="C183" s="325"/>
      <c r="D183" s="274">
        <v>167</v>
      </c>
      <c r="E183" s="261" t="s">
        <v>830</v>
      </c>
      <c r="F183" s="246">
        <v>13</v>
      </c>
      <c r="G183" s="313">
        <v>0.45368294400000014</v>
      </c>
      <c r="H183" s="245"/>
      <c r="I183" s="245"/>
      <c r="J183" s="313">
        <v>0.14617183551759361</v>
      </c>
      <c r="K183" s="313">
        <v>7.5717010798113479E-2</v>
      </c>
      <c r="L183" s="245">
        <v>4.6224751388194045</v>
      </c>
      <c r="M183" s="312">
        <v>2025</v>
      </c>
      <c r="N183" s="313">
        <v>0.35</v>
      </c>
      <c r="O183" s="245"/>
      <c r="P183" s="245"/>
      <c r="Q183" s="245"/>
      <c r="R183" s="245"/>
      <c r="S183" s="313">
        <f t="shared" si="0"/>
        <v>0.35</v>
      </c>
      <c r="T183" s="278"/>
      <c r="U183" s="245"/>
    </row>
    <row r="184" spans="1:21" ht="31.5">
      <c r="A184" s="323"/>
      <c r="B184" s="324"/>
      <c r="C184" s="325"/>
      <c r="D184" s="274">
        <v>168</v>
      </c>
      <c r="E184" s="261" t="s">
        <v>831</v>
      </c>
      <c r="F184" s="246">
        <v>5</v>
      </c>
      <c r="G184" s="313">
        <v>0.34898688000000005</v>
      </c>
      <c r="H184" s="245"/>
      <c r="I184" s="245"/>
      <c r="J184" s="313">
        <v>0.11243987347507201</v>
      </c>
      <c r="K184" s="313">
        <v>5.8243854460087299E-2</v>
      </c>
      <c r="L184" s="245">
        <v>3.6055306082791354</v>
      </c>
      <c r="M184" s="312">
        <v>2025</v>
      </c>
      <c r="N184" s="313">
        <v>0.21</v>
      </c>
      <c r="O184" s="245"/>
      <c r="P184" s="245"/>
      <c r="Q184" s="245"/>
      <c r="R184" s="245"/>
      <c r="S184" s="313">
        <f t="shared" si="0"/>
        <v>0.21</v>
      </c>
      <c r="T184" s="278"/>
      <c r="U184" s="245"/>
    </row>
    <row r="185" spans="1:21" ht="31.5">
      <c r="A185" s="323"/>
      <c r="B185" s="324"/>
      <c r="C185" s="325"/>
      <c r="D185" s="274">
        <v>169</v>
      </c>
      <c r="E185" s="261" t="s">
        <v>831</v>
      </c>
      <c r="F185" s="246">
        <v>13</v>
      </c>
      <c r="G185" s="313">
        <v>0.45368294400000014</v>
      </c>
      <c r="H185" s="245"/>
      <c r="I185" s="245"/>
      <c r="J185" s="313">
        <v>0.14617183551759361</v>
      </c>
      <c r="K185" s="313">
        <v>7.5717010798113479E-2</v>
      </c>
      <c r="L185" s="245">
        <v>4.6224751388194045</v>
      </c>
      <c r="M185" s="312">
        <v>2025</v>
      </c>
      <c r="N185" s="313">
        <v>0.35</v>
      </c>
      <c r="O185" s="245"/>
      <c r="P185" s="245"/>
      <c r="Q185" s="245"/>
      <c r="R185" s="245"/>
      <c r="S185" s="313">
        <f t="shared" si="0"/>
        <v>0.35</v>
      </c>
      <c r="T185" s="278"/>
      <c r="U185" s="245"/>
    </row>
    <row r="186" spans="1:21" ht="31.5">
      <c r="A186" s="323"/>
      <c r="B186" s="324"/>
      <c r="C186" s="325"/>
      <c r="D186" s="274">
        <v>170</v>
      </c>
      <c r="E186" s="261" t="s">
        <v>832</v>
      </c>
      <c r="F186" s="246">
        <v>5</v>
      </c>
      <c r="G186" s="313">
        <v>0.34898688000000005</v>
      </c>
      <c r="H186" s="245"/>
      <c r="I186" s="245"/>
      <c r="J186" s="313">
        <v>0.11243987347507201</v>
      </c>
      <c r="K186" s="313">
        <v>5.8243854460087299E-2</v>
      </c>
      <c r="L186" s="245">
        <v>3.6055306082791354</v>
      </c>
      <c r="M186" s="312">
        <v>2025</v>
      </c>
      <c r="N186" s="313">
        <v>0.21</v>
      </c>
      <c r="O186" s="245"/>
      <c r="P186" s="245"/>
      <c r="Q186" s="245"/>
      <c r="R186" s="245"/>
      <c r="S186" s="313">
        <f t="shared" si="0"/>
        <v>0.21</v>
      </c>
      <c r="T186" s="278"/>
      <c r="U186" s="245"/>
    </row>
    <row r="187" spans="1:21" ht="31.5">
      <c r="A187" s="323"/>
      <c r="B187" s="324"/>
      <c r="C187" s="325"/>
      <c r="D187" s="274">
        <v>171</v>
      </c>
      <c r="E187" s="261" t="s">
        <v>832</v>
      </c>
      <c r="F187" s="246">
        <v>13</v>
      </c>
      <c r="G187" s="313">
        <v>0.45368294400000014</v>
      </c>
      <c r="H187" s="245"/>
      <c r="I187" s="245"/>
      <c r="J187" s="313">
        <v>0.14617183551759361</v>
      </c>
      <c r="K187" s="313">
        <v>7.5717010798113479E-2</v>
      </c>
      <c r="L187" s="245">
        <v>4.6224751388194045</v>
      </c>
      <c r="M187" s="312">
        <v>2025</v>
      </c>
      <c r="N187" s="313">
        <v>0.35</v>
      </c>
      <c r="O187" s="245"/>
      <c r="P187" s="245"/>
      <c r="Q187" s="245"/>
      <c r="R187" s="245"/>
      <c r="S187" s="313">
        <f t="shared" si="0"/>
        <v>0.35</v>
      </c>
      <c r="T187" s="278"/>
      <c r="U187" s="245"/>
    </row>
    <row r="188" spans="1:21" ht="31.5">
      <c r="A188" s="323"/>
      <c r="B188" s="324"/>
      <c r="C188" s="325"/>
      <c r="D188" s="274">
        <v>172</v>
      </c>
      <c r="E188" s="261" t="s">
        <v>833</v>
      </c>
      <c r="F188" s="246">
        <v>5</v>
      </c>
      <c r="G188" s="313">
        <v>0.34898688000000005</v>
      </c>
      <c r="H188" s="245"/>
      <c r="I188" s="245"/>
      <c r="J188" s="313">
        <v>0.11243987347507201</v>
      </c>
      <c r="K188" s="313">
        <v>5.8243854460087299E-2</v>
      </c>
      <c r="L188" s="245">
        <v>3.6055306082791354</v>
      </c>
      <c r="M188" s="312">
        <v>2025</v>
      </c>
      <c r="N188" s="313">
        <v>0.21</v>
      </c>
      <c r="O188" s="245"/>
      <c r="P188" s="245"/>
      <c r="Q188" s="245"/>
      <c r="R188" s="245"/>
      <c r="S188" s="313">
        <f t="shared" si="0"/>
        <v>0.21</v>
      </c>
      <c r="T188" s="278"/>
      <c r="U188" s="245"/>
    </row>
    <row r="189" spans="1:21" ht="31.5">
      <c r="A189" s="323"/>
      <c r="B189" s="324"/>
      <c r="C189" s="325"/>
      <c r="D189" s="274">
        <v>173</v>
      </c>
      <c r="E189" s="261" t="s">
        <v>833</v>
      </c>
      <c r="F189" s="246">
        <v>13</v>
      </c>
      <c r="G189" s="313">
        <v>0.45368294400000014</v>
      </c>
      <c r="H189" s="245"/>
      <c r="I189" s="245"/>
      <c r="J189" s="313">
        <v>0.14617183551759361</v>
      </c>
      <c r="K189" s="313">
        <v>7.5717010798113479E-2</v>
      </c>
      <c r="L189" s="245">
        <v>4.6224751388194045</v>
      </c>
      <c r="M189" s="312">
        <v>2025</v>
      </c>
      <c r="N189" s="313">
        <v>0.35</v>
      </c>
      <c r="O189" s="245"/>
      <c r="P189" s="245"/>
      <c r="Q189" s="245"/>
      <c r="R189" s="245"/>
      <c r="S189" s="313">
        <f t="shared" si="0"/>
        <v>0.35</v>
      </c>
      <c r="T189" s="278"/>
      <c r="U189" s="245"/>
    </row>
    <row r="190" spans="1:21" ht="31.5">
      <c r="A190" s="323"/>
      <c r="B190" s="324"/>
      <c r="C190" s="325"/>
      <c r="D190" s="274">
        <v>174</v>
      </c>
      <c r="E190" s="261" t="s">
        <v>834</v>
      </c>
      <c r="F190" s="246">
        <v>5</v>
      </c>
      <c r="G190" s="326">
        <v>0.34898688000000005</v>
      </c>
      <c r="H190" s="245"/>
      <c r="I190" s="245"/>
      <c r="J190" s="326">
        <v>0.11243987347507201</v>
      </c>
      <c r="K190" s="327">
        <v>5.8243854460087299E-2</v>
      </c>
      <c r="L190" s="245">
        <v>3.6055306082791354</v>
      </c>
      <c r="M190" s="312">
        <v>2025</v>
      </c>
      <c r="N190" s="313">
        <v>0.21</v>
      </c>
      <c r="O190" s="245"/>
      <c r="P190" s="245"/>
      <c r="Q190" s="245"/>
      <c r="R190" s="245"/>
      <c r="S190" s="313">
        <f t="shared" si="0"/>
        <v>0.21</v>
      </c>
      <c r="T190" s="278"/>
      <c r="U190" s="245"/>
    </row>
    <row r="191" spans="1:21" ht="31.5" customHeight="1">
      <c r="A191" s="323"/>
      <c r="B191" s="324"/>
      <c r="C191" s="325"/>
      <c r="D191" s="274">
        <v>175</v>
      </c>
      <c r="E191" s="261" t="s">
        <v>834</v>
      </c>
      <c r="F191" s="246">
        <v>11</v>
      </c>
      <c r="G191" s="326">
        <v>0.38388556800000001</v>
      </c>
      <c r="H191" s="245"/>
      <c r="I191" s="245"/>
      <c r="J191" s="328">
        <v>0.12368386082257919</v>
      </c>
      <c r="K191" s="326">
        <v>6.4068239906096017E-2</v>
      </c>
      <c r="L191" s="245">
        <v>4.6825072834793975</v>
      </c>
      <c r="M191" s="312">
        <v>2025</v>
      </c>
      <c r="N191" s="313">
        <v>0.3</v>
      </c>
      <c r="O191" s="245"/>
      <c r="P191" s="245"/>
      <c r="Q191" s="245"/>
      <c r="R191" s="245"/>
      <c r="S191" s="313">
        <f t="shared" si="0"/>
        <v>0.3</v>
      </c>
      <c r="T191" s="278"/>
      <c r="U191" s="245"/>
    </row>
    <row r="192" spans="1:21" ht="31.5" customHeight="1">
      <c r="A192" s="323"/>
      <c r="B192" s="324"/>
      <c r="C192" s="325"/>
      <c r="D192" s="274">
        <v>176</v>
      </c>
      <c r="E192" s="261" t="s">
        <v>835</v>
      </c>
      <c r="F192" s="246">
        <v>44</v>
      </c>
      <c r="G192" s="278">
        <v>1.535542272</v>
      </c>
      <c r="H192" s="245"/>
      <c r="I192" s="245"/>
      <c r="J192" s="326">
        <v>0.49473544329031677</v>
      </c>
      <c r="K192" s="327">
        <v>0.25627295962438407</v>
      </c>
      <c r="L192" s="245">
        <v>4.4874028133344224</v>
      </c>
      <c r="M192" s="312">
        <v>2025</v>
      </c>
      <c r="N192" s="245">
        <v>1.1499999999999999</v>
      </c>
      <c r="O192" s="245"/>
      <c r="P192" s="245"/>
      <c r="Q192" s="245"/>
      <c r="R192" s="245"/>
      <c r="S192" s="245">
        <f t="shared" si="0"/>
        <v>1.1499999999999999</v>
      </c>
      <c r="T192" s="278"/>
      <c r="U192" s="245"/>
    </row>
    <row r="193" spans="1:21" ht="31.5">
      <c r="A193" s="323"/>
      <c r="B193" s="324"/>
      <c r="C193" s="325"/>
      <c r="D193" s="274">
        <v>177</v>
      </c>
      <c r="E193" s="261" t="s">
        <v>835</v>
      </c>
      <c r="F193" s="246">
        <v>2</v>
      </c>
      <c r="G193" s="326">
        <v>0.13959475200000002</v>
      </c>
      <c r="H193" s="245"/>
      <c r="I193" s="245"/>
      <c r="J193" s="329">
        <v>4.4975949390028802E-2</v>
      </c>
      <c r="K193" s="326">
        <v>2.3297541784034918E-2</v>
      </c>
      <c r="L193" s="245">
        <v>4.2922983431894473</v>
      </c>
      <c r="M193" s="312">
        <v>2025</v>
      </c>
      <c r="N193" s="313">
        <v>0.1</v>
      </c>
      <c r="O193" s="245"/>
      <c r="P193" s="245"/>
      <c r="Q193" s="245"/>
      <c r="R193" s="245"/>
      <c r="S193" s="313">
        <f t="shared" si="0"/>
        <v>0.1</v>
      </c>
      <c r="T193" s="278"/>
      <c r="U193" s="245"/>
    </row>
    <row r="194" spans="1:21" ht="31.5">
      <c r="A194" s="323"/>
      <c r="B194" s="324"/>
      <c r="C194" s="325"/>
      <c r="D194" s="274">
        <v>178</v>
      </c>
      <c r="E194" s="261" t="s">
        <v>835</v>
      </c>
      <c r="F194" s="246">
        <v>4</v>
      </c>
      <c r="G194" s="327">
        <v>0.73322495999999993</v>
      </c>
      <c r="H194" s="245"/>
      <c r="I194" s="245"/>
      <c r="J194" s="326">
        <v>0.23623730992742395</v>
      </c>
      <c r="K194" s="327">
        <v>0.1223709265424056</v>
      </c>
      <c r="L194" s="313">
        <v>0.163437513836829</v>
      </c>
      <c r="M194" s="312">
        <v>2025</v>
      </c>
      <c r="N194" s="313">
        <v>0.02</v>
      </c>
      <c r="O194" s="245"/>
      <c r="P194" s="245"/>
      <c r="Q194" s="245"/>
      <c r="R194" s="245"/>
      <c r="S194" s="313">
        <f t="shared" si="0"/>
        <v>0.02</v>
      </c>
      <c r="T194" s="278"/>
      <c r="U194" s="245"/>
    </row>
    <row r="195" spans="1:21" ht="31.5">
      <c r="A195" s="323"/>
      <c r="B195" s="324"/>
      <c r="C195" s="325"/>
      <c r="D195" s="274">
        <v>179</v>
      </c>
      <c r="E195" s="261" t="s">
        <v>836</v>
      </c>
      <c r="F195" s="246">
        <v>6</v>
      </c>
      <c r="G195" s="326">
        <v>0.41878425600000002</v>
      </c>
      <c r="H195" s="245"/>
      <c r="I195" s="245"/>
      <c r="J195" s="326">
        <v>0.13492784817008638</v>
      </c>
      <c r="K195" s="326">
        <v>6.9892625352104734E-2</v>
      </c>
      <c r="L195" s="245">
        <v>3.5769152859912072</v>
      </c>
      <c r="M195" s="312">
        <v>2025</v>
      </c>
      <c r="N195" s="313">
        <v>0.25</v>
      </c>
      <c r="O195" s="245"/>
      <c r="P195" s="245"/>
      <c r="Q195" s="245"/>
      <c r="R195" s="245"/>
      <c r="S195" s="313">
        <f t="shared" si="0"/>
        <v>0.25</v>
      </c>
      <c r="T195" s="278"/>
      <c r="U195" s="245"/>
    </row>
    <row r="196" spans="1:21" ht="31.5">
      <c r="A196" s="323"/>
      <c r="B196" s="324"/>
      <c r="C196" s="325"/>
      <c r="D196" s="274">
        <v>180</v>
      </c>
      <c r="E196" s="261" t="s">
        <v>837</v>
      </c>
      <c r="F196" s="246">
        <v>64</v>
      </c>
      <c r="G196" s="297">
        <v>2.2335160320000003</v>
      </c>
      <c r="H196" s="245"/>
      <c r="I196" s="245"/>
      <c r="J196" s="330">
        <v>0.71961519024046083</v>
      </c>
      <c r="K196" s="326">
        <v>0.37276066854455869</v>
      </c>
      <c r="L196" s="245">
        <v>4.4800863957039851</v>
      </c>
      <c r="M196" s="312">
        <v>2025</v>
      </c>
      <c r="N196" s="245">
        <v>1.67</v>
      </c>
      <c r="O196" s="245"/>
      <c r="P196" s="245"/>
      <c r="Q196" s="245"/>
      <c r="R196" s="245"/>
      <c r="S196" s="245">
        <f t="shared" si="0"/>
        <v>1.67</v>
      </c>
      <c r="T196" s="278"/>
      <c r="U196" s="245"/>
    </row>
    <row r="197" spans="1:21" ht="31.5" customHeight="1">
      <c r="A197" s="323"/>
      <c r="B197" s="324"/>
      <c r="C197" s="325"/>
      <c r="D197" s="274">
        <v>181</v>
      </c>
      <c r="E197" s="261" t="s">
        <v>837</v>
      </c>
      <c r="F197" s="246">
        <v>32</v>
      </c>
      <c r="G197" s="278">
        <v>5.8657996799999994</v>
      </c>
      <c r="H197" s="245"/>
      <c r="I197" s="245"/>
      <c r="J197" s="278">
        <v>1.8898984794193916</v>
      </c>
      <c r="K197" s="278">
        <v>0.97896741233924478</v>
      </c>
      <c r="L197" s="313">
        <v>0.18386720306643262</v>
      </c>
      <c r="M197" s="312">
        <v>2025</v>
      </c>
      <c r="N197" s="313">
        <v>0.18</v>
      </c>
      <c r="O197" s="245"/>
      <c r="P197" s="245"/>
      <c r="Q197" s="245"/>
      <c r="R197" s="245"/>
      <c r="S197" s="313">
        <f t="shared" si="0"/>
        <v>0.18</v>
      </c>
      <c r="T197" s="278"/>
      <c r="U197" s="245"/>
    </row>
    <row r="198" spans="1:21" ht="31.5">
      <c r="A198" s="323"/>
      <c r="B198" s="324"/>
      <c r="C198" s="325"/>
      <c r="D198" s="274">
        <v>182</v>
      </c>
      <c r="E198" s="261" t="s">
        <v>838</v>
      </c>
      <c r="F198" s="246">
        <v>6</v>
      </c>
      <c r="G198" s="327">
        <v>0.41878425600000002</v>
      </c>
      <c r="H198" s="245"/>
      <c r="I198" s="245"/>
      <c r="J198" s="328">
        <v>0.13492784817008638</v>
      </c>
      <c r="K198" s="327">
        <v>6.9892625352104734E-2</v>
      </c>
      <c r="L198" s="245">
        <v>3.5769152859912072</v>
      </c>
      <c r="M198" s="312">
        <v>2025</v>
      </c>
      <c r="N198" s="313">
        <v>0.25</v>
      </c>
      <c r="O198" s="245"/>
      <c r="P198" s="245"/>
      <c r="Q198" s="245"/>
      <c r="R198" s="245"/>
      <c r="S198" s="313">
        <f t="shared" si="0"/>
        <v>0.25</v>
      </c>
      <c r="T198" s="278"/>
      <c r="U198" s="245"/>
    </row>
    <row r="199" spans="1:21" ht="31.5" customHeight="1">
      <c r="A199" s="323"/>
      <c r="B199" s="324"/>
      <c r="C199" s="325"/>
      <c r="D199" s="274">
        <v>183</v>
      </c>
      <c r="E199" s="261" t="s">
        <v>839</v>
      </c>
      <c r="F199" s="246">
        <v>6</v>
      </c>
      <c r="G199" s="313">
        <v>0.41878425600000002</v>
      </c>
      <c r="H199" s="245"/>
      <c r="I199" s="245"/>
      <c r="J199" s="313">
        <v>0.13492784817008638</v>
      </c>
      <c r="K199" s="313">
        <v>6.9892625352104734E-2</v>
      </c>
      <c r="L199" s="245">
        <v>3.5769152859912072</v>
      </c>
      <c r="M199" s="312">
        <v>2025</v>
      </c>
      <c r="N199" s="313">
        <v>0.25</v>
      </c>
      <c r="O199" s="245"/>
      <c r="P199" s="245"/>
      <c r="Q199" s="245"/>
      <c r="R199" s="245"/>
      <c r="S199" s="313">
        <f t="shared" si="0"/>
        <v>0.25</v>
      </c>
      <c r="T199" s="278"/>
      <c r="U199" s="245"/>
    </row>
    <row r="200" spans="1:21" ht="31.5" customHeight="1">
      <c r="A200" s="323"/>
      <c r="B200" s="324"/>
      <c r="C200" s="325"/>
      <c r="D200" s="274">
        <v>184</v>
      </c>
      <c r="E200" s="261" t="s">
        <v>840</v>
      </c>
      <c r="F200" s="246">
        <v>48</v>
      </c>
      <c r="G200" s="245">
        <v>1.6751370240000001</v>
      </c>
      <c r="H200" s="245"/>
      <c r="I200" s="245"/>
      <c r="J200" s="313">
        <v>0.53971139268034551</v>
      </c>
      <c r="K200" s="313">
        <v>0.27957050140841894</v>
      </c>
      <c r="L200" s="245">
        <v>4.4711441074890086</v>
      </c>
      <c r="M200" s="312">
        <v>2025</v>
      </c>
      <c r="N200" s="245">
        <v>1.25</v>
      </c>
      <c r="O200" s="245"/>
      <c r="P200" s="245"/>
      <c r="Q200" s="245"/>
      <c r="R200" s="245"/>
      <c r="S200" s="245">
        <f t="shared" si="0"/>
        <v>1.25</v>
      </c>
      <c r="T200" s="278"/>
      <c r="U200" s="245"/>
    </row>
    <row r="201" spans="1:21" ht="31.5">
      <c r="A201" s="323"/>
      <c r="B201" s="324"/>
      <c r="C201" s="325"/>
      <c r="D201" s="274">
        <v>185</v>
      </c>
      <c r="E201" s="261" t="s">
        <v>841</v>
      </c>
      <c r="F201" s="246">
        <v>16</v>
      </c>
      <c r="G201" s="313">
        <v>0.55837900800000007</v>
      </c>
      <c r="H201" s="245"/>
      <c r="I201" s="245"/>
      <c r="J201" s="313">
        <v>0.17990379756011521</v>
      </c>
      <c r="K201" s="313">
        <v>9.3190167136139673E-2</v>
      </c>
      <c r="L201" s="245">
        <v>4.4711441074890086</v>
      </c>
      <c r="M201" s="312">
        <v>2026</v>
      </c>
      <c r="N201" s="313">
        <v>0.42</v>
      </c>
      <c r="O201" s="245"/>
      <c r="P201" s="245"/>
      <c r="Q201" s="245"/>
      <c r="R201" s="245"/>
      <c r="S201" s="313">
        <f t="shared" si="0"/>
        <v>0.42</v>
      </c>
      <c r="T201" s="278"/>
      <c r="U201" s="245"/>
    </row>
    <row r="202" spans="1:21" ht="31.5">
      <c r="A202" s="323"/>
      <c r="B202" s="324"/>
      <c r="C202" s="325"/>
      <c r="D202" s="274">
        <v>186</v>
      </c>
      <c r="E202" s="261" t="s">
        <v>842</v>
      </c>
      <c r="F202" s="246">
        <v>32</v>
      </c>
      <c r="G202" s="245">
        <v>1.1167580160000001</v>
      </c>
      <c r="H202" s="245"/>
      <c r="I202" s="245"/>
      <c r="J202" s="313">
        <v>0.35980759512023042</v>
      </c>
      <c r="K202" s="313">
        <v>0.18638033427227935</v>
      </c>
      <c r="L202" s="245">
        <v>4.4711441074890086</v>
      </c>
      <c r="M202" s="312">
        <v>2026</v>
      </c>
      <c r="N202" s="313">
        <v>0.84</v>
      </c>
      <c r="O202" s="245"/>
      <c r="P202" s="245"/>
      <c r="Q202" s="245"/>
      <c r="R202" s="245"/>
      <c r="S202" s="313">
        <f t="shared" si="0"/>
        <v>0.84</v>
      </c>
      <c r="T202" s="278"/>
      <c r="U202" s="245"/>
    </row>
    <row r="203" spans="1:21" ht="31.5">
      <c r="A203" s="323"/>
      <c r="B203" s="324"/>
      <c r="C203" s="325"/>
      <c r="D203" s="274">
        <v>187</v>
      </c>
      <c r="E203" s="261" t="s">
        <v>843</v>
      </c>
      <c r="F203" s="246">
        <v>36</v>
      </c>
      <c r="G203" s="245">
        <v>1.256352768</v>
      </c>
      <c r="H203" s="245"/>
      <c r="I203" s="245"/>
      <c r="J203" s="313">
        <v>0.40478354451025916</v>
      </c>
      <c r="K203" s="313">
        <v>0.20967787605631424</v>
      </c>
      <c r="L203" s="245">
        <v>4.4711441074890086</v>
      </c>
      <c r="M203" s="312">
        <v>2026</v>
      </c>
      <c r="N203" s="313">
        <v>0.94</v>
      </c>
      <c r="O203" s="245"/>
      <c r="P203" s="245"/>
      <c r="Q203" s="245"/>
      <c r="R203" s="245"/>
      <c r="S203" s="313">
        <f t="shared" si="0"/>
        <v>0.94</v>
      </c>
      <c r="T203" s="278"/>
      <c r="U203" s="245"/>
    </row>
    <row r="204" spans="1:21" ht="31.5">
      <c r="A204" s="323"/>
      <c r="B204" s="324"/>
      <c r="C204" s="325"/>
      <c r="D204" s="274">
        <v>188</v>
      </c>
      <c r="E204" s="261" t="s">
        <v>844</v>
      </c>
      <c r="F204" s="246">
        <v>32</v>
      </c>
      <c r="G204" s="245">
        <v>1.1167580160000001</v>
      </c>
      <c r="H204" s="245"/>
      <c r="I204" s="245"/>
      <c r="J204" s="313">
        <v>0.35980759512023042</v>
      </c>
      <c r="K204" s="313">
        <v>0.18638033427227935</v>
      </c>
      <c r="L204" s="245">
        <v>4.4711441074890086</v>
      </c>
      <c r="M204" s="312">
        <v>2026</v>
      </c>
      <c r="N204" s="313">
        <v>0.84</v>
      </c>
      <c r="O204" s="245"/>
      <c r="P204" s="245"/>
      <c r="Q204" s="245"/>
      <c r="R204" s="245"/>
      <c r="S204" s="313">
        <f t="shared" si="0"/>
        <v>0.84</v>
      </c>
      <c r="T204" s="278"/>
      <c r="U204" s="245"/>
    </row>
    <row r="205" spans="1:21" ht="31.5" customHeight="1">
      <c r="A205" s="323"/>
      <c r="B205" s="324"/>
      <c r="C205" s="325"/>
      <c r="D205" s="274">
        <v>189</v>
      </c>
      <c r="E205" s="261" t="s">
        <v>845</v>
      </c>
      <c r="F205" s="246">
        <v>6</v>
      </c>
      <c r="G205" s="313">
        <v>0.41878425600000002</v>
      </c>
      <c r="H205" s="245"/>
      <c r="I205" s="245"/>
      <c r="J205" s="313">
        <v>0.13492784817008638</v>
      </c>
      <c r="K205" s="313">
        <v>6.9892625352104734E-2</v>
      </c>
      <c r="L205" s="245">
        <v>3.5769152859912072</v>
      </c>
      <c r="M205" s="312">
        <v>2026</v>
      </c>
      <c r="N205" s="313">
        <v>0.25</v>
      </c>
      <c r="O205" s="245"/>
      <c r="P205" s="245"/>
      <c r="Q205" s="245"/>
      <c r="R205" s="245"/>
      <c r="S205" s="313">
        <f t="shared" si="0"/>
        <v>0.25</v>
      </c>
      <c r="T205" s="278"/>
      <c r="U205" s="245"/>
    </row>
    <row r="206" spans="1:21" ht="31.5">
      <c r="A206" s="323"/>
      <c r="B206" s="324"/>
      <c r="C206" s="325"/>
      <c r="D206" s="274">
        <v>190</v>
      </c>
      <c r="E206" s="261" t="s">
        <v>846</v>
      </c>
      <c r="F206" s="246">
        <v>6</v>
      </c>
      <c r="G206" s="313">
        <v>0.41878425600000002</v>
      </c>
      <c r="H206" s="245"/>
      <c r="I206" s="245"/>
      <c r="J206" s="313">
        <v>0.13492784817008638</v>
      </c>
      <c r="K206" s="313">
        <v>6.9892625352104734E-2</v>
      </c>
      <c r="L206" s="245">
        <v>3.5769152859912072</v>
      </c>
      <c r="M206" s="312">
        <v>2026</v>
      </c>
      <c r="N206" s="313">
        <v>0.25</v>
      </c>
      <c r="O206" s="245"/>
      <c r="P206" s="245"/>
      <c r="Q206" s="245"/>
      <c r="R206" s="245"/>
      <c r="S206" s="313">
        <f t="shared" si="0"/>
        <v>0.25</v>
      </c>
      <c r="T206" s="278"/>
      <c r="U206" s="245"/>
    </row>
    <row r="207" spans="1:21" ht="31.5">
      <c r="A207" s="323"/>
      <c r="B207" s="324"/>
      <c r="C207" s="325"/>
      <c r="D207" s="274">
        <v>191</v>
      </c>
      <c r="E207" s="261" t="s">
        <v>847</v>
      </c>
      <c r="F207" s="246">
        <v>6</v>
      </c>
      <c r="G207" s="313">
        <v>0.41878425600000002</v>
      </c>
      <c r="H207" s="245"/>
      <c r="I207" s="245"/>
      <c r="J207" s="313">
        <v>0.13492784817008638</v>
      </c>
      <c r="K207" s="313">
        <v>6.9892625352104734E-2</v>
      </c>
      <c r="L207" s="245">
        <v>3.5769152859912072</v>
      </c>
      <c r="M207" s="312">
        <v>2026</v>
      </c>
      <c r="N207" s="313">
        <v>0.25</v>
      </c>
      <c r="O207" s="245"/>
      <c r="P207" s="245"/>
      <c r="Q207" s="245"/>
      <c r="R207" s="245"/>
      <c r="S207" s="313">
        <f t="shared" si="0"/>
        <v>0.25</v>
      </c>
      <c r="T207" s="278"/>
      <c r="U207" s="245"/>
    </row>
    <row r="208" spans="1:21" ht="31.5">
      <c r="A208" s="323"/>
      <c r="B208" s="324"/>
      <c r="C208" s="325"/>
      <c r="D208" s="274">
        <v>192</v>
      </c>
      <c r="E208" s="261" t="s">
        <v>848</v>
      </c>
      <c r="F208" s="246">
        <v>18</v>
      </c>
      <c r="G208" s="313">
        <v>0.62817638399999998</v>
      </c>
      <c r="H208" s="245"/>
      <c r="I208" s="245"/>
      <c r="J208" s="313">
        <v>0.20239177225512958</v>
      </c>
      <c r="K208" s="313">
        <v>0.10483893802815712</v>
      </c>
      <c r="L208" s="245">
        <v>4.4830671584423119</v>
      </c>
      <c r="M208" s="312">
        <v>2026</v>
      </c>
      <c r="N208" s="313">
        <v>0.47</v>
      </c>
      <c r="O208" s="245"/>
      <c r="P208" s="245"/>
      <c r="Q208" s="245"/>
      <c r="R208" s="245"/>
      <c r="S208" s="313">
        <f t="shared" si="0"/>
        <v>0.47</v>
      </c>
      <c r="T208" s="278"/>
      <c r="U208" s="245"/>
    </row>
    <row r="209" spans="1:21" ht="31.5">
      <c r="A209" s="323"/>
      <c r="B209" s="324"/>
      <c r="C209" s="325"/>
      <c r="D209" s="274">
        <v>193</v>
      </c>
      <c r="E209" s="261" t="s">
        <v>848</v>
      </c>
      <c r="F209" s="246">
        <v>30</v>
      </c>
      <c r="G209" s="245">
        <v>2.09392128</v>
      </c>
      <c r="H209" s="245"/>
      <c r="I209" s="245"/>
      <c r="J209" s="313">
        <v>0.67463924085043203</v>
      </c>
      <c r="K209" s="313">
        <v>0.34946312676052377</v>
      </c>
      <c r="L209" s="245">
        <v>3.3766080299756984</v>
      </c>
      <c r="M209" s="312">
        <v>2026</v>
      </c>
      <c r="N209" s="245">
        <v>1.18</v>
      </c>
      <c r="O209" s="245"/>
      <c r="P209" s="245"/>
      <c r="Q209" s="245"/>
      <c r="R209" s="245"/>
      <c r="S209" s="245">
        <f t="shared" si="0"/>
        <v>1.18</v>
      </c>
      <c r="T209" s="278"/>
      <c r="U209" s="245"/>
    </row>
    <row r="210" spans="1:21" ht="31.5">
      <c r="A210" s="323"/>
      <c r="B210" s="324"/>
      <c r="C210" s="325"/>
      <c r="D210" s="274">
        <v>194</v>
      </c>
      <c r="E210" s="261" t="s">
        <v>848</v>
      </c>
      <c r="F210" s="246">
        <v>60</v>
      </c>
      <c r="G210" s="245">
        <v>10.998374400000001</v>
      </c>
      <c r="H210" s="245"/>
      <c r="I210" s="245"/>
      <c r="J210" s="245">
        <v>3.5435596489113599</v>
      </c>
      <c r="K210" s="245">
        <v>1.8355638981360844</v>
      </c>
      <c r="L210" s="313">
        <v>0.17433334809261755</v>
      </c>
      <c r="M210" s="312">
        <v>2026</v>
      </c>
      <c r="N210" s="313">
        <v>0.32</v>
      </c>
      <c r="O210" s="245"/>
      <c r="P210" s="245"/>
      <c r="Q210" s="245"/>
      <c r="R210" s="245"/>
      <c r="S210" s="313">
        <f t="shared" si="0"/>
        <v>0.32</v>
      </c>
      <c r="T210" s="278"/>
      <c r="U210" s="245"/>
    </row>
    <row r="211" spans="1:21" ht="31.5">
      <c r="A211" s="323"/>
      <c r="B211" s="324"/>
      <c r="C211" s="325"/>
      <c r="D211" s="274">
        <v>195</v>
      </c>
      <c r="E211" s="261" t="s">
        <v>849</v>
      </c>
      <c r="F211" s="246">
        <v>32</v>
      </c>
      <c r="G211" s="313">
        <v>0.54433280000000006</v>
      </c>
      <c r="H211" s="245"/>
      <c r="I211" s="245"/>
      <c r="J211" s="313">
        <v>0.17537825823232001</v>
      </c>
      <c r="K211" s="313">
        <v>9.0845937764341772E-2</v>
      </c>
      <c r="L211" s="245">
        <v>1.9813764316785154</v>
      </c>
      <c r="M211" s="312">
        <v>2026</v>
      </c>
      <c r="N211" s="313">
        <v>0.18</v>
      </c>
      <c r="O211" s="245"/>
      <c r="P211" s="245"/>
      <c r="Q211" s="245"/>
      <c r="R211" s="245"/>
      <c r="S211" s="313">
        <f t="shared" si="0"/>
        <v>0.18</v>
      </c>
      <c r="T211" s="278"/>
      <c r="U211" s="245"/>
    </row>
    <row r="212" spans="1:21" ht="31.5">
      <c r="A212" s="323"/>
      <c r="B212" s="324"/>
      <c r="C212" s="325"/>
      <c r="D212" s="274">
        <v>196</v>
      </c>
      <c r="E212" s="261" t="s">
        <v>850</v>
      </c>
      <c r="F212" s="246">
        <v>6</v>
      </c>
      <c r="G212" s="313">
        <v>0.41878425600000002</v>
      </c>
      <c r="H212" s="245"/>
      <c r="I212" s="245"/>
      <c r="J212" s="313">
        <v>0.13492784817008638</v>
      </c>
      <c r="K212" s="313">
        <v>6.9892625352104734E-2</v>
      </c>
      <c r="L212" s="245">
        <v>3.5769152859912072</v>
      </c>
      <c r="M212" s="312">
        <v>2026</v>
      </c>
      <c r="N212" s="313">
        <v>0.25</v>
      </c>
      <c r="O212" s="245"/>
      <c r="P212" s="245"/>
      <c r="Q212" s="245"/>
      <c r="R212" s="245"/>
      <c r="S212" s="313">
        <f t="shared" si="0"/>
        <v>0.25</v>
      </c>
      <c r="T212" s="278"/>
      <c r="U212" s="245"/>
    </row>
    <row r="213" spans="1:21" ht="31.5">
      <c r="A213" s="323"/>
      <c r="B213" s="324"/>
      <c r="C213" s="325"/>
      <c r="D213" s="274">
        <v>197</v>
      </c>
      <c r="E213" s="261" t="s">
        <v>851</v>
      </c>
      <c r="F213" s="246">
        <v>10</v>
      </c>
      <c r="G213" s="313">
        <v>0.69797376000000011</v>
      </c>
      <c r="H213" s="245"/>
      <c r="I213" s="245"/>
      <c r="J213" s="313">
        <v>0.22487974695014401</v>
      </c>
      <c r="K213" s="313">
        <v>0.1164877089201746</v>
      </c>
      <c r="L213" s="245">
        <v>3.6055306082791354</v>
      </c>
      <c r="M213" s="312">
        <v>2026</v>
      </c>
      <c r="N213" s="313">
        <v>0.42</v>
      </c>
      <c r="O213" s="245"/>
      <c r="P213" s="245"/>
      <c r="Q213" s="245"/>
      <c r="R213" s="245"/>
      <c r="S213" s="313">
        <f t="shared" si="0"/>
        <v>0.42</v>
      </c>
      <c r="T213" s="278"/>
      <c r="U213" s="245"/>
    </row>
    <row r="214" spans="1:21" ht="31.5">
      <c r="A214" s="323"/>
      <c r="B214" s="324"/>
      <c r="C214" s="325"/>
      <c r="D214" s="274">
        <v>198</v>
      </c>
      <c r="E214" s="261" t="s">
        <v>851</v>
      </c>
      <c r="F214" s="246">
        <v>226</v>
      </c>
      <c r="G214" s="245">
        <v>7.8871034880000019</v>
      </c>
      <c r="H214" s="245"/>
      <c r="I214" s="245"/>
      <c r="J214" s="245">
        <v>2.5411411405366273</v>
      </c>
      <c r="K214" s="245">
        <v>1.3163111107979728</v>
      </c>
      <c r="L214" s="245">
        <v>4.4822230486403081</v>
      </c>
      <c r="M214" s="312">
        <v>2026</v>
      </c>
      <c r="N214" s="245">
        <v>5.9</v>
      </c>
      <c r="O214" s="245"/>
      <c r="P214" s="245"/>
      <c r="Q214" s="245"/>
      <c r="R214" s="245"/>
      <c r="S214" s="245">
        <f t="shared" si="0"/>
        <v>5.9</v>
      </c>
      <c r="T214" s="278"/>
      <c r="U214" s="245"/>
    </row>
    <row r="215" spans="1:21" ht="31.5">
      <c r="A215" s="323"/>
      <c r="B215" s="324"/>
      <c r="C215" s="325"/>
      <c r="D215" s="274">
        <v>199</v>
      </c>
      <c r="E215" s="261" t="s">
        <v>852</v>
      </c>
      <c r="F215" s="246">
        <v>6</v>
      </c>
      <c r="G215" s="313">
        <v>0.41878425600000002</v>
      </c>
      <c r="H215" s="245"/>
      <c r="I215" s="245"/>
      <c r="J215" s="313">
        <v>0.13492784817008638</v>
      </c>
      <c r="K215" s="313">
        <v>6.9892625352104734E-2</v>
      </c>
      <c r="L215" s="245">
        <v>3.7199918974308557</v>
      </c>
      <c r="M215" s="312">
        <v>2026</v>
      </c>
      <c r="N215" s="313">
        <v>0.26</v>
      </c>
      <c r="O215" s="245"/>
      <c r="P215" s="245"/>
      <c r="Q215" s="245"/>
      <c r="R215" s="245"/>
      <c r="S215" s="313">
        <f t="shared" si="0"/>
        <v>0.26</v>
      </c>
      <c r="T215" s="278"/>
      <c r="U215" s="245"/>
    </row>
    <row r="216" spans="1:21" ht="31.5">
      <c r="A216" s="323"/>
      <c r="B216" s="324"/>
      <c r="C216" s="325"/>
      <c r="D216" s="274">
        <v>200</v>
      </c>
      <c r="E216" s="261" t="s">
        <v>852</v>
      </c>
      <c r="F216" s="246">
        <v>128</v>
      </c>
      <c r="G216" s="245">
        <v>4.4670320640000005</v>
      </c>
      <c r="H216" s="245"/>
      <c r="I216" s="245"/>
      <c r="J216" s="245">
        <v>1.4392303804809217</v>
      </c>
      <c r="K216" s="313">
        <v>0.74552133708911739</v>
      </c>
      <c r="L216" s="245">
        <v>4.4822230486403081</v>
      </c>
      <c r="M216" s="312">
        <v>2026</v>
      </c>
      <c r="N216" s="245">
        <v>3.34</v>
      </c>
      <c r="O216" s="245"/>
      <c r="P216" s="245"/>
      <c r="Q216" s="245"/>
      <c r="R216" s="245"/>
      <c r="S216" s="245">
        <f t="shared" si="0"/>
        <v>3.34</v>
      </c>
      <c r="T216" s="278"/>
      <c r="U216" s="245"/>
    </row>
    <row r="217" spans="1:21" ht="31.5">
      <c r="A217" s="323"/>
      <c r="B217" s="324"/>
      <c r="C217" s="325"/>
      <c r="D217" s="274">
        <v>201</v>
      </c>
      <c r="E217" s="261" t="s">
        <v>853</v>
      </c>
      <c r="F217" s="246">
        <v>34</v>
      </c>
      <c r="G217" s="245">
        <v>2.3731107840000005</v>
      </c>
      <c r="H217" s="245"/>
      <c r="I217" s="245"/>
      <c r="J217" s="313">
        <v>0.76459113963048975</v>
      </c>
      <c r="K217" s="313">
        <v>0.39605821032859373</v>
      </c>
      <c r="L217" s="245">
        <v>3.5600827434688931</v>
      </c>
      <c r="M217" s="312">
        <v>2026</v>
      </c>
      <c r="N217" s="245">
        <v>1.41</v>
      </c>
      <c r="O217" s="245"/>
      <c r="P217" s="245"/>
      <c r="Q217" s="245"/>
      <c r="R217" s="245"/>
      <c r="S217" s="245">
        <f t="shared" si="0"/>
        <v>1.41</v>
      </c>
      <c r="T217" s="278"/>
      <c r="U217" s="245"/>
    </row>
    <row r="218" spans="1:21" ht="31.5">
      <c r="A218" s="323"/>
      <c r="B218" s="324"/>
      <c r="C218" s="325"/>
      <c r="D218" s="274">
        <v>202</v>
      </c>
      <c r="E218" s="261" t="s">
        <v>853</v>
      </c>
      <c r="F218" s="246">
        <v>167</v>
      </c>
      <c r="G218" s="245">
        <v>5.8280808960000012</v>
      </c>
      <c r="H218" s="245"/>
      <c r="I218" s="245"/>
      <c r="J218" s="245">
        <v>1.8777458870337025</v>
      </c>
      <c r="K218" s="245">
        <v>0.97267236948345781</v>
      </c>
      <c r="L218" s="245">
        <v>4.4824959943247888</v>
      </c>
      <c r="M218" s="312">
        <v>2026</v>
      </c>
      <c r="N218" s="245">
        <v>4.3600000000000003</v>
      </c>
      <c r="O218" s="245"/>
      <c r="P218" s="245"/>
      <c r="Q218" s="245"/>
      <c r="R218" s="245"/>
      <c r="S218" s="245">
        <f t="shared" si="0"/>
        <v>4.3600000000000003</v>
      </c>
      <c r="T218" s="278"/>
      <c r="U218" s="245"/>
    </row>
    <row r="219" spans="1:21" ht="31.5">
      <c r="A219" s="323"/>
      <c r="B219" s="324"/>
      <c r="C219" s="325"/>
      <c r="D219" s="274">
        <v>203</v>
      </c>
      <c r="E219" s="261" t="s">
        <v>854</v>
      </c>
      <c r="F219" s="246">
        <v>14</v>
      </c>
      <c r="G219" s="313">
        <v>0.48858163200000004</v>
      </c>
      <c r="H219" s="245"/>
      <c r="I219" s="245"/>
      <c r="J219" s="313">
        <v>0.15741582286510078</v>
      </c>
      <c r="K219" s="313">
        <v>8.1541396244122197E-2</v>
      </c>
      <c r="L219" s="245">
        <v>4.4824959943247888</v>
      </c>
      <c r="M219" s="312">
        <v>2026</v>
      </c>
      <c r="N219" s="313">
        <v>0.37</v>
      </c>
      <c r="O219" s="245"/>
      <c r="P219" s="245"/>
      <c r="Q219" s="245"/>
      <c r="R219" s="245"/>
      <c r="S219" s="313">
        <f t="shared" si="0"/>
        <v>0.37</v>
      </c>
      <c r="T219" s="278"/>
      <c r="U219" s="245"/>
    </row>
    <row r="220" spans="1:21" ht="31.5">
      <c r="A220" s="323"/>
      <c r="B220" s="324"/>
      <c r="C220" s="325"/>
      <c r="D220" s="274">
        <v>204</v>
      </c>
      <c r="E220" s="261" t="s">
        <v>855</v>
      </c>
      <c r="F220" s="246">
        <v>14</v>
      </c>
      <c r="G220" s="313">
        <v>0.48858163200000004</v>
      </c>
      <c r="H220" s="245"/>
      <c r="I220" s="245"/>
      <c r="J220" s="313">
        <v>0.15741582286510078</v>
      </c>
      <c r="K220" s="313">
        <v>8.1541396244122197E-2</v>
      </c>
      <c r="L220" s="245">
        <v>4.4824959943247888</v>
      </c>
      <c r="M220" s="312">
        <v>2026</v>
      </c>
      <c r="N220" s="313">
        <v>0.37</v>
      </c>
      <c r="O220" s="245"/>
      <c r="P220" s="245"/>
      <c r="Q220" s="245"/>
      <c r="R220" s="245"/>
      <c r="S220" s="313">
        <f t="shared" si="0"/>
        <v>0.37</v>
      </c>
      <c r="T220" s="278"/>
      <c r="U220" s="245"/>
    </row>
    <row r="221" spans="1:21" ht="31.5">
      <c r="A221" s="323"/>
      <c r="B221" s="324"/>
      <c r="C221" s="325"/>
      <c r="D221" s="274">
        <v>205</v>
      </c>
      <c r="E221" s="261" t="s">
        <v>856</v>
      </c>
      <c r="F221" s="246">
        <v>15</v>
      </c>
      <c r="G221" s="313">
        <v>0.52348032</v>
      </c>
      <c r="H221" s="245"/>
      <c r="I221" s="245"/>
      <c r="J221" s="313">
        <v>0.16865981021260801</v>
      </c>
      <c r="K221" s="313">
        <v>8.7365781690130942E-2</v>
      </c>
      <c r="L221" s="245">
        <v>4.5784515660687441</v>
      </c>
      <c r="M221" s="312">
        <v>2026</v>
      </c>
      <c r="N221" s="313">
        <v>0.4</v>
      </c>
      <c r="O221" s="245"/>
      <c r="P221" s="245"/>
      <c r="Q221" s="245"/>
      <c r="R221" s="245"/>
      <c r="S221" s="313">
        <f t="shared" si="0"/>
        <v>0.4</v>
      </c>
      <c r="T221" s="278"/>
      <c r="U221" s="245"/>
    </row>
    <row r="222" spans="1:21" ht="31.5">
      <c r="A222" s="323"/>
      <c r="B222" s="324"/>
      <c r="C222" s="325"/>
      <c r="D222" s="274">
        <v>206</v>
      </c>
      <c r="E222" s="261" t="s">
        <v>857</v>
      </c>
      <c r="F222" s="246">
        <v>15</v>
      </c>
      <c r="G222" s="313">
        <v>0.52348032</v>
      </c>
      <c r="H222" s="245"/>
      <c r="I222" s="245"/>
      <c r="J222" s="313">
        <v>0.16865981021260801</v>
      </c>
      <c r="K222" s="313">
        <v>8.7365781690130942E-2</v>
      </c>
      <c r="L222" s="245">
        <v>4.5784515660687441</v>
      </c>
      <c r="M222" s="312">
        <v>2026</v>
      </c>
      <c r="N222" s="313">
        <v>0.4</v>
      </c>
      <c r="O222" s="245"/>
      <c r="P222" s="245"/>
      <c r="Q222" s="245"/>
      <c r="R222" s="245"/>
      <c r="S222" s="313">
        <f t="shared" si="0"/>
        <v>0.4</v>
      </c>
      <c r="T222" s="278"/>
      <c r="U222" s="245"/>
    </row>
    <row r="223" spans="1:21" ht="31.5">
      <c r="D223" s="274">
        <v>207</v>
      </c>
      <c r="E223" s="261" t="s">
        <v>858</v>
      </c>
      <c r="F223" s="246">
        <v>15</v>
      </c>
      <c r="G223" s="313">
        <v>0.52348032</v>
      </c>
      <c r="H223" s="245"/>
      <c r="I223" s="245"/>
      <c r="J223" s="313">
        <v>0.16865981021260801</v>
      </c>
      <c r="K223" s="313">
        <v>8.7365781690130942E-2</v>
      </c>
      <c r="L223" s="245">
        <v>4.5784515660687441</v>
      </c>
      <c r="M223" s="312">
        <v>2027</v>
      </c>
      <c r="N223" s="313">
        <v>0.4</v>
      </c>
      <c r="O223" s="245"/>
      <c r="P223" s="245"/>
      <c r="Q223" s="245"/>
      <c r="R223" s="245"/>
      <c r="S223" s="313">
        <f t="shared" si="0"/>
        <v>0.4</v>
      </c>
      <c r="T223" s="278"/>
      <c r="U223" s="245"/>
    </row>
    <row r="224" spans="1:21" ht="31.5">
      <c r="D224" s="274">
        <v>208</v>
      </c>
      <c r="E224" s="261" t="s">
        <v>858</v>
      </c>
      <c r="F224" s="246">
        <v>3</v>
      </c>
      <c r="G224" s="313">
        <v>0.20939212800000001</v>
      </c>
      <c r="H224" s="245"/>
      <c r="I224" s="245"/>
      <c r="J224" s="313">
        <v>6.7463924085043189E-2</v>
      </c>
      <c r="K224" s="313">
        <v>3.4946312676052367E-2</v>
      </c>
      <c r="L224" s="245">
        <v>3.7199918974308557</v>
      </c>
      <c r="M224" s="312">
        <v>2027</v>
      </c>
      <c r="N224" s="313">
        <v>0.13</v>
      </c>
      <c r="O224" s="245"/>
      <c r="P224" s="245"/>
      <c r="Q224" s="245"/>
      <c r="R224" s="245"/>
      <c r="S224" s="313">
        <f t="shared" si="0"/>
        <v>0.13</v>
      </c>
      <c r="T224" s="278"/>
      <c r="U224" s="245"/>
    </row>
    <row r="225" spans="4:21" ht="31.5">
      <c r="D225" s="274">
        <v>209</v>
      </c>
      <c r="E225" s="261" t="s">
        <v>859</v>
      </c>
      <c r="F225" s="246">
        <v>15</v>
      </c>
      <c r="G225" s="313">
        <v>0.52348032</v>
      </c>
      <c r="H225" s="245"/>
      <c r="I225" s="245"/>
      <c r="J225" s="313">
        <v>0.16865981021260801</v>
      </c>
      <c r="K225" s="313">
        <v>8.7365781690130942E-2</v>
      </c>
      <c r="L225" s="245">
        <v>4.5784515660687441</v>
      </c>
      <c r="M225" s="312">
        <v>2027</v>
      </c>
      <c r="N225" s="313">
        <v>0.4</v>
      </c>
      <c r="O225" s="245"/>
      <c r="P225" s="245"/>
      <c r="Q225" s="245"/>
      <c r="R225" s="245"/>
      <c r="S225" s="313">
        <f t="shared" si="0"/>
        <v>0.4</v>
      </c>
      <c r="T225" s="278"/>
      <c r="U225" s="245"/>
    </row>
    <row r="226" spans="4:21" ht="31.5">
      <c r="D226" s="274">
        <v>210</v>
      </c>
      <c r="E226" s="261" t="s">
        <v>859</v>
      </c>
      <c r="F226" s="246">
        <v>3</v>
      </c>
      <c r="G226" s="245">
        <v>0.20939212800000001</v>
      </c>
      <c r="H226" s="245"/>
      <c r="I226" s="245"/>
      <c r="J226" s="313">
        <v>6.7463924085043189E-2</v>
      </c>
      <c r="K226" s="313">
        <v>3.4946312676052367E-2</v>
      </c>
      <c r="L226" s="245">
        <v>3.7199918974308557</v>
      </c>
      <c r="M226" s="312">
        <v>2027</v>
      </c>
      <c r="N226" s="313">
        <v>0.13</v>
      </c>
      <c r="O226" s="245"/>
      <c r="P226" s="245"/>
      <c r="Q226" s="245"/>
      <c r="R226" s="245"/>
      <c r="S226" s="313">
        <f t="shared" si="0"/>
        <v>0.13</v>
      </c>
      <c r="T226" s="278"/>
      <c r="U226" s="245"/>
    </row>
    <row r="227" spans="4:21" ht="31.5">
      <c r="D227" s="274">
        <v>211</v>
      </c>
      <c r="E227" s="261" t="s">
        <v>860</v>
      </c>
      <c r="F227" s="246">
        <v>68</v>
      </c>
      <c r="G227" s="245">
        <v>2.3731107840000005</v>
      </c>
      <c r="H227" s="245"/>
      <c r="I227" s="245"/>
      <c r="J227" s="313">
        <v>0.76459113963048975</v>
      </c>
      <c r="K227" s="313">
        <v>0.39605821032859373</v>
      </c>
      <c r="L227" s="245">
        <v>4.4690400396737173</v>
      </c>
      <c r="M227" s="312">
        <v>2027</v>
      </c>
      <c r="N227" s="245">
        <v>1.77</v>
      </c>
      <c r="O227" s="245"/>
      <c r="P227" s="245"/>
      <c r="Q227" s="245"/>
      <c r="R227" s="245"/>
      <c r="S227" s="245">
        <f t="shared" si="0"/>
        <v>1.77</v>
      </c>
      <c r="T227" s="278"/>
      <c r="U227" s="245"/>
    </row>
    <row r="228" spans="4:21" ht="31.5">
      <c r="D228" s="274">
        <v>212</v>
      </c>
      <c r="E228" s="261" t="s">
        <v>861</v>
      </c>
      <c r="F228" s="246">
        <v>66</v>
      </c>
      <c r="G228" s="245">
        <v>2.3033134080000002</v>
      </c>
      <c r="H228" s="245"/>
      <c r="I228" s="245"/>
      <c r="J228" s="313">
        <v>0.74210316493547523</v>
      </c>
      <c r="K228" s="313">
        <v>0.38440943943657618</v>
      </c>
      <c r="L228" s="245">
        <v>4.4690400396737173</v>
      </c>
      <c r="M228" s="312">
        <v>2027</v>
      </c>
      <c r="N228" s="245">
        <v>1.72</v>
      </c>
      <c r="O228" s="245"/>
      <c r="P228" s="245"/>
      <c r="Q228" s="245"/>
      <c r="R228" s="245"/>
      <c r="S228" s="245">
        <f t="shared" si="0"/>
        <v>1.72</v>
      </c>
      <c r="T228" s="278"/>
      <c r="U228" s="245"/>
    </row>
    <row r="229" spans="4:21" ht="31.5">
      <c r="D229" s="274">
        <v>213</v>
      </c>
      <c r="E229" s="261" t="s">
        <v>862</v>
      </c>
      <c r="F229" s="246">
        <v>66</v>
      </c>
      <c r="G229" s="245">
        <v>2.3033134080000002</v>
      </c>
      <c r="H229" s="245"/>
      <c r="I229" s="245"/>
      <c r="J229" s="313">
        <v>0.74210316493547523</v>
      </c>
      <c r="K229" s="313">
        <v>0.38440943943657618</v>
      </c>
      <c r="L229" s="245">
        <v>4.4690400396737173</v>
      </c>
      <c r="M229" s="312">
        <v>2027</v>
      </c>
      <c r="N229" s="245">
        <v>1.72</v>
      </c>
      <c r="O229" s="245"/>
      <c r="P229" s="245"/>
      <c r="Q229" s="245"/>
      <c r="R229" s="245"/>
      <c r="S229" s="245">
        <f t="shared" si="0"/>
        <v>1.72</v>
      </c>
      <c r="T229" s="278"/>
      <c r="U229" s="245"/>
    </row>
    <row r="230" spans="4:21" ht="31.5">
      <c r="D230" s="274">
        <v>214</v>
      </c>
      <c r="E230" s="261" t="s">
        <v>863</v>
      </c>
      <c r="F230" s="246">
        <v>14</v>
      </c>
      <c r="G230" s="313">
        <v>0.48858163200000004</v>
      </c>
      <c r="H230" s="245"/>
      <c r="I230" s="245"/>
      <c r="J230" s="313">
        <v>0.15741582286510078</v>
      </c>
      <c r="K230" s="313">
        <v>8.1541396244122197E-2</v>
      </c>
      <c r="L230" s="245">
        <v>4.4690400396737173</v>
      </c>
      <c r="M230" s="312">
        <v>2027</v>
      </c>
      <c r="N230" s="313">
        <v>0.37</v>
      </c>
      <c r="O230" s="245"/>
      <c r="P230" s="245"/>
      <c r="Q230" s="245"/>
      <c r="R230" s="245"/>
      <c r="S230" s="313">
        <f t="shared" si="0"/>
        <v>0.37</v>
      </c>
      <c r="T230" s="278"/>
      <c r="U230" s="245"/>
    </row>
    <row r="231" spans="4:21" ht="31.5">
      <c r="D231" s="274">
        <v>215</v>
      </c>
      <c r="E231" s="261" t="s">
        <v>863</v>
      </c>
      <c r="F231" s="246">
        <v>4</v>
      </c>
      <c r="G231" s="313">
        <v>0.27918950400000003</v>
      </c>
      <c r="H231" s="245"/>
      <c r="I231" s="245"/>
      <c r="J231" s="313">
        <v>8.9951898780057604E-2</v>
      </c>
      <c r="K231" s="313">
        <v>4.6595083568069837E-2</v>
      </c>
      <c r="L231" s="245">
        <v>3.6484535917110303</v>
      </c>
      <c r="M231" s="312">
        <v>2027</v>
      </c>
      <c r="N231" s="313">
        <v>0.17</v>
      </c>
      <c r="O231" s="245"/>
      <c r="P231" s="245"/>
      <c r="Q231" s="245"/>
      <c r="R231" s="245"/>
      <c r="S231" s="313">
        <f t="shared" si="0"/>
        <v>0.17</v>
      </c>
      <c r="T231" s="278"/>
      <c r="U231" s="245"/>
    </row>
    <row r="232" spans="4:21" ht="31.5">
      <c r="D232" s="274">
        <v>216</v>
      </c>
      <c r="E232" s="261" t="s">
        <v>864</v>
      </c>
      <c r="F232" s="246">
        <v>13</v>
      </c>
      <c r="G232" s="313">
        <v>0.45368294400000014</v>
      </c>
      <c r="H232" s="245"/>
      <c r="I232" s="245"/>
      <c r="J232" s="313">
        <v>0.14617183551759361</v>
      </c>
      <c r="K232" s="313">
        <v>7.5717010798113479E-2</v>
      </c>
      <c r="L232" s="245">
        <v>4.5999999999999996</v>
      </c>
      <c r="M232" s="312">
        <v>2027</v>
      </c>
      <c r="N232" s="313">
        <v>0.35</v>
      </c>
      <c r="O232" s="245"/>
      <c r="P232" s="245"/>
      <c r="Q232" s="245"/>
      <c r="R232" s="245"/>
      <c r="S232" s="313">
        <f t="shared" si="0"/>
        <v>0.35</v>
      </c>
      <c r="T232" s="278"/>
      <c r="U232" s="245"/>
    </row>
    <row r="233" spans="4:21" ht="31.5">
      <c r="D233" s="274">
        <v>217</v>
      </c>
      <c r="E233" s="261" t="s">
        <v>864</v>
      </c>
      <c r="F233" s="246">
        <v>4</v>
      </c>
      <c r="G233" s="313">
        <v>0.27918950400000003</v>
      </c>
      <c r="H233" s="245"/>
      <c r="I233" s="245"/>
      <c r="J233" s="313">
        <v>8.9951898780057604E-2</v>
      </c>
      <c r="K233" s="313">
        <v>4.6595083568069837E-2</v>
      </c>
      <c r="L233" s="245">
        <v>3.6</v>
      </c>
      <c r="M233" s="312">
        <v>2027</v>
      </c>
      <c r="N233" s="313">
        <v>0.17</v>
      </c>
      <c r="O233" s="245"/>
      <c r="P233" s="245"/>
      <c r="Q233" s="245"/>
      <c r="R233" s="245"/>
      <c r="S233" s="313">
        <f t="shared" si="0"/>
        <v>0.17</v>
      </c>
      <c r="T233" s="278"/>
      <c r="U233" s="245"/>
    </row>
    <row r="234" spans="4:21" ht="31.5">
      <c r="D234" s="274">
        <v>218</v>
      </c>
      <c r="E234" s="261" t="s">
        <v>865</v>
      </c>
      <c r="F234" s="246">
        <v>14</v>
      </c>
      <c r="G234" s="313">
        <v>0.48858163200000004</v>
      </c>
      <c r="H234" s="245"/>
      <c r="I234" s="245"/>
      <c r="J234" s="313">
        <v>0.15741582286510078</v>
      </c>
      <c r="K234" s="313">
        <v>8.1541396244122197E-2</v>
      </c>
      <c r="L234" s="245">
        <v>4.5</v>
      </c>
      <c r="M234" s="312">
        <v>2027</v>
      </c>
      <c r="N234" s="313">
        <v>0.37</v>
      </c>
      <c r="O234" s="245"/>
      <c r="P234" s="245"/>
      <c r="Q234" s="245"/>
      <c r="R234" s="245"/>
      <c r="S234" s="313">
        <f t="shared" si="0"/>
        <v>0.37</v>
      </c>
      <c r="T234" s="278"/>
      <c r="U234" s="245"/>
    </row>
    <row r="235" spans="4:21" ht="31.5">
      <c r="D235" s="274">
        <v>219</v>
      </c>
      <c r="E235" s="261" t="s">
        <v>865</v>
      </c>
      <c r="F235" s="246">
        <v>4</v>
      </c>
      <c r="G235" s="313">
        <v>0.27918950400000003</v>
      </c>
      <c r="H235" s="245"/>
      <c r="I235" s="245"/>
      <c r="J235" s="313">
        <v>8.9951898780057604E-2</v>
      </c>
      <c r="K235" s="313">
        <v>4.6595083568069837E-2</v>
      </c>
      <c r="L235" s="245">
        <v>3.6</v>
      </c>
      <c r="M235" s="312">
        <v>2027</v>
      </c>
      <c r="N235" s="313">
        <v>0.17</v>
      </c>
      <c r="O235" s="245"/>
      <c r="P235" s="245"/>
      <c r="Q235" s="245"/>
      <c r="R235" s="245"/>
      <c r="S235" s="313">
        <f t="shared" si="0"/>
        <v>0.17</v>
      </c>
      <c r="T235" s="278"/>
      <c r="U235" s="245"/>
    </row>
    <row r="236" spans="4:21" ht="31.5">
      <c r="D236" s="274">
        <v>220</v>
      </c>
      <c r="E236" s="261" t="s">
        <v>866</v>
      </c>
      <c r="F236" s="246">
        <v>13</v>
      </c>
      <c r="G236" s="313">
        <v>0.45368294400000014</v>
      </c>
      <c r="H236" s="245"/>
      <c r="I236" s="245"/>
      <c r="J236" s="313">
        <v>0.14617183551759361</v>
      </c>
      <c r="K236" s="313">
        <v>7.5717010798113479E-2</v>
      </c>
      <c r="L236" s="245">
        <v>4.5999999999999996</v>
      </c>
      <c r="M236" s="312">
        <v>2027</v>
      </c>
      <c r="N236" s="313">
        <v>0.35</v>
      </c>
      <c r="O236" s="245"/>
      <c r="P236" s="245"/>
      <c r="Q236" s="245"/>
      <c r="R236" s="245"/>
      <c r="S236" s="313">
        <f t="shared" si="0"/>
        <v>0.35</v>
      </c>
      <c r="T236" s="278"/>
      <c r="U236" s="245"/>
    </row>
    <row r="237" spans="4:21" ht="31.5">
      <c r="D237" s="274">
        <v>221</v>
      </c>
      <c r="E237" s="261" t="s">
        <v>866</v>
      </c>
      <c r="F237" s="246">
        <v>4</v>
      </c>
      <c r="G237" s="313">
        <v>0.27918950400000003</v>
      </c>
      <c r="H237" s="245"/>
      <c r="I237" s="245"/>
      <c r="J237" s="313">
        <v>8.9951898780057604E-2</v>
      </c>
      <c r="K237" s="313">
        <v>4.6595083568069837E-2</v>
      </c>
      <c r="L237" s="245">
        <v>3.6</v>
      </c>
      <c r="M237" s="312">
        <v>2027</v>
      </c>
      <c r="N237" s="313">
        <v>0.17</v>
      </c>
      <c r="O237" s="245"/>
      <c r="P237" s="245"/>
      <c r="Q237" s="245"/>
      <c r="R237" s="245"/>
      <c r="S237" s="313">
        <f t="shared" si="0"/>
        <v>0.17</v>
      </c>
      <c r="T237" s="278"/>
      <c r="U237" s="245"/>
    </row>
    <row r="238" spans="4:21" ht="31.5">
      <c r="D238" s="274">
        <v>222</v>
      </c>
      <c r="E238" s="261" t="s">
        <v>867</v>
      </c>
      <c r="F238" s="246">
        <v>26</v>
      </c>
      <c r="G238" s="313">
        <v>0.90736588800000029</v>
      </c>
      <c r="H238" s="245"/>
      <c r="I238" s="245"/>
      <c r="J238" s="313">
        <v>0.29234367103518721</v>
      </c>
      <c r="K238" s="313">
        <v>0.15143402159622696</v>
      </c>
      <c r="L238" s="245">
        <v>4.5</v>
      </c>
      <c r="M238" s="312">
        <v>2027</v>
      </c>
      <c r="N238" s="313">
        <v>0.68</v>
      </c>
      <c r="O238" s="245"/>
      <c r="P238" s="245"/>
      <c r="Q238" s="245"/>
      <c r="R238" s="245"/>
      <c r="S238" s="313">
        <f t="shared" si="0"/>
        <v>0.68</v>
      </c>
      <c r="T238" s="278"/>
      <c r="U238" s="245"/>
    </row>
    <row r="239" spans="4:21" ht="31.5">
      <c r="D239" s="274">
        <v>223</v>
      </c>
      <c r="E239" s="261" t="s">
        <v>867</v>
      </c>
      <c r="F239" s="246">
        <v>10</v>
      </c>
      <c r="G239" s="313">
        <v>0.69797376000000011</v>
      </c>
      <c r="H239" s="245"/>
      <c r="I239" s="245"/>
      <c r="J239" s="313">
        <v>0.22487974695014401</v>
      </c>
      <c r="K239" s="313">
        <v>0.1164877089201746</v>
      </c>
      <c r="L239" s="245">
        <v>3.6</v>
      </c>
      <c r="M239" s="312">
        <v>2027</v>
      </c>
      <c r="N239" s="313">
        <v>0.42</v>
      </c>
      <c r="O239" s="245"/>
      <c r="P239" s="245"/>
      <c r="Q239" s="245"/>
      <c r="R239" s="245"/>
      <c r="S239" s="313">
        <f t="shared" si="0"/>
        <v>0.42</v>
      </c>
      <c r="T239" s="278"/>
      <c r="U239" s="245"/>
    </row>
    <row r="240" spans="4:21" ht="31.5">
      <c r="D240" s="274">
        <v>224</v>
      </c>
      <c r="E240" s="261" t="s">
        <v>868</v>
      </c>
      <c r="F240" s="246">
        <v>26</v>
      </c>
      <c r="G240" s="313">
        <v>0.90736588800000029</v>
      </c>
      <c r="H240" s="245"/>
      <c r="I240" s="245"/>
      <c r="J240" s="313">
        <v>0.29234367103518721</v>
      </c>
      <c r="K240" s="313">
        <v>0.15143402159622696</v>
      </c>
      <c r="L240" s="245">
        <v>4.5</v>
      </c>
      <c r="M240" s="312">
        <v>2027</v>
      </c>
      <c r="N240" s="313">
        <v>0.68</v>
      </c>
      <c r="O240" s="245"/>
      <c r="P240" s="245"/>
      <c r="Q240" s="245"/>
      <c r="R240" s="245"/>
      <c r="S240" s="313">
        <f t="shared" si="0"/>
        <v>0.68</v>
      </c>
      <c r="T240" s="278"/>
      <c r="U240" s="245"/>
    </row>
    <row r="241" spans="4:21" ht="31.5">
      <c r="D241" s="274">
        <v>225</v>
      </c>
      <c r="E241" s="261" t="s">
        <v>868</v>
      </c>
      <c r="F241" s="246">
        <v>10</v>
      </c>
      <c r="G241" s="313">
        <v>0.69797376000000011</v>
      </c>
      <c r="H241" s="245"/>
      <c r="I241" s="245"/>
      <c r="J241" s="313">
        <v>0.22487974695014401</v>
      </c>
      <c r="K241" s="313">
        <v>0.1164877089201746</v>
      </c>
      <c r="L241" s="245">
        <v>3.6</v>
      </c>
      <c r="M241" s="312">
        <v>2027</v>
      </c>
      <c r="N241" s="313">
        <v>0.42</v>
      </c>
      <c r="O241" s="245"/>
      <c r="P241" s="245"/>
      <c r="Q241" s="245"/>
      <c r="R241" s="245"/>
      <c r="S241" s="313">
        <f t="shared" si="0"/>
        <v>0.42</v>
      </c>
      <c r="T241" s="278"/>
      <c r="U241" s="245"/>
    </row>
    <row r="242" spans="4:21" ht="31.5">
      <c r="D242" s="274">
        <v>226</v>
      </c>
      <c r="E242" s="261" t="s">
        <v>869</v>
      </c>
      <c r="F242" s="246">
        <v>25</v>
      </c>
      <c r="G242" s="313">
        <v>0.87246720000000011</v>
      </c>
      <c r="H242" s="245"/>
      <c r="I242" s="245"/>
      <c r="J242" s="313">
        <v>0.28109968368768001</v>
      </c>
      <c r="K242" s="313">
        <v>0.14560963615021824</v>
      </c>
      <c r="L242" s="245">
        <v>4.5</v>
      </c>
      <c r="M242" s="312">
        <v>2027</v>
      </c>
      <c r="N242" s="313">
        <v>0.66</v>
      </c>
      <c r="O242" s="245"/>
      <c r="P242" s="245"/>
      <c r="Q242" s="245"/>
      <c r="R242" s="245"/>
      <c r="S242" s="313">
        <f t="shared" si="0"/>
        <v>0.66</v>
      </c>
      <c r="T242" s="278"/>
      <c r="U242" s="245"/>
    </row>
    <row r="243" spans="4:21" ht="31.5">
      <c r="D243" s="274">
        <v>227</v>
      </c>
      <c r="E243" s="261" t="s">
        <v>869</v>
      </c>
      <c r="F243" s="246">
        <v>10</v>
      </c>
      <c r="G243" s="313">
        <v>0.69797376000000011</v>
      </c>
      <c r="H243" s="245"/>
      <c r="I243" s="245"/>
      <c r="J243" s="313">
        <v>0.22487974695014401</v>
      </c>
      <c r="K243" s="313">
        <v>0.1164877089201746</v>
      </c>
      <c r="L243" s="245">
        <v>3.6</v>
      </c>
      <c r="M243" s="312">
        <v>2027</v>
      </c>
      <c r="N243" s="313">
        <v>0.42</v>
      </c>
      <c r="O243" s="245"/>
      <c r="P243" s="245"/>
      <c r="Q243" s="245"/>
      <c r="R243" s="245"/>
      <c r="S243" s="313">
        <f t="shared" si="0"/>
        <v>0.42</v>
      </c>
      <c r="T243" s="278"/>
      <c r="U243" s="245"/>
    </row>
    <row r="244" spans="4:21" ht="31.5">
      <c r="D244" s="274">
        <v>228</v>
      </c>
      <c r="E244" s="261" t="s">
        <v>870</v>
      </c>
      <c r="F244" s="246">
        <v>26</v>
      </c>
      <c r="G244" s="313">
        <v>0.90736588800000029</v>
      </c>
      <c r="H244" s="245"/>
      <c r="I244" s="245"/>
      <c r="J244" s="313">
        <v>0.29234367103518721</v>
      </c>
      <c r="K244" s="313">
        <v>0.15143402159622696</v>
      </c>
      <c r="L244" s="245">
        <v>4.4904044205674225</v>
      </c>
      <c r="M244" s="312">
        <v>2027</v>
      </c>
      <c r="N244" s="313">
        <v>0.68</v>
      </c>
      <c r="O244" s="245"/>
      <c r="P244" s="245"/>
      <c r="Q244" s="245"/>
      <c r="R244" s="245"/>
      <c r="S244" s="313">
        <f t="shared" si="0"/>
        <v>0.68</v>
      </c>
      <c r="T244" s="278"/>
      <c r="U244" s="245"/>
    </row>
    <row r="245" spans="4:21" ht="31.5">
      <c r="D245" s="274">
        <v>229</v>
      </c>
      <c r="E245" s="261" t="s">
        <v>870</v>
      </c>
      <c r="F245" s="246">
        <v>10</v>
      </c>
      <c r="G245" s="313">
        <v>0.69797376000000011</v>
      </c>
      <c r="H245" s="245"/>
      <c r="I245" s="245"/>
      <c r="J245" s="313">
        <v>0.22487974695014401</v>
      </c>
      <c r="K245" s="313">
        <v>0.1164877089201746</v>
      </c>
      <c r="L245" s="245">
        <v>3.6055306082791354</v>
      </c>
      <c r="M245" s="312">
        <v>2027</v>
      </c>
      <c r="N245" s="313">
        <v>0.42</v>
      </c>
      <c r="O245" s="245"/>
      <c r="P245" s="245"/>
      <c r="Q245" s="245"/>
      <c r="R245" s="245"/>
      <c r="S245" s="313">
        <f t="shared" si="0"/>
        <v>0.42</v>
      </c>
      <c r="T245" s="278"/>
      <c r="U245" s="245"/>
    </row>
    <row r="246" spans="4:21" ht="31.5">
      <c r="D246" s="274">
        <v>230</v>
      </c>
      <c r="E246" s="261" t="s">
        <v>871</v>
      </c>
      <c r="F246" s="246">
        <v>25</v>
      </c>
      <c r="G246" s="313">
        <v>0.87246720000000011</v>
      </c>
      <c r="H246" s="245"/>
      <c r="I246" s="245"/>
      <c r="J246" s="313">
        <v>0.28109968368768001</v>
      </c>
      <c r="K246" s="313">
        <v>0.14560963615021824</v>
      </c>
      <c r="L246" s="245">
        <v>4.4904044205674225</v>
      </c>
      <c r="M246" s="312">
        <v>2027</v>
      </c>
      <c r="N246" s="313">
        <v>0.66</v>
      </c>
      <c r="O246" s="245"/>
      <c r="P246" s="245"/>
      <c r="Q246" s="245"/>
      <c r="R246" s="245"/>
      <c r="S246" s="313">
        <f t="shared" si="0"/>
        <v>0.66</v>
      </c>
      <c r="T246" s="278"/>
      <c r="U246" s="245"/>
    </row>
    <row r="247" spans="4:21" ht="31.5">
      <c r="D247" s="274">
        <v>231</v>
      </c>
      <c r="E247" s="261" t="s">
        <v>871</v>
      </c>
      <c r="F247" s="246">
        <v>10</v>
      </c>
      <c r="G247" s="313">
        <v>0.69797376000000011</v>
      </c>
      <c r="H247" s="245"/>
      <c r="I247" s="245"/>
      <c r="J247" s="313">
        <v>0.22487974695014401</v>
      </c>
      <c r="K247" s="313">
        <v>0.1164877089201746</v>
      </c>
      <c r="L247" s="245">
        <v>3.6055306082791354</v>
      </c>
      <c r="M247" s="312">
        <v>2027</v>
      </c>
      <c r="N247" s="313">
        <v>0.42</v>
      </c>
      <c r="O247" s="245"/>
      <c r="P247" s="245"/>
      <c r="Q247" s="245"/>
      <c r="R247" s="245"/>
      <c r="S247" s="313">
        <f t="shared" si="0"/>
        <v>0.42</v>
      </c>
      <c r="T247" s="278"/>
      <c r="U247" s="245"/>
    </row>
    <row r="248" spans="4:21" ht="31.5">
      <c r="D248" s="274">
        <v>232</v>
      </c>
      <c r="E248" s="261" t="s">
        <v>872</v>
      </c>
      <c r="F248" s="246">
        <v>26</v>
      </c>
      <c r="G248" s="313">
        <v>0.90736588800000029</v>
      </c>
      <c r="H248" s="245"/>
      <c r="I248" s="245"/>
      <c r="J248" s="313">
        <v>0.29234367103518721</v>
      </c>
      <c r="K248" s="313">
        <v>0.15143402159622696</v>
      </c>
      <c r="L248" s="245">
        <v>4.4904044205674225</v>
      </c>
      <c r="M248" s="312">
        <v>2027</v>
      </c>
      <c r="N248" s="313">
        <v>0.68</v>
      </c>
      <c r="O248" s="245"/>
      <c r="P248" s="245"/>
      <c r="Q248" s="245"/>
      <c r="R248" s="245"/>
      <c r="S248" s="313">
        <f t="shared" si="0"/>
        <v>0.68</v>
      </c>
      <c r="T248" s="278"/>
      <c r="U248" s="245"/>
    </row>
    <row r="249" spans="4:21" ht="31.5">
      <c r="D249" s="274">
        <v>233</v>
      </c>
      <c r="E249" s="261" t="s">
        <v>872</v>
      </c>
      <c r="F249" s="246">
        <v>10</v>
      </c>
      <c r="G249" s="313">
        <v>0.69797376000000011</v>
      </c>
      <c r="H249" s="245"/>
      <c r="I249" s="245"/>
      <c r="J249" s="313">
        <v>0.22487974695014401</v>
      </c>
      <c r="K249" s="313">
        <v>0.1164877089201746</v>
      </c>
      <c r="L249" s="245">
        <v>3.6055306082791354</v>
      </c>
      <c r="M249" s="312">
        <v>2027</v>
      </c>
      <c r="N249" s="313">
        <v>0.42</v>
      </c>
      <c r="O249" s="245"/>
      <c r="P249" s="245"/>
      <c r="Q249" s="245"/>
      <c r="R249" s="245"/>
      <c r="S249" s="313">
        <f t="shared" si="0"/>
        <v>0.42</v>
      </c>
      <c r="T249" s="278"/>
      <c r="U249" s="245"/>
    </row>
    <row r="250" spans="4:21" ht="31.5">
      <c r="D250" s="274">
        <v>234</v>
      </c>
      <c r="E250" s="261" t="s">
        <v>873</v>
      </c>
      <c r="F250" s="246">
        <v>26</v>
      </c>
      <c r="G250" s="313">
        <v>0.90736588800000029</v>
      </c>
      <c r="H250" s="245"/>
      <c r="I250" s="245"/>
      <c r="J250" s="313">
        <v>0.29234367103518721</v>
      </c>
      <c r="K250" s="313">
        <v>0.15143402159622696</v>
      </c>
      <c r="L250" s="245">
        <v>4.4904044205674225</v>
      </c>
      <c r="M250" s="312">
        <v>2027</v>
      </c>
      <c r="N250" s="313">
        <v>0.68</v>
      </c>
      <c r="O250" s="245"/>
      <c r="P250" s="245"/>
      <c r="Q250" s="245"/>
      <c r="R250" s="245"/>
      <c r="S250" s="313">
        <f t="shared" si="0"/>
        <v>0.68</v>
      </c>
      <c r="T250" s="278"/>
      <c r="U250" s="245"/>
    </row>
    <row r="251" spans="4:21" ht="31.5">
      <c r="D251" s="274">
        <v>235</v>
      </c>
      <c r="E251" s="261" t="s">
        <v>873</v>
      </c>
      <c r="F251" s="246">
        <v>10</v>
      </c>
      <c r="G251" s="313">
        <v>0.69797376000000011</v>
      </c>
      <c r="H251" s="245"/>
      <c r="I251" s="245"/>
      <c r="J251" s="313">
        <v>0.22487974695014401</v>
      </c>
      <c r="K251" s="313">
        <v>0.1164877089201746</v>
      </c>
      <c r="L251" s="245">
        <v>3.6055306082791354</v>
      </c>
      <c r="M251" s="312">
        <v>2027</v>
      </c>
      <c r="N251" s="313">
        <v>0.42</v>
      </c>
      <c r="O251" s="245"/>
      <c r="P251" s="245"/>
      <c r="Q251" s="245"/>
      <c r="R251" s="245"/>
      <c r="S251" s="313">
        <f t="shared" si="0"/>
        <v>0.42</v>
      </c>
      <c r="T251" s="278"/>
      <c r="U251" s="245"/>
    </row>
    <row r="252" spans="4:21" ht="31.5">
      <c r="D252" s="274">
        <v>236</v>
      </c>
      <c r="E252" s="261" t="s">
        <v>874</v>
      </c>
      <c r="F252" s="246">
        <v>63</v>
      </c>
      <c r="G252" s="245">
        <v>2.1986173439999996</v>
      </c>
      <c r="H252" s="245"/>
      <c r="I252" s="245"/>
      <c r="J252" s="313">
        <v>0.70837120289295341</v>
      </c>
      <c r="K252" s="313">
        <v>0.36693628309854981</v>
      </c>
      <c r="L252" s="245">
        <v>4.4904044205674225</v>
      </c>
      <c r="M252" s="312">
        <v>2027</v>
      </c>
      <c r="N252" s="245">
        <v>1.65</v>
      </c>
      <c r="O252" s="245"/>
      <c r="P252" s="245"/>
      <c r="Q252" s="245"/>
      <c r="R252" s="245"/>
      <c r="S252" s="245">
        <f t="shared" si="0"/>
        <v>1.65</v>
      </c>
      <c r="T252" s="278"/>
      <c r="U252" s="245"/>
    </row>
    <row r="253" spans="4:21" ht="31.5">
      <c r="D253" s="274">
        <v>237</v>
      </c>
      <c r="E253" s="261" t="s">
        <v>874</v>
      </c>
      <c r="F253" s="246">
        <v>10</v>
      </c>
      <c r="G253" s="313">
        <v>0.69797376000000011</v>
      </c>
      <c r="H253" s="245"/>
      <c r="I253" s="245"/>
      <c r="J253" s="313">
        <v>0.22487974695014401</v>
      </c>
      <c r="K253" s="313">
        <v>0.1164877089201746</v>
      </c>
      <c r="L253" s="245">
        <v>3.6055306082791354</v>
      </c>
      <c r="M253" s="312">
        <v>2027</v>
      </c>
      <c r="N253" s="313">
        <v>0.42</v>
      </c>
      <c r="O253" s="245"/>
      <c r="P253" s="245"/>
      <c r="Q253" s="245"/>
      <c r="R253" s="245"/>
      <c r="S253" s="313">
        <f t="shared" si="0"/>
        <v>0.42</v>
      </c>
      <c r="T253" s="278"/>
      <c r="U253" s="245"/>
    </row>
    <row r="254" spans="4:21" ht="31.5">
      <c r="D254" s="274">
        <v>238</v>
      </c>
      <c r="E254" s="261" t="s">
        <v>875</v>
      </c>
      <c r="F254" s="246">
        <v>64</v>
      </c>
      <c r="G254" s="245">
        <v>2.2335160320000003</v>
      </c>
      <c r="H254" s="245"/>
      <c r="I254" s="245"/>
      <c r="J254" s="313">
        <v>0.71961519024046083</v>
      </c>
      <c r="K254" s="313">
        <v>0.37276066854455869</v>
      </c>
      <c r="L254" s="245">
        <v>4.4904044205674225</v>
      </c>
      <c r="M254" s="312">
        <v>2027</v>
      </c>
      <c r="N254" s="245">
        <v>1.67</v>
      </c>
      <c r="O254" s="245"/>
      <c r="P254" s="245"/>
      <c r="Q254" s="245"/>
      <c r="R254" s="245"/>
      <c r="S254" s="245">
        <f t="shared" si="0"/>
        <v>1.67</v>
      </c>
      <c r="T254" s="278"/>
      <c r="U254" s="245"/>
    </row>
    <row r="255" spans="4:21" ht="31.5">
      <c r="D255" s="274">
        <v>239</v>
      </c>
      <c r="E255" s="261" t="s">
        <v>875</v>
      </c>
      <c r="F255" s="246">
        <v>10</v>
      </c>
      <c r="G255" s="313">
        <v>0.69797376000000011</v>
      </c>
      <c r="H255" s="245"/>
      <c r="I255" s="245"/>
      <c r="J255" s="313">
        <v>0.22487974695014401</v>
      </c>
      <c r="K255" s="313">
        <v>0.1164877089201746</v>
      </c>
      <c r="L255" s="245">
        <v>3.6055306082791354</v>
      </c>
      <c r="M255" s="312">
        <v>2027</v>
      </c>
      <c r="N255" s="313">
        <v>0.42</v>
      </c>
      <c r="O255" s="245"/>
      <c r="P255" s="245"/>
      <c r="Q255" s="245"/>
      <c r="R255" s="245"/>
      <c r="S255" s="313">
        <f t="shared" si="0"/>
        <v>0.42</v>
      </c>
      <c r="T255" s="278"/>
      <c r="U255" s="245"/>
    </row>
    <row r="256" spans="4:21" ht="31.5">
      <c r="D256" s="274">
        <v>240</v>
      </c>
      <c r="E256" s="261" t="s">
        <v>876</v>
      </c>
      <c r="F256" s="246">
        <v>63</v>
      </c>
      <c r="G256" s="245">
        <v>2.2335160320000003</v>
      </c>
      <c r="H256" s="245"/>
      <c r="I256" s="245"/>
      <c r="J256" s="313">
        <v>0.70837120289295341</v>
      </c>
      <c r="K256" s="313">
        <v>0.36693628309854981</v>
      </c>
      <c r="L256" s="245">
        <v>4.4904044205674225</v>
      </c>
      <c r="M256" s="312">
        <v>2027</v>
      </c>
      <c r="N256" s="245">
        <v>1.67</v>
      </c>
      <c r="O256" s="245"/>
      <c r="P256" s="245"/>
      <c r="Q256" s="245"/>
      <c r="R256" s="245"/>
      <c r="S256" s="245">
        <f t="shared" si="0"/>
        <v>1.67</v>
      </c>
      <c r="T256" s="278"/>
      <c r="U256" s="245"/>
    </row>
    <row r="257" spans="4:21" ht="31.5">
      <c r="D257" s="274">
        <v>241</v>
      </c>
      <c r="E257" s="261" t="s">
        <v>876</v>
      </c>
      <c r="F257" s="246">
        <v>10</v>
      </c>
      <c r="G257" s="313">
        <v>0.69797376000000011</v>
      </c>
      <c r="H257" s="245"/>
      <c r="I257" s="245"/>
      <c r="J257" s="313">
        <v>0.22487974695014401</v>
      </c>
      <c r="K257" s="313">
        <v>0.1164877089201746</v>
      </c>
      <c r="L257" s="245">
        <v>3.6055306082791354</v>
      </c>
      <c r="M257" s="312">
        <v>2027</v>
      </c>
      <c r="N257" s="313">
        <v>0.42</v>
      </c>
      <c r="O257" s="245"/>
      <c r="P257" s="245"/>
      <c r="Q257" s="245"/>
      <c r="R257" s="245"/>
      <c r="S257" s="313">
        <f t="shared" si="0"/>
        <v>0.42</v>
      </c>
      <c r="T257" s="278"/>
      <c r="U257" s="245"/>
    </row>
    <row r="258" spans="4:21" ht="31.5">
      <c r="D258" s="274">
        <v>242</v>
      </c>
      <c r="E258" s="261" t="s">
        <v>877</v>
      </c>
      <c r="F258" s="246">
        <v>64</v>
      </c>
      <c r="G258" s="245">
        <v>2.2335160320000003</v>
      </c>
      <c r="H258" s="245"/>
      <c r="I258" s="245"/>
      <c r="J258" s="313">
        <v>0.71961519024046083</v>
      </c>
      <c r="K258" s="313">
        <v>0.37276066854455869</v>
      </c>
      <c r="L258" s="245">
        <v>4.4904044205674225</v>
      </c>
      <c r="M258" s="312">
        <v>2027</v>
      </c>
      <c r="N258" s="245">
        <v>1.67</v>
      </c>
      <c r="O258" s="245"/>
      <c r="P258" s="245"/>
      <c r="Q258" s="245"/>
      <c r="R258" s="245"/>
      <c r="S258" s="245">
        <f t="shared" si="0"/>
        <v>1.67</v>
      </c>
      <c r="T258" s="278"/>
      <c r="U258" s="245"/>
    </row>
    <row r="259" spans="4:21" ht="31.5">
      <c r="D259" s="274">
        <v>243</v>
      </c>
      <c r="E259" s="261" t="s">
        <v>877</v>
      </c>
      <c r="F259" s="246">
        <v>10</v>
      </c>
      <c r="G259" s="313">
        <v>0.69797376000000011</v>
      </c>
      <c r="H259" s="245"/>
      <c r="I259" s="245"/>
      <c r="J259" s="313">
        <v>0.22487974695014401</v>
      </c>
      <c r="K259" s="313">
        <v>0.1164877089201746</v>
      </c>
      <c r="L259" s="245">
        <v>3.6055306082791354</v>
      </c>
      <c r="M259" s="312">
        <v>2027</v>
      </c>
      <c r="N259" s="313">
        <v>0.42</v>
      </c>
      <c r="O259" s="245"/>
      <c r="P259" s="245"/>
      <c r="Q259" s="245"/>
      <c r="R259" s="245"/>
      <c r="S259" s="313">
        <f t="shared" si="0"/>
        <v>0.42</v>
      </c>
      <c r="T259" s="278"/>
      <c r="U259" s="245"/>
    </row>
    <row r="260" spans="4:21" ht="31.5">
      <c r="D260" s="274">
        <v>244</v>
      </c>
      <c r="E260" s="261" t="s">
        <v>878</v>
      </c>
      <c r="F260" s="246">
        <v>63</v>
      </c>
      <c r="G260" s="245">
        <v>2.2335160320000003</v>
      </c>
      <c r="H260" s="245"/>
      <c r="I260" s="245"/>
      <c r="J260" s="313">
        <v>0.70837120289295341</v>
      </c>
      <c r="K260" s="313">
        <v>0.36693628309854981</v>
      </c>
      <c r="L260" s="245">
        <v>4.4904044205674225</v>
      </c>
      <c r="M260" s="312">
        <v>2027</v>
      </c>
      <c r="N260" s="245">
        <v>1.67</v>
      </c>
      <c r="O260" s="245"/>
      <c r="P260" s="245"/>
      <c r="Q260" s="245"/>
      <c r="R260" s="245"/>
      <c r="S260" s="245">
        <f t="shared" si="0"/>
        <v>1.67</v>
      </c>
      <c r="T260" s="278"/>
      <c r="U260" s="245"/>
    </row>
    <row r="261" spans="4:21" ht="31.5">
      <c r="D261" s="274">
        <v>245</v>
      </c>
      <c r="E261" s="261" t="s">
        <v>878</v>
      </c>
      <c r="F261" s="246">
        <v>10</v>
      </c>
      <c r="G261" s="313">
        <v>0.69797376000000011</v>
      </c>
      <c r="H261" s="245"/>
      <c r="I261" s="245"/>
      <c r="J261" s="313">
        <v>0.22487974695014401</v>
      </c>
      <c r="K261" s="313">
        <v>0.1164877089201746</v>
      </c>
      <c r="L261" s="245">
        <v>3.6055306082791354</v>
      </c>
      <c r="M261" s="312">
        <v>2027</v>
      </c>
      <c r="N261" s="313">
        <v>0.42</v>
      </c>
      <c r="O261" s="245"/>
      <c r="P261" s="245"/>
      <c r="Q261" s="245"/>
      <c r="R261" s="245"/>
      <c r="S261" s="313">
        <f t="shared" si="0"/>
        <v>0.42</v>
      </c>
      <c r="T261" s="278"/>
      <c r="U261" s="245"/>
    </row>
    <row r="262" spans="4:21" ht="31.5">
      <c r="D262" s="274">
        <v>246</v>
      </c>
      <c r="E262" s="261" t="s">
        <v>879</v>
      </c>
      <c r="F262" s="246">
        <v>63</v>
      </c>
      <c r="G262" s="245">
        <v>2.1986173439999996</v>
      </c>
      <c r="H262" s="245"/>
      <c r="I262" s="245"/>
      <c r="J262" s="313">
        <v>0.70837120289295341</v>
      </c>
      <c r="K262" s="313">
        <v>0.36693628309854981</v>
      </c>
      <c r="L262" s="245">
        <v>4.4966935023889461</v>
      </c>
      <c r="M262" s="312">
        <v>2027</v>
      </c>
      <c r="N262" s="245">
        <v>1.65</v>
      </c>
      <c r="O262" s="245"/>
      <c r="P262" s="245"/>
      <c r="Q262" s="245"/>
      <c r="R262" s="245"/>
      <c r="S262" s="245">
        <f t="shared" ref="S262:S273" si="1">N262</f>
        <v>1.65</v>
      </c>
      <c r="T262" s="278"/>
      <c r="U262" s="245"/>
    </row>
    <row r="263" spans="4:21" ht="31.5">
      <c r="D263" s="274">
        <v>247</v>
      </c>
      <c r="E263" s="261" t="s">
        <v>879</v>
      </c>
      <c r="F263" s="246">
        <v>10</v>
      </c>
      <c r="G263" s="313">
        <v>0.69797376000000011</v>
      </c>
      <c r="H263" s="245"/>
      <c r="I263" s="245"/>
      <c r="J263" s="313">
        <v>0.22487974695014401</v>
      </c>
      <c r="K263" s="313">
        <v>0.1164877089201746</v>
      </c>
      <c r="L263" s="245">
        <v>3.6055306082791354</v>
      </c>
      <c r="M263" s="312">
        <v>2027</v>
      </c>
      <c r="N263" s="313">
        <v>0.42</v>
      </c>
      <c r="O263" s="245"/>
      <c r="P263" s="245"/>
      <c r="Q263" s="245"/>
      <c r="R263" s="245"/>
      <c r="S263" s="313">
        <f t="shared" si="1"/>
        <v>0.42</v>
      </c>
      <c r="T263" s="278"/>
      <c r="U263" s="245"/>
    </row>
    <row r="264" spans="4:21" ht="31.5">
      <c r="D264" s="274">
        <v>248</v>
      </c>
      <c r="E264" s="261" t="s">
        <v>880</v>
      </c>
      <c r="F264" s="246">
        <v>51</v>
      </c>
      <c r="G264" s="245">
        <v>1.7798330880000004</v>
      </c>
      <c r="H264" s="245"/>
      <c r="I264" s="245"/>
      <c r="J264" s="313">
        <v>0.57344335472286723</v>
      </c>
      <c r="K264" s="313">
        <v>0.2970436577464452</v>
      </c>
      <c r="L264" s="245">
        <v>4.4966935023889461</v>
      </c>
      <c r="M264" s="312">
        <v>2027</v>
      </c>
      <c r="N264" s="245">
        <v>1.34</v>
      </c>
      <c r="O264" s="245"/>
      <c r="P264" s="245"/>
      <c r="Q264" s="245"/>
      <c r="R264" s="245"/>
      <c r="S264" s="245">
        <f t="shared" si="1"/>
        <v>1.34</v>
      </c>
      <c r="T264" s="278"/>
      <c r="U264" s="245"/>
    </row>
    <row r="265" spans="4:21" ht="31.5">
      <c r="D265" s="274">
        <v>249</v>
      </c>
      <c r="E265" s="261" t="s">
        <v>880</v>
      </c>
      <c r="F265" s="246">
        <v>10</v>
      </c>
      <c r="G265" s="313">
        <v>0.69797376000000011</v>
      </c>
      <c r="H265" s="245"/>
      <c r="I265" s="245"/>
      <c r="J265" s="313">
        <v>0.22487974695014401</v>
      </c>
      <c r="K265" s="313">
        <v>0.1164877089201746</v>
      </c>
      <c r="L265" s="245">
        <v>3.6055306082791354</v>
      </c>
      <c r="M265" s="312">
        <v>2027</v>
      </c>
      <c r="N265" s="313">
        <v>0.42</v>
      </c>
      <c r="O265" s="245"/>
      <c r="P265" s="245"/>
      <c r="Q265" s="245"/>
      <c r="R265" s="245"/>
      <c r="S265" s="313">
        <f t="shared" si="1"/>
        <v>0.42</v>
      </c>
      <c r="T265" s="278"/>
      <c r="U265" s="245"/>
    </row>
    <row r="266" spans="4:21" ht="31.5">
      <c r="D266" s="274">
        <v>250</v>
      </c>
      <c r="E266" s="261" t="s">
        <v>881</v>
      </c>
      <c r="F266" s="246">
        <v>52</v>
      </c>
      <c r="G266" s="245">
        <v>1.7798330880000004</v>
      </c>
      <c r="H266" s="245"/>
      <c r="I266" s="245"/>
      <c r="J266" s="313">
        <v>0.58468734207037443</v>
      </c>
      <c r="K266" s="313">
        <v>0.30286804319245392</v>
      </c>
      <c r="L266" s="245">
        <v>4.4966935023889461</v>
      </c>
      <c r="M266" s="312">
        <v>2027</v>
      </c>
      <c r="N266" s="245">
        <v>1.36</v>
      </c>
      <c r="O266" s="245"/>
      <c r="P266" s="245"/>
      <c r="Q266" s="245"/>
      <c r="R266" s="245"/>
      <c r="S266" s="245">
        <f t="shared" si="1"/>
        <v>1.36</v>
      </c>
      <c r="T266" s="278"/>
      <c r="U266" s="245"/>
    </row>
    <row r="267" spans="4:21" ht="31.5">
      <c r="D267" s="274">
        <v>251</v>
      </c>
      <c r="E267" s="261" t="s">
        <v>881</v>
      </c>
      <c r="F267" s="246">
        <v>10</v>
      </c>
      <c r="G267" s="313">
        <v>0.69797376000000011</v>
      </c>
      <c r="H267" s="245"/>
      <c r="I267" s="245"/>
      <c r="J267" s="313">
        <v>0.22487974695014401</v>
      </c>
      <c r="K267" s="313">
        <v>0.1164877089201746</v>
      </c>
      <c r="L267" s="245">
        <v>3.6055306082791354</v>
      </c>
      <c r="M267" s="312">
        <v>2027</v>
      </c>
      <c r="N267" s="313">
        <v>0.42</v>
      </c>
      <c r="O267" s="245"/>
      <c r="P267" s="245"/>
      <c r="Q267" s="245"/>
      <c r="R267" s="245"/>
      <c r="S267" s="313">
        <f t="shared" si="1"/>
        <v>0.42</v>
      </c>
      <c r="T267" s="278"/>
      <c r="U267" s="245"/>
    </row>
    <row r="268" spans="4:21" ht="31.5">
      <c r="D268" s="274">
        <v>252</v>
      </c>
      <c r="E268" s="261" t="s">
        <v>882</v>
      </c>
      <c r="F268" s="246">
        <v>51</v>
      </c>
      <c r="G268" s="245">
        <v>1.7798330880000004</v>
      </c>
      <c r="H268" s="245"/>
      <c r="I268" s="245"/>
      <c r="J268" s="313">
        <v>0.57344335472286723</v>
      </c>
      <c r="K268" s="313">
        <v>0.2970436577464452</v>
      </c>
      <c r="L268" s="245">
        <v>4.4966935023889461</v>
      </c>
      <c r="M268" s="312">
        <v>2027</v>
      </c>
      <c r="N268" s="245">
        <v>1.34</v>
      </c>
      <c r="O268" s="245"/>
      <c r="P268" s="245"/>
      <c r="Q268" s="245"/>
      <c r="R268" s="245"/>
      <c r="S268" s="245">
        <f t="shared" si="1"/>
        <v>1.34</v>
      </c>
      <c r="T268" s="278"/>
      <c r="U268" s="245"/>
    </row>
    <row r="269" spans="4:21" ht="31.5">
      <c r="D269" s="274">
        <v>253</v>
      </c>
      <c r="E269" s="261" t="s">
        <v>882</v>
      </c>
      <c r="F269" s="246">
        <v>10</v>
      </c>
      <c r="G269" s="313">
        <v>0.69797376000000011</v>
      </c>
      <c r="H269" s="245"/>
      <c r="I269" s="245"/>
      <c r="J269" s="313">
        <v>0.22487974695014401</v>
      </c>
      <c r="K269" s="313">
        <v>0.1164877089201746</v>
      </c>
      <c r="L269" s="245">
        <v>3.6055306082791354</v>
      </c>
      <c r="M269" s="312">
        <v>2027</v>
      </c>
      <c r="N269" s="313">
        <v>0.42</v>
      </c>
      <c r="O269" s="245"/>
      <c r="P269" s="245"/>
      <c r="Q269" s="245"/>
      <c r="R269" s="245"/>
      <c r="S269" s="313">
        <f t="shared" si="1"/>
        <v>0.42</v>
      </c>
      <c r="T269" s="278"/>
      <c r="U269" s="245"/>
    </row>
    <row r="270" spans="4:21" ht="31.5">
      <c r="D270" s="274">
        <v>254</v>
      </c>
      <c r="E270" s="261" t="s">
        <v>883</v>
      </c>
      <c r="F270" s="246">
        <v>51</v>
      </c>
      <c r="G270" s="245">
        <v>1.7798330880000004</v>
      </c>
      <c r="H270" s="245"/>
      <c r="I270" s="245"/>
      <c r="J270" s="313">
        <v>0.57344335472286723</v>
      </c>
      <c r="K270" s="313">
        <v>0.2970436577464452</v>
      </c>
      <c r="L270" s="245">
        <v>4.4966935023889461</v>
      </c>
      <c r="M270" s="312">
        <v>2027</v>
      </c>
      <c r="N270" s="245">
        <v>1.34</v>
      </c>
      <c r="O270" s="245"/>
      <c r="P270" s="245"/>
      <c r="Q270" s="245"/>
      <c r="R270" s="245"/>
      <c r="S270" s="245">
        <f t="shared" si="1"/>
        <v>1.34</v>
      </c>
      <c r="T270" s="278"/>
      <c r="U270" s="245"/>
    </row>
    <row r="271" spans="4:21" ht="31.5">
      <c r="D271" s="274">
        <v>255</v>
      </c>
      <c r="E271" s="261" t="s">
        <v>883</v>
      </c>
      <c r="F271" s="246">
        <v>10</v>
      </c>
      <c r="G271" s="313">
        <v>0.69797376000000011</v>
      </c>
      <c r="H271" s="245"/>
      <c r="I271" s="245"/>
      <c r="J271" s="313">
        <v>0.22487974695014401</v>
      </c>
      <c r="K271" s="313">
        <v>0.1164877089201746</v>
      </c>
      <c r="L271" s="245">
        <v>3.6055306082791354</v>
      </c>
      <c r="M271" s="312">
        <v>2027</v>
      </c>
      <c r="N271" s="313">
        <v>0.42</v>
      </c>
      <c r="O271" s="245"/>
      <c r="P271" s="245"/>
      <c r="Q271" s="245"/>
      <c r="R271" s="245"/>
      <c r="S271" s="313">
        <f t="shared" si="1"/>
        <v>0.42</v>
      </c>
      <c r="T271" s="278"/>
      <c r="U271" s="245"/>
    </row>
    <row r="272" spans="4:21" ht="31.5">
      <c r="D272" s="274">
        <v>256</v>
      </c>
      <c r="E272" s="261" t="s">
        <v>884</v>
      </c>
      <c r="F272" s="246">
        <v>51</v>
      </c>
      <c r="G272" s="245">
        <v>1.7798330880000004</v>
      </c>
      <c r="H272" s="245"/>
      <c r="I272" s="245"/>
      <c r="J272" s="313">
        <v>0.57344335472286723</v>
      </c>
      <c r="K272" s="313">
        <v>0.2970436577464452</v>
      </c>
      <c r="L272" s="245">
        <v>4.4966935023889461</v>
      </c>
      <c r="M272" s="312">
        <v>2027</v>
      </c>
      <c r="N272" s="245">
        <v>1.34</v>
      </c>
      <c r="O272" s="245"/>
      <c r="P272" s="245"/>
      <c r="Q272" s="245"/>
      <c r="R272" s="245"/>
      <c r="S272" s="245">
        <f t="shared" si="1"/>
        <v>1.34</v>
      </c>
      <c r="T272" s="278"/>
      <c r="U272" s="245"/>
    </row>
    <row r="273" spans="4:21" ht="31.5">
      <c r="D273" s="274">
        <v>257</v>
      </c>
      <c r="E273" s="261" t="s">
        <v>884</v>
      </c>
      <c r="F273" s="246">
        <v>10</v>
      </c>
      <c r="G273" s="313">
        <v>0.69797376000000011</v>
      </c>
      <c r="H273" s="245"/>
      <c r="I273" s="245"/>
      <c r="J273" s="313">
        <v>0.22487974695014401</v>
      </c>
      <c r="K273" s="313">
        <v>0.1164877089201746</v>
      </c>
      <c r="L273" s="245">
        <v>3.6055306082791354</v>
      </c>
      <c r="M273" s="312">
        <v>2027</v>
      </c>
      <c r="N273" s="313">
        <v>0.42</v>
      </c>
      <c r="O273" s="245"/>
      <c r="P273" s="245"/>
      <c r="Q273" s="245"/>
      <c r="R273" s="245"/>
      <c r="S273" s="313">
        <f t="shared" si="1"/>
        <v>0.42</v>
      </c>
      <c r="T273" s="278"/>
      <c r="U273" s="245"/>
    </row>
    <row r="274" spans="4:21">
      <c r="D274" s="504" t="s">
        <v>10</v>
      </c>
      <c r="E274" s="505"/>
      <c r="F274" s="57"/>
      <c r="G274" s="12">
        <f>SUM(G17:G273)</f>
        <v>4490.5303129920094</v>
      </c>
      <c r="H274" s="12">
        <f>SUM(H17:H273)</f>
        <v>90.5</v>
      </c>
      <c r="I274" s="12"/>
      <c r="J274" s="303">
        <f>SUM(J17:J273)</f>
        <v>1462.9311748225653</v>
      </c>
      <c r="K274" s="12">
        <f>SUM(K17:K273)</f>
        <v>756.42836855808935</v>
      </c>
      <c r="L274" s="12"/>
      <c r="M274" s="303"/>
      <c r="N274" s="12">
        <f>SUM(N17:N273)</f>
        <v>5788.0200000000086</v>
      </c>
      <c r="O274" s="12"/>
      <c r="P274" s="12"/>
      <c r="Q274" s="21"/>
      <c r="R274" s="302"/>
      <c r="S274" s="57">
        <f>N274</f>
        <v>5788.0200000000086</v>
      </c>
      <c r="T274" s="12"/>
      <c r="U274" s="12"/>
    </row>
    <row r="275" spans="4:21">
      <c r="D275" s="276"/>
      <c r="E275" s="296"/>
      <c r="F275" s="255"/>
      <c r="G275" s="256"/>
      <c r="H275" s="249"/>
      <c r="I275" s="249"/>
      <c r="J275" s="251"/>
      <c r="K275" s="257"/>
      <c r="L275" s="258"/>
      <c r="M275" s="321"/>
      <c r="N275" s="258"/>
      <c r="O275" s="259"/>
      <c r="P275" s="250"/>
      <c r="Q275" s="250"/>
      <c r="R275" s="305"/>
      <c r="S275" s="250"/>
      <c r="T275" s="249"/>
      <c r="U275" s="251"/>
    </row>
    <row r="276" spans="4:21">
      <c r="D276" s="295"/>
      <c r="E276" s="254"/>
      <c r="F276" s="255"/>
      <c r="G276" s="256"/>
      <c r="H276" s="249"/>
      <c r="I276" s="249"/>
      <c r="J276" s="251"/>
      <c r="K276" s="257"/>
      <c r="L276" s="258"/>
      <c r="M276" s="321"/>
      <c r="N276" s="258"/>
      <c r="O276" s="259"/>
      <c r="P276" s="250"/>
      <c r="Q276" s="250"/>
      <c r="R276" s="305"/>
      <c r="S276" s="250"/>
      <c r="T276" s="249"/>
      <c r="U276" s="251"/>
    </row>
    <row r="277" spans="4:21">
      <c r="D277" s="501" t="s">
        <v>8</v>
      </c>
      <c r="E277" s="498" t="s">
        <v>3</v>
      </c>
      <c r="F277" s="481" t="s">
        <v>40</v>
      </c>
      <c r="G277" s="482" t="s">
        <v>4</v>
      </c>
      <c r="H277" s="483"/>
      <c r="I277" s="483"/>
      <c r="J277" s="484"/>
      <c r="K277" s="485" t="s">
        <v>16</v>
      </c>
      <c r="L277" s="471" t="s">
        <v>9</v>
      </c>
      <c r="M277" s="486" t="s">
        <v>28</v>
      </c>
      <c r="N277" s="471" t="s">
        <v>15</v>
      </c>
      <c r="O277" s="474" t="s">
        <v>29</v>
      </c>
      <c r="P277" s="475"/>
      <c r="Q277" s="475"/>
      <c r="R277" s="475"/>
      <c r="S277" s="475"/>
      <c r="T277" s="475"/>
      <c r="U277" s="476"/>
    </row>
    <row r="278" spans="4:21" ht="75.75" customHeight="1">
      <c r="D278" s="502"/>
      <c r="E278" s="499"/>
      <c r="F278" s="479"/>
      <c r="G278" s="477" t="s">
        <v>11</v>
      </c>
      <c r="H278" s="477" t="s">
        <v>12</v>
      </c>
      <c r="I278" s="477" t="s">
        <v>13</v>
      </c>
      <c r="J278" s="479" t="s">
        <v>5</v>
      </c>
      <c r="K278" s="472"/>
      <c r="L278" s="472"/>
      <c r="M278" s="487"/>
      <c r="N278" s="472"/>
      <c r="O278" s="471" t="s">
        <v>333</v>
      </c>
      <c r="P278" s="471" t="s">
        <v>332</v>
      </c>
      <c r="Q278" s="471" t="s">
        <v>334</v>
      </c>
      <c r="R278" s="471" t="s">
        <v>335</v>
      </c>
      <c r="S278" s="471" t="s">
        <v>338</v>
      </c>
      <c r="T278" s="471" t="s">
        <v>336</v>
      </c>
      <c r="U278" s="471" t="s">
        <v>337</v>
      </c>
    </row>
    <row r="279" spans="4:21" ht="52.5" customHeight="1">
      <c r="D279" s="503"/>
      <c r="E279" s="500"/>
      <c r="F279" s="480"/>
      <c r="G279" s="478"/>
      <c r="H279" s="478"/>
      <c r="I279" s="478"/>
      <c r="J279" s="480"/>
      <c r="K279" s="473"/>
      <c r="L279" s="473"/>
      <c r="M279" s="488"/>
      <c r="N279" s="473"/>
      <c r="O279" s="536"/>
      <c r="P279" s="536"/>
      <c r="Q279" s="536"/>
      <c r="R279" s="521"/>
      <c r="S279" s="536"/>
      <c r="T279" s="536"/>
      <c r="U279" s="536"/>
    </row>
    <row r="280" spans="4:21">
      <c r="D280" s="314"/>
      <c r="E280" s="537" t="s">
        <v>325</v>
      </c>
      <c r="F280" s="538"/>
      <c r="G280" s="538"/>
      <c r="H280" s="538"/>
      <c r="I280" s="538"/>
      <c r="J280" s="538"/>
      <c r="K280" s="538"/>
      <c r="L280" s="538"/>
      <c r="M280" s="538"/>
      <c r="N280" s="538"/>
      <c r="O280" s="538"/>
      <c r="P280" s="538"/>
      <c r="Q280" s="538"/>
      <c r="R280" s="538"/>
      <c r="S280" s="538"/>
      <c r="T280" s="538"/>
      <c r="U280" s="539"/>
    </row>
    <row r="281" spans="4:21" ht="31.5">
      <c r="D281" s="294" t="s">
        <v>326</v>
      </c>
      <c r="E281" s="262" t="s">
        <v>355</v>
      </c>
      <c r="F281" s="246">
        <v>1</v>
      </c>
      <c r="G281" s="245"/>
      <c r="H281" s="245"/>
      <c r="I281" s="245"/>
      <c r="J281" s="245">
        <v>0.2</v>
      </c>
      <c r="K281" s="245">
        <v>0.1</v>
      </c>
      <c r="L281" s="245">
        <v>37.1</v>
      </c>
      <c r="M281" s="315"/>
      <c r="N281" s="245">
        <v>3.8</v>
      </c>
      <c r="O281" s="245"/>
      <c r="P281" s="245"/>
      <c r="Q281" s="245"/>
      <c r="R281" s="245"/>
      <c r="S281" s="245">
        <f>N281</f>
        <v>3.8</v>
      </c>
      <c r="T281" s="278"/>
      <c r="U281" s="245"/>
    </row>
    <row r="282" spans="4:21" ht="31.5">
      <c r="D282" s="294" t="s">
        <v>327</v>
      </c>
      <c r="E282" s="262" t="s">
        <v>356</v>
      </c>
      <c r="F282" s="246" t="s">
        <v>357</v>
      </c>
      <c r="G282" s="245"/>
      <c r="H282" s="245">
        <v>2.1</v>
      </c>
      <c r="I282" s="245"/>
      <c r="J282" s="245">
        <v>0.4</v>
      </c>
      <c r="K282" s="245">
        <v>0.2</v>
      </c>
      <c r="L282" s="245">
        <v>25.2</v>
      </c>
      <c r="M282" s="315"/>
      <c r="N282" s="245">
        <v>4.9000000000000004</v>
      </c>
      <c r="O282" s="245"/>
      <c r="P282" s="245"/>
      <c r="Q282" s="245"/>
      <c r="R282" s="245"/>
      <c r="S282" s="245">
        <f t="shared" ref="S282:S503" si="2">N282</f>
        <v>4.9000000000000004</v>
      </c>
      <c r="T282" s="278"/>
      <c r="U282" s="245"/>
    </row>
    <row r="283" spans="4:21" ht="31.5">
      <c r="D283" s="294" t="s">
        <v>328</v>
      </c>
      <c r="E283" s="262" t="s">
        <v>364</v>
      </c>
      <c r="F283" s="246">
        <v>15</v>
      </c>
      <c r="G283" s="245"/>
      <c r="H283" s="245">
        <v>29.7</v>
      </c>
      <c r="I283" s="245"/>
      <c r="J283" s="245">
        <v>5.3</v>
      </c>
      <c r="K283" s="245">
        <v>2.8</v>
      </c>
      <c r="L283" s="245">
        <v>49.5</v>
      </c>
      <c r="M283" s="315"/>
      <c r="N283" s="245">
        <v>136.69999999999999</v>
      </c>
      <c r="O283" s="245"/>
      <c r="P283" s="245"/>
      <c r="Q283" s="245"/>
      <c r="R283" s="245"/>
      <c r="S283" s="245">
        <f t="shared" si="2"/>
        <v>136.69999999999999</v>
      </c>
      <c r="T283" s="278"/>
      <c r="U283" s="245"/>
    </row>
    <row r="284" spans="4:21" ht="31.5" customHeight="1">
      <c r="D284" s="294" t="s">
        <v>329</v>
      </c>
      <c r="E284" s="261" t="s">
        <v>391</v>
      </c>
      <c r="F284" s="246">
        <v>1</v>
      </c>
      <c r="G284" s="245">
        <v>13.9</v>
      </c>
      <c r="H284" s="245"/>
      <c r="I284" s="245"/>
      <c r="J284" s="245">
        <v>4.5</v>
      </c>
      <c r="K284" s="245">
        <v>2.2999999999999998</v>
      </c>
      <c r="L284" s="245">
        <v>14.7</v>
      </c>
      <c r="M284" s="315"/>
      <c r="N284" s="245">
        <v>34.200000000000003</v>
      </c>
      <c r="O284" s="245"/>
      <c r="P284" s="245"/>
      <c r="Q284" s="245"/>
      <c r="R284" s="245"/>
      <c r="S284" s="245">
        <f t="shared" si="2"/>
        <v>34.200000000000003</v>
      </c>
      <c r="T284" s="278"/>
      <c r="U284" s="245"/>
    </row>
    <row r="285" spans="4:21" ht="31.5" customHeight="1">
      <c r="D285" s="294" t="s">
        <v>330</v>
      </c>
      <c r="E285" s="261" t="s">
        <v>391</v>
      </c>
      <c r="F285" s="246">
        <v>1</v>
      </c>
      <c r="G285" s="245">
        <v>13.9</v>
      </c>
      <c r="H285" s="245"/>
      <c r="I285" s="245"/>
      <c r="J285" s="245">
        <v>4.5</v>
      </c>
      <c r="K285" s="245">
        <v>2.2999999999999998</v>
      </c>
      <c r="L285" s="245">
        <v>14.7</v>
      </c>
      <c r="M285" s="315"/>
      <c r="N285" s="245">
        <v>34.200000000000003</v>
      </c>
      <c r="O285" s="245"/>
      <c r="P285" s="245"/>
      <c r="Q285" s="245"/>
      <c r="R285" s="245"/>
      <c r="S285" s="245">
        <f t="shared" si="2"/>
        <v>34.200000000000003</v>
      </c>
      <c r="T285" s="278"/>
      <c r="U285" s="245"/>
    </row>
    <row r="286" spans="4:21" ht="47.25">
      <c r="D286" s="294" t="s">
        <v>331</v>
      </c>
      <c r="E286" s="261" t="s">
        <v>392</v>
      </c>
      <c r="F286" s="246">
        <v>1</v>
      </c>
      <c r="G286" s="245">
        <v>13.9</v>
      </c>
      <c r="H286" s="245"/>
      <c r="I286" s="245"/>
      <c r="J286" s="245">
        <v>4.5</v>
      </c>
      <c r="K286" s="245">
        <v>2.2999999999999998</v>
      </c>
      <c r="L286" s="245">
        <v>14.7</v>
      </c>
      <c r="M286" s="315"/>
      <c r="N286" s="245">
        <v>34.200000000000003</v>
      </c>
      <c r="O286" s="245"/>
      <c r="P286" s="245"/>
      <c r="Q286" s="245"/>
      <c r="R286" s="245"/>
      <c r="S286" s="245">
        <f t="shared" si="2"/>
        <v>34.200000000000003</v>
      </c>
      <c r="T286" s="278"/>
      <c r="U286" s="245"/>
    </row>
    <row r="287" spans="4:21" ht="47.25">
      <c r="D287" s="294" t="s">
        <v>590</v>
      </c>
      <c r="E287" s="261" t="s">
        <v>393</v>
      </c>
      <c r="F287" s="246">
        <v>1</v>
      </c>
      <c r="G287" s="245">
        <v>47.9</v>
      </c>
      <c r="H287" s="245"/>
      <c r="I287" s="245"/>
      <c r="J287" s="245">
        <v>15.4</v>
      </c>
      <c r="K287" s="245">
        <v>8</v>
      </c>
      <c r="L287" s="245">
        <v>10.3</v>
      </c>
      <c r="M287" s="315"/>
      <c r="N287" s="245">
        <v>82.6</v>
      </c>
      <c r="O287" s="245"/>
      <c r="P287" s="245"/>
      <c r="Q287" s="245"/>
      <c r="R287" s="245"/>
      <c r="S287" s="245">
        <f t="shared" si="2"/>
        <v>82.6</v>
      </c>
      <c r="T287" s="278"/>
      <c r="U287" s="245"/>
    </row>
    <row r="288" spans="4:21" ht="31.5" customHeight="1">
      <c r="D288" s="294" t="s">
        <v>591</v>
      </c>
      <c r="E288" s="261" t="s">
        <v>394</v>
      </c>
      <c r="F288" s="246">
        <v>1</v>
      </c>
      <c r="G288" s="245">
        <v>47.9</v>
      </c>
      <c r="H288" s="245"/>
      <c r="I288" s="245"/>
      <c r="J288" s="245">
        <v>15.4</v>
      </c>
      <c r="K288" s="245">
        <v>8</v>
      </c>
      <c r="L288" s="245">
        <v>10.3</v>
      </c>
      <c r="M288" s="315"/>
      <c r="N288" s="245">
        <v>82.6</v>
      </c>
      <c r="O288" s="245"/>
      <c r="P288" s="245"/>
      <c r="Q288" s="245"/>
      <c r="R288" s="245"/>
      <c r="S288" s="245">
        <f t="shared" si="2"/>
        <v>82.6</v>
      </c>
      <c r="T288" s="278"/>
      <c r="U288" s="245"/>
    </row>
    <row r="289" spans="4:21" ht="47.25">
      <c r="D289" s="294" t="s">
        <v>592</v>
      </c>
      <c r="E289" s="261" t="s">
        <v>395</v>
      </c>
      <c r="F289" s="246">
        <v>1</v>
      </c>
      <c r="G289" s="245">
        <v>7</v>
      </c>
      <c r="H289" s="245"/>
      <c r="I289" s="245"/>
      <c r="J289" s="245">
        <v>2.2000000000000002</v>
      </c>
      <c r="K289" s="245">
        <v>1.2</v>
      </c>
      <c r="L289" s="245">
        <v>34.299999999999997</v>
      </c>
      <c r="M289" s="315"/>
      <c r="N289" s="245">
        <v>39.9</v>
      </c>
      <c r="O289" s="245"/>
      <c r="P289" s="245"/>
      <c r="Q289" s="245"/>
      <c r="R289" s="245"/>
      <c r="S289" s="245">
        <f t="shared" si="2"/>
        <v>39.9</v>
      </c>
      <c r="T289" s="278"/>
      <c r="U289" s="245"/>
    </row>
    <row r="290" spans="4:21" ht="47.25">
      <c r="D290" s="294" t="s">
        <v>593</v>
      </c>
      <c r="E290" s="261" t="s">
        <v>396</v>
      </c>
      <c r="F290" s="246">
        <v>1</v>
      </c>
      <c r="G290" s="245">
        <v>13.8</v>
      </c>
      <c r="H290" s="245"/>
      <c r="I290" s="245"/>
      <c r="J290" s="245">
        <v>4.5</v>
      </c>
      <c r="K290" s="245">
        <v>2.2999999999999998</v>
      </c>
      <c r="L290" s="245">
        <v>14.8</v>
      </c>
      <c r="M290" s="315"/>
      <c r="N290" s="245">
        <v>34.200000000000003</v>
      </c>
      <c r="O290" s="245"/>
      <c r="P290" s="245"/>
      <c r="Q290" s="245"/>
      <c r="R290" s="245"/>
      <c r="S290" s="245">
        <f t="shared" si="2"/>
        <v>34.200000000000003</v>
      </c>
      <c r="T290" s="278"/>
      <c r="U290" s="245"/>
    </row>
    <row r="291" spans="4:21" ht="47.25">
      <c r="D291" s="294" t="s">
        <v>594</v>
      </c>
      <c r="E291" s="261" t="s">
        <v>397</v>
      </c>
      <c r="F291" s="246">
        <v>1</v>
      </c>
      <c r="G291" s="245">
        <v>47.9</v>
      </c>
      <c r="H291" s="245"/>
      <c r="I291" s="245"/>
      <c r="J291" s="245">
        <v>15.4</v>
      </c>
      <c r="K291" s="245">
        <v>8</v>
      </c>
      <c r="L291" s="245">
        <v>10.3</v>
      </c>
      <c r="M291" s="315"/>
      <c r="N291" s="245">
        <v>82.6</v>
      </c>
      <c r="O291" s="245"/>
      <c r="P291" s="245"/>
      <c r="Q291" s="245"/>
      <c r="R291" s="245"/>
      <c r="S291" s="245">
        <f t="shared" si="2"/>
        <v>82.6</v>
      </c>
      <c r="T291" s="278"/>
      <c r="U291" s="245"/>
    </row>
    <row r="292" spans="4:21" ht="47.25">
      <c r="D292" s="294" t="s">
        <v>595</v>
      </c>
      <c r="E292" s="261" t="s">
        <v>398</v>
      </c>
      <c r="F292" s="246">
        <v>1</v>
      </c>
      <c r="G292" s="245">
        <v>7</v>
      </c>
      <c r="H292" s="245"/>
      <c r="I292" s="245"/>
      <c r="J292" s="245">
        <v>2.2000000000000002</v>
      </c>
      <c r="K292" s="245">
        <v>1.2</v>
      </c>
      <c r="L292" s="245">
        <v>34.299999999999997</v>
      </c>
      <c r="M292" s="315"/>
      <c r="N292" s="245">
        <v>39.9</v>
      </c>
      <c r="O292" s="245"/>
      <c r="P292" s="245"/>
      <c r="Q292" s="245"/>
      <c r="R292" s="245"/>
      <c r="S292" s="245">
        <f t="shared" si="2"/>
        <v>39.9</v>
      </c>
      <c r="T292" s="278"/>
      <c r="U292" s="245"/>
    </row>
    <row r="293" spans="4:21" ht="47.25">
      <c r="D293" s="294" t="s">
        <v>596</v>
      </c>
      <c r="E293" s="261" t="s">
        <v>399</v>
      </c>
      <c r="F293" s="246">
        <v>1</v>
      </c>
      <c r="G293" s="245">
        <v>13.8</v>
      </c>
      <c r="H293" s="245"/>
      <c r="I293" s="245"/>
      <c r="J293" s="245">
        <v>4.5</v>
      </c>
      <c r="K293" s="245">
        <v>2.2999999999999998</v>
      </c>
      <c r="L293" s="245">
        <v>14.8</v>
      </c>
      <c r="M293" s="315"/>
      <c r="N293" s="245">
        <v>34.200000000000003</v>
      </c>
      <c r="O293" s="245"/>
      <c r="P293" s="245"/>
      <c r="Q293" s="245"/>
      <c r="R293" s="245"/>
      <c r="S293" s="245">
        <f t="shared" si="2"/>
        <v>34.200000000000003</v>
      </c>
      <c r="T293" s="278"/>
      <c r="U293" s="245"/>
    </row>
    <row r="294" spans="4:21" ht="47.25">
      <c r="D294" s="294" t="s">
        <v>597</v>
      </c>
      <c r="E294" s="261" t="s">
        <v>402</v>
      </c>
      <c r="F294" s="246">
        <v>1</v>
      </c>
      <c r="G294" s="245">
        <v>13.9</v>
      </c>
      <c r="H294" s="245"/>
      <c r="I294" s="245"/>
      <c r="J294" s="245">
        <v>4.5</v>
      </c>
      <c r="K294" s="245">
        <v>2.2999999999999998</v>
      </c>
      <c r="L294" s="245">
        <v>14.7</v>
      </c>
      <c r="M294" s="315"/>
      <c r="N294" s="245">
        <v>34.200000000000003</v>
      </c>
      <c r="O294" s="245"/>
      <c r="P294" s="245"/>
      <c r="Q294" s="245"/>
      <c r="R294" s="245"/>
      <c r="S294" s="245">
        <f t="shared" si="2"/>
        <v>34.200000000000003</v>
      </c>
      <c r="T294" s="278"/>
      <c r="U294" s="245"/>
    </row>
    <row r="295" spans="4:21" ht="47.25">
      <c r="D295" s="294" t="s">
        <v>598</v>
      </c>
      <c r="E295" s="261" t="s">
        <v>403</v>
      </c>
      <c r="F295" s="246">
        <v>1</v>
      </c>
      <c r="G295" s="245">
        <v>15.3</v>
      </c>
      <c r="H295" s="245"/>
      <c r="I295" s="245"/>
      <c r="J295" s="245">
        <v>4.9000000000000004</v>
      </c>
      <c r="K295" s="245">
        <v>2.6</v>
      </c>
      <c r="L295" s="245">
        <v>22.3</v>
      </c>
      <c r="M295" s="315"/>
      <c r="N295" s="245">
        <v>57</v>
      </c>
      <c r="O295" s="245"/>
      <c r="P295" s="245"/>
      <c r="Q295" s="245"/>
      <c r="R295" s="245"/>
      <c r="S295" s="245">
        <f t="shared" si="2"/>
        <v>57</v>
      </c>
      <c r="T295" s="278"/>
      <c r="U295" s="245"/>
    </row>
    <row r="296" spans="4:21" ht="47.25">
      <c r="D296" s="294" t="s">
        <v>599</v>
      </c>
      <c r="E296" s="261" t="s">
        <v>403</v>
      </c>
      <c r="F296" s="246">
        <v>1</v>
      </c>
      <c r="G296" s="245">
        <v>15.3</v>
      </c>
      <c r="H296" s="245"/>
      <c r="I296" s="245"/>
      <c r="J296" s="245">
        <v>4.9000000000000004</v>
      </c>
      <c r="K296" s="245">
        <v>2.6</v>
      </c>
      <c r="L296" s="245">
        <v>22.3</v>
      </c>
      <c r="M296" s="315"/>
      <c r="N296" s="245">
        <v>57</v>
      </c>
      <c r="O296" s="245"/>
      <c r="P296" s="245"/>
      <c r="Q296" s="245"/>
      <c r="R296" s="245"/>
      <c r="S296" s="245">
        <f t="shared" ref="S296:S298" si="3">N296</f>
        <v>57</v>
      </c>
      <c r="T296" s="278"/>
      <c r="U296" s="245"/>
    </row>
    <row r="297" spans="4:21" ht="47.25">
      <c r="D297" s="294" t="s">
        <v>600</v>
      </c>
      <c r="E297" s="261" t="s">
        <v>403</v>
      </c>
      <c r="F297" s="246">
        <v>1</v>
      </c>
      <c r="G297" s="245">
        <v>15.3</v>
      </c>
      <c r="H297" s="245"/>
      <c r="I297" s="245"/>
      <c r="J297" s="245">
        <v>4.9000000000000004</v>
      </c>
      <c r="K297" s="245">
        <v>2.6</v>
      </c>
      <c r="L297" s="245">
        <v>22.3</v>
      </c>
      <c r="M297" s="315"/>
      <c r="N297" s="245">
        <v>57</v>
      </c>
      <c r="O297" s="245"/>
      <c r="P297" s="245"/>
      <c r="Q297" s="245"/>
      <c r="R297" s="245"/>
      <c r="S297" s="245">
        <f t="shared" si="3"/>
        <v>57</v>
      </c>
      <c r="T297" s="278"/>
      <c r="U297" s="245"/>
    </row>
    <row r="298" spans="4:21" ht="47.25">
      <c r="D298" s="294" t="s">
        <v>601</v>
      </c>
      <c r="E298" s="261" t="s">
        <v>403</v>
      </c>
      <c r="F298" s="246">
        <v>1</v>
      </c>
      <c r="G298" s="245">
        <v>15.3</v>
      </c>
      <c r="H298" s="245"/>
      <c r="I298" s="245"/>
      <c r="J298" s="245">
        <v>4.9000000000000004</v>
      </c>
      <c r="K298" s="245">
        <v>2.6</v>
      </c>
      <c r="L298" s="245">
        <v>22.3</v>
      </c>
      <c r="M298" s="315"/>
      <c r="N298" s="245">
        <v>57</v>
      </c>
      <c r="O298" s="245"/>
      <c r="P298" s="245"/>
      <c r="Q298" s="245"/>
      <c r="R298" s="245"/>
      <c r="S298" s="245">
        <f t="shared" si="3"/>
        <v>57</v>
      </c>
      <c r="T298" s="278"/>
      <c r="U298" s="245"/>
    </row>
    <row r="299" spans="4:21" ht="47.25">
      <c r="D299" s="294" t="s">
        <v>602</v>
      </c>
      <c r="E299" s="261" t="s">
        <v>404</v>
      </c>
      <c r="F299" s="246">
        <v>1</v>
      </c>
      <c r="G299" s="245">
        <v>47.9</v>
      </c>
      <c r="H299" s="245"/>
      <c r="I299" s="245"/>
      <c r="J299" s="245">
        <v>15.4</v>
      </c>
      <c r="K299" s="245">
        <v>8</v>
      </c>
      <c r="L299" s="245">
        <v>10.3</v>
      </c>
      <c r="M299" s="315"/>
      <c r="N299" s="245">
        <v>82.6</v>
      </c>
      <c r="O299" s="245"/>
      <c r="P299" s="245"/>
      <c r="Q299" s="245"/>
      <c r="R299" s="245"/>
      <c r="S299" s="245">
        <f t="shared" si="2"/>
        <v>82.6</v>
      </c>
      <c r="T299" s="278"/>
      <c r="U299" s="245"/>
    </row>
    <row r="300" spans="4:21" ht="47.25">
      <c r="D300" s="294" t="s">
        <v>603</v>
      </c>
      <c r="E300" s="261" t="s">
        <v>407</v>
      </c>
      <c r="F300" s="246">
        <v>1</v>
      </c>
      <c r="G300" s="245">
        <v>22.4</v>
      </c>
      <c r="H300" s="245"/>
      <c r="I300" s="245"/>
      <c r="J300" s="245">
        <v>7.2</v>
      </c>
      <c r="K300" s="245">
        <v>3.7</v>
      </c>
      <c r="L300" s="245">
        <v>18.3</v>
      </c>
      <c r="M300" s="315"/>
      <c r="N300" s="245">
        <v>68.400000000000006</v>
      </c>
      <c r="O300" s="245"/>
      <c r="P300" s="245"/>
      <c r="Q300" s="245"/>
      <c r="R300" s="245"/>
      <c r="S300" s="245">
        <f t="shared" si="2"/>
        <v>68.400000000000006</v>
      </c>
      <c r="T300" s="278"/>
      <c r="U300" s="245"/>
    </row>
    <row r="301" spans="4:21" ht="47.25">
      <c r="D301" s="294" t="s">
        <v>604</v>
      </c>
      <c r="E301" s="261" t="s">
        <v>411</v>
      </c>
      <c r="F301" s="246">
        <v>1</v>
      </c>
      <c r="G301" s="245">
        <v>47.9</v>
      </c>
      <c r="H301" s="245"/>
      <c r="I301" s="245"/>
      <c r="J301" s="245">
        <v>15.4</v>
      </c>
      <c r="K301" s="245">
        <v>8</v>
      </c>
      <c r="L301" s="245">
        <v>10.3</v>
      </c>
      <c r="M301" s="315"/>
      <c r="N301" s="245">
        <v>82.6</v>
      </c>
      <c r="O301" s="245"/>
      <c r="P301" s="245"/>
      <c r="Q301" s="245"/>
      <c r="R301" s="245"/>
      <c r="S301" s="245">
        <f t="shared" si="2"/>
        <v>82.6</v>
      </c>
      <c r="T301" s="278"/>
      <c r="U301" s="245"/>
    </row>
    <row r="302" spans="4:21" ht="47.25">
      <c r="D302" s="294" t="s">
        <v>605</v>
      </c>
      <c r="E302" s="261" t="s">
        <v>412</v>
      </c>
      <c r="F302" s="246">
        <v>1</v>
      </c>
      <c r="G302" s="245">
        <v>15.3</v>
      </c>
      <c r="H302" s="245"/>
      <c r="I302" s="245"/>
      <c r="J302" s="245">
        <v>4.9000000000000004</v>
      </c>
      <c r="K302" s="245">
        <v>2.6</v>
      </c>
      <c r="L302" s="245">
        <v>22.3</v>
      </c>
      <c r="M302" s="315"/>
      <c r="N302" s="245">
        <v>57</v>
      </c>
      <c r="O302" s="245"/>
      <c r="P302" s="245"/>
      <c r="Q302" s="245"/>
      <c r="R302" s="245"/>
      <c r="S302" s="245">
        <f t="shared" si="2"/>
        <v>57</v>
      </c>
      <c r="T302" s="278"/>
      <c r="U302" s="245"/>
    </row>
    <row r="303" spans="4:21" ht="47.25">
      <c r="D303" s="294" t="s">
        <v>606</v>
      </c>
      <c r="E303" s="261" t="s">
        <v>412</v>
      </c>
      <c r="F303" s="246">
        <v>1</v>
      </c>
      <c r="G303" s="245">
        <v>15.3</v>
      </c>
      <c r="H303" s="245"/>
      <c r="I303" s="245"/>
      <c r="J303" s="245">
        <v>4.9000000000000004</v>
      </c>
      <c r="K303" s="245">
        <v>2.6</v>
      </c>
      <c r="L303" s="245">
        <v>22.3</v>
      </c>
      <c r="M303" s="315"/>
      <c r="N303" s="245">
        <v>57</v>
      </c>
      <c r="O303" s="245"/>
      <c r="P303" s="245"/>
      <c r="Q303" s="245"/>
      <c r="R303" s="245"/>
      <c r="S303" s="245">
        <f t="shared" si="2"/>
        <v>57</v>
      </c>
      <c r="T303" s="278"/>
      <c r="U303" s="245"/>
    </row>
    <row r="304" spans="4:21" ht="47.25">
      <c r="D304" s="294" t="s">
        <v>607</v>
      </c>
      <c r="E304" s="261" t="s">
        <v>412</v>
      </c>
      <c r="F304" s="246">
        <v>1</v>
      </c>
      <c r="G304" s="245">
        <v>15.3</v>
      </c>
      <c r="H304" s="245"/>
      <c r="I304" s="245"/>
      <c r="J304" s="245">
        <v>4.9000000000000004</v>
      </c>
      <c r="K304" s="245">
        <v>2.6</v>
      </c>
      <c r="L304" s="245">
        <v>22.3</v>
      </c>
      <c r="M304" s="315"/>
      <c r="N304" s="245">
        <v>57</v>
      </c>
      <c r="O304" s="245"/>
      <c r="P304" s="245"/>
      <c r="Q304" s="245"/>
      <c r="R304" s="245"/>
      <c r="S304" s="245">
        <f t="shared" si="2"/>
        <v>57</v>
      </c>
      <c r="T304" s="278"/>
      <c r="U304" s="245"/>
    </row>
    <row r="305" spans="4:21" ht="47.25">
      <c r="D305" s="294" t="s">
        <v>608</v>
      </c>
      <c r="E305" s="261" t="s">
        <v>412</v>
      </c>
      <c r="F305" s="246">
        <v>1</v>
      </c>
      <c r="G305" s="245">
        <v>15.3</v>
      </c>
      <c r="H305" s="245"/>
      <c r="I305" s="245"/>
      <c r="J305" s="245">
        <v>4.9000000000000004</v>
      </c>
      <c r="K305" s="245">
        <v>2.6</v>
      </c>
      <c r="L305" s="245">
        <v>22.3</v>
      </c>
      <c r="M305" s="315"/>
      <c r="N305" s="245">
        <v>57</v>
      </c>
      <c r="O305" s="245"/>
      <c r="P305" s="245"/>
      <c r="Q305" s="245"/>
      <c r="R305" s="245"/>
      <c r="S305" s="245">
        <f t="shared" si="2"/>
        <v>57</v>
      </c>
      <c r="T305" s="278"/>
      <c r="U305" s="245"/>
    </row>
    <row r="306" spans="4:21" ht="47.25">
      <c r="D306" s="294" t="s">
        <v>609</v>
      </c>
      <c r="E306" s="261" t="s">
        <v>412</v>
      </c>
      <c r="F306" s="246">
        <v>1</v>
      </c>
      <c r="G306" s="245">
        <v>15.3</v>
      </c>
      <c r="H306" s="245"/>
      <c r="I306" s="245"/>
      <c r="J306" s="245">
        <v>4.9000000000000004</v>
      </c>
      <c r="K306" s="245">
        <v>2.6</v>
      </c>
      <c r="L306" s="245">
        <v>22.3</v>
      </c>
      <c r="M306" s="315"/>
      <c r="N306" s="245">
        <v>57</v>
      </c>
      <c r="O306" s="245"/>
      <c r="P306" s="245"/>
      <c r="Q306" s="245"/>
      <c r="R306" s="245"/>
      <c r="S306" s="245">
        <f t="shared" si="2"/>
        <v>57</v>
      </c>
      <c r="T306" s="278"/>
      <c r="U306" s="245"/>
    </row>
    <row r="307" spans="4:21" ht="47.25">
      <c r="D307" s="294" t="s">
        <v>610</v>
      </c>
      <c r="E307" s="261" t="s">
        <v>414</v>
      </c>
      <c r="F307" s="246">
        <v>1</v>
      </c>
      <c r="G307" s="245">
        <v>15.3</v>
      </c>
      <c r="H307" s="245"/>
      <c r="I307" s="245"/>
      <c r="J307" s="245">
        <v>4.9000000000000004</v>
      </c>
      <c r="K307" s="245">
        <v>2.6</v>
      </c>
      <c r="L307" s="245">
        <v>22.3</v>
      </c>
      <c r="M307" s="315"/>
      <c r="N307" s="245">
        <v>57</v>
      </c>
      <c r="O307" s="245"/>
      <c r="P307" s="245"/>
      <c r="Q307" s="245"/>
      <c r="R307" s="245"/>
      <c r="S307" s="245">
        <f t="shared" si="2"/>
        <v>57</v>
      </c>
      <c r="T307" s="278"/>
      <c r="U307" s="245"/>
    </row>
    <row r="308" spans="4:21" ht="47.25">
      <c r="D308" s="294" t="s">
        <v>611</v>
      </c>
      <c r="E308" s="261" t="s">
        <v>414</v>
      </c>
      <c r="F308" s="246">
        <v>1</v>
      </c>
      <c r="G308" s="245">
        <v>15.3</v>
      </c>
      <c r="H308" s="245"/>
      <c r="I308" s="245"/>
      <c r="J308" s="245">
        <v>4.9000000000000004</v>
      </c>
      <c r="K308" s="245">
        <v>2.6</v>
      </c>
      <c r="L308" s="245">
        <v>22.3</v>
      </c>
      <c r="M308" s="315"/>
      <c r="N308" s="245">
        <v>57</v>
      </c>
      <c r="O308" s="245"/>
      <c r="P308" s="245"/>
      <c r="Q308" s="245"/>
      <c r="R308" s="245"/>
      <c r="S308" s="245">
        <f t="shared" si="2"/>
        <v>57</v>
      </c>
      <c r="T308" s="278"/>
      <c r="U308" s="245"/>
    </row>
    <row r="309" spans="4:21" ht="47.25">
      <c r="D309" s="294" t="s">
        <v>612</v>
      </c>
      <c r="E309" s="261" t="s">
        <v>414</v>
      </c>
      <c r="F309" s="246">
        <v>1</v>
      </c>
      <c r="G309" s="245">
        <v>15.3</v>
      </c>
      <c r="H309" s="245"/>
      <c r="I309" s="245"/>
      <c r="J309" s="245">
        <v>4.9000000000000004</v>
      </c>
      <c r="K309" s="245">
        <v>2.6</v>
      </c>
      <c r="L309" s="245">
        <v>22.3</v>
      </c>
      <c r="M309" s="315"/>
      <c r="N309" s="245">
        <v>57</v>
      </c>
      <c r="O309" s="245"/>
      <c r="P309" s="245"/>
      <c r="Q309" s="245"/>
      <c r="R309" s="245"/>
      <c r="S309" s="245">
        <f t="shared" si="2"/>
        <v>57</v>
      </c>
      <c r="T309" s="278"/>
      <c r="U309" s="245"/>
    </row>
    <row r="310" spans="4:21" ht="47.25">
      <c r="D310" s="294" t="s">
        <v>613</v>
      </c>
      <c r="E310" s="261" t="s">
        <v>414</v>
      </c>
      <c r="F310" s="246">
        <v>1</v>
      </c>
      <c r="G310" s="245">
        <v>15.3</v>
      </c>
      <c r="H310" s="245"/>
      <c r="I310" s="245"/>
      <c r="J310" s="245">
        <v>4.9000000000000004</v>
      </c>
      <c r="K310" s="245">
        <v>2.6</v>
      </c>
      <c r="L310" s="245">
        <v>22.3</v>
      </c>
      <c r="M310" s="315"/>
      <c r="N310" s="245">
        <v>57</v>
      </c>
      <c r="O310" s="245"/>
      <c r="P310" s="245"/>
      <c r="Q310" s="245"/>
      <c r="R310" s="245"/>
      <c r="S310" s="245">
        <f t="shared" si="2"/>
        <v>57</v>
      </c>
      <c r="T310" s="278"/>
      <c r="U310" s="245"/>
    </row>
    <row r="311" spans="4:21" ht="47.25">
      <c r="D311" s="294" t="s">
        <v>614</v>
      </c>
      <c r="E311" s="261" t="s">
        <v>414</v>
      </c>
      <c r="F311" s="246">
        <v>1</v>
      </c>
      <c r="G311" s="245">
        <v>15.3</v>
      </c>
      <c r="H311" s="245"/>
      <c r="I311" s="245"/>
      <c r="J311" s="245">
        <v>4.9000000000000004</v>
      </c>
      <c r="K311" s="245">
        <v>2.6</v>
      </c>
      <c r="L311" s="245">
        <v>22.3</v>
      </c>
      <c r="M311" s="315"/>
      <c r="N311" s="245">
        <v>57</v>
      </c>
      <c r="O311" s="245"/>
      <c r="P311" s="245"/>
      <c r="Q311" s="245"/>
      <c r="R311" s="245"/>
      <c r="S311" s="245">
        <f t="shared" si="2"/>
        <v>57</v>
      </c>
      <c r="T311" s="278"/>
      <c r="U311" s="245"/>
    </row>
    <row r="312" spans="4:21" ht="31.5" customHeight="1">
      <c r="D312" s="294" t="s">
        <v>615</v>
      </c>
      <c r="E312" s="261" t="s">
        <v>415</v>
      </c>
      <c r="F312" s="246">
        <v>1</v>
      </c>
      <c r="G312" s="245">
        <v>47.9</v>
      </c>
      <c r="H312" s="245"/>
      <c r="I312" s="245"/>
      <c r="J312" s="245">
        <v>15.4</v>
      </c>
      <c r="K312" s="245">
        <v>8</v>
      </c>
      <c r="L312" s="245">
        <v>10.3</v>
      </c>
      <c r="M312" s="315"/>
      <c r="N312" s="245">
        <v>82.6</v>
      </c>
      <c r="O312" s="245"/>
      <c r="P312" s="245"/>
      <c r="Q312" s="245"/>
      <c r="R312" s="245"/>
      <c r="S312" s="245">
        <f t="shared" si="2"/>
        <v>82.6</v>
      </c>
      <c r="T312" s="278"/>
      <c r="U312" s="245"/>
    </row>
    <row r="313" spans="4:21" ht="47.25">
      <c r="D313" s="294" t="s">
        <v>616</v>
      </c>
      <c r="E313" s="261" t="s">
        <v>416</v>
      </c>
      <c r="F313" s="246">
        <v>1</v>
      </c>
      <c r="G313" s="245">
        <v>13.8</v>
      </c>
      <c r="H313" s="245"/>
      <c r="I313" s="245"/>
      <c r="J313" s="245">
        <v>4.5</v>
      </c>
      <c r="K313" s="245">
        <v>2.2999999999999998</v>
      </c>
      <c r="L313" s="245">
        <v>14.8</v>
      </c>
      <c r="M313" s="315"/>
      <c r="N313" s="245">
        <v>34.200000000000003</v>
      </c>
      <c r="O313" s="245"/>
      <c r="P313" s="245"/>
      <c r="Q313" s="245"/>
      <c r="R313" s="245"/>
      <c r="S313" s="245">
        <f t="shared" si="2"/>
        <v>34.200000000000003</v>
      </c>
      <c r="T313" s="278"/>
      <c r="U313" s="245"/>
    </row>
    <row r="314" spans="4:21" ht="47.25">
      <c r="D314" s="294" t="s">
        <v>617</v>
      </c>
      <c r="E314" s="261" t="s">
        <v>419</v>
      </c>
      <c r="F314" s="246">
        <v>1</v>
      </c>
      <c r="G314" s="245">
        <v>13.8</v>
      </c>
      <c r="H314" s="245"/>
      <c r="I314" s="245"/>
      <c r="J314" s="245">
        <v>4.5</v>
      </c>
      <c r="K314" s="245">
        <v>2.2999999999999998</v>
      </c>
      <c r="L314" s="245">
        <v>14.8</v>
      </c>
      <c r="M314" s="315"/>
      <c r="N314" s="245">
        <v>34.200000000000003</v>
      </c>
      <c r="O314" s="245"/>
      <c r="P314" s="245"/>
      <c r="Q314" s="245"/>
      <c r="R314" s="245"/>
      <c r="S314" s="245">
        <f t="shared" si="2"/>
        <v>34.200000000000003</v>
      </c>
      <c r="T314" s="278"/>
      <c r="U314" s="245"/>
    </row>
    <row r="315" spans="4:21" ht="47.25">
      <c r="D315" s="294" t="s">
        <v>618</v>
      </c>
      <c r="E315" s="261" t="s">
        <v>421</v>
      </c>
      <c r="F315" s="246">
        <v>1</v>
      </c>
      <c r="G315" s="245">
        <v>24.5</v>
      </c>
      <c r="H315" s="245"/>
      <c r="I315" s="245"/>
      <c r="J315" s="245">
        <v>7.9</v>
      </c>
      <c r="K315" s="245">
        <v>4.0999999999999996</v>
      </c>
      <c r="L315" s="245">
        <v>18.8</v>
      </c>
      <c r="M315" s="315"/>
      <c r="N315" s="245">
        <v>76.900000000000006</v>
      </c>
      <c r="O315" s="245"/>
      <c r="P315" s="245"/>
      <c r="Q315" s="245"/>
      <c r="R315" s="245"/>
      <c r="S315" s="245">
        <f t="shared" si="2"/>
        <v>76.900000000000006</v>
      </c>
      <c r="T315" s="278"/>
      <c r="U315" s="245"/>
    </row>
    <row r="316" spans="4:21" ht="47.25">
      <c r="D316" s="294" t="s">
        <v>619</v>
      </c>
      <c r="E316" s="261" t="s">
        <v>421</v>
      </c>
      <c r="F316" s="246">
        <v>1</v>
      </c>
      <c r="G316" s="245">
        <v>24.5</v>
      </c>
      <c r="H316" s="245"/>
      <c r="I316" s="245"/>
      <c r="J316" s="245">
        <v>7.9</v>
      </c>
      <c r="K316" s="245">
        <v>4.0999999999999996</v>
      </c>
      <c r="L316" s="245">
        <v>18.8</v>
      </c>
      <c r="M316" s="315"/>
      <c r="N316" s="245">
        <v>76.900000000000006</v>
      </c>
      <c r="O316" s="245"/>
      <c r="P316" s="245"/>
      <c r="Q316" s="245"/>
      <c r="R316" s="245"/>
      <c r="S316" s="245">
        <f t="shared" si="2"/>
        <v>76.900000000000006</v>
      </c>
      <c r="T316" s="278"/>
      <c r="U316" s="245"/>
    </row>
    <row r="317" spans="4:21" ht="47.25">
      <c r="D317" s="294" t="s">
        <v>620</v>
      </c>
      <c r="E317" s="261" t="s">
        <v>422</v>
      </c>
      <c r="F317" s="246">
        <v>1</v>
      </c>
      <c r="G317" s="245">
        <v>13.9</v>
      </c>
      <c r="H317" s="245"/>
      <c r="I317" s="245"/>
      <c r="J317" s="245">
        <v>4.5</v>
      </c>
      <c r="K317" s="245">
        <v>2.2999999999999998</v>
      </c>
      <c r="L317" s="245">
        <v>14.7</v>
      </c>
      <c r="M317" s="315"/>
      <c r="N317" s="245">
        <v>34.200000000000003</v>
      </c>
      <c r="O317" s="245"/>
      <c r="P317" s="245"/>
      <c r="Q317" s="245"/>
      <c r="R317" s="245"/>
      <c r="S317" s="245">
        <f t="shared" si="2"/>
        <v>34.200000000000003</v>
      </c>
      <c r="T317" s="278"/>
      <c r="U317" s="245"/>
    </row>
    <row r="318" spans="4:21" ht="47.25">
      <c r="D318" s="294" t="s">
        <v>621</v>
      </c>
      <c r="E318" s="261" t="s">
        <v>422</v>
      </c>
      <c r="F318" s="246">
        <v>1</v>
      </c>
      <c r="G318" s="245">
        <v>13.9</v>
      </c>
      <c r="H318" s="245"/>
      <c r="I318" s="245"/>
      <c r="J318" s="245">
        <v>4.5</v>
      </c>
      <c r="K318" s="245">
        <v>2.2999999999999998</v>
      </c>
      <c r="L318" s="245">
        <v>14.7</v>
      </c>
      <c r="M318" s="315"/>
      <c r="N318" s="245">
        <v>34.200000000000003</v>
      </c>
      <c r="O318" s="245"/>
      <c r="P318" s="245"/>
      <c r="Q318" s="245"/>
      <c r="R318" s="245"/>
      <c r="S318" s="245">
        <f t="shared" si="2"/>
        <v>34.200000000000003</v>
      </c>
      <c r="T318" s="278"/>
      <c r="U318" s="245"/>
    </row>
    <row r="319" spans="4:21" ht="31.5" customHeight="1">
      <c r="D319" s="294" t="s">
        <v>622</v>
      </c>
      <c r="E319" s="261" t="s">
        <v>423</v>
      </c>
      <c r="F319" s="246">
        <v>1</v>
      </c>
      <c r="G319" s="245">
        <v>21.7</v>
      </c>
      <c r="H319" s="245"/>
      <c r="I319" s="245"/>
      <c r="J319" s="245">
        <v>7</v>
      </c>
      <c r="K319" s="245">
        <v>3.6</v>
      </c>
      <c r="L319" s="245">
        <v>10.199999999999999</v>
      </c>
      <c r="M319" s="315"/>
      <c r="N319" s="245">
        <v>37.1</v>
      </c>
      <c r="O319" s="245"/>
      <c r="P319" s="245"/>
      <c r="Q319" s="245"/>
      <c r="R319" s="245"/>
      <c r="S319" s="245">
        <f t="shared" si="2"/>
        <v>37.1</v>
      </c>
      <c r="T319" s="278"/>
      <c r="U319" s="245"/>
    </row>
    <row r="320" spans="4:21" ht="47.25">
      <c r="D320" s="294" t="s">
        <v>623</v>
      </c>
      <c r="E320" s="261" t="s">
        <v>424</v>
      </c>
      <c r="F320" s="246">
        <v>1</v>
      </c>
      <c r="G320" s="245">
        <v>13.8</v>
      </c>
      <c r="H320" s="245"/>
      <c r="I320" s="245"/>
      <c r="J320" s="245">
        <v>4.5</v>
      </c>
      <c r="K320" s="245">
        <v>2.2999999999999998</v>
      </c>
      <c r="L320" s="245">
        <v>14.8</v>
      </c>
      <c r="M320" s="315"/>
      <c r="N320" s="245">
        <v>34.200000000000003</v>
      </c>
      <c r="O320" s="245"/>
      <c r="P320" s="245"/>
      <c r="Q320" s="245"/>
      <c r="R320" s="245"/>
      <c r="S320" s="245">
        <f t="shared" si="2"/>
        <v>34.200000000000003</v>
      </c>
      <c r="T320" s="278"/>
      <c r="U320" s="245"/>
    </row>
    <row r="321" spans="4:21" ht="47.25">
      <c r="D321" s="294" t="s">
        <v>624</v>
      </c>
      <c r="E321" s="261" t="s">
        <v>424</v>
      </c>
      <c r="F321" s="246">
        <v>1</v>
      </c>
      <c r="G321" s="245">
        <v>13.8</v>
      </c>
      <c r="H321" s="245"/>
      <c r="I321" s="245"/>
      <c r="J321" s="245">
        <v>4.5</v>
      </c>
      <c r="K321" s="245">
        <v>2.2999999999999998</v>
      </c>
      <c r="L321" s="245">
        <v>14.8</v>
      </c>
      <c r="M321" s="315"/>
      <c r="N321" s="245">
        <v>34.200000000000003</v>
      </c>
      <c r="O321" s="245"/>
      <c r="P321" s="245"/>
      <c r="Q321" s="245"/>
      <c r="R321" s="245"/>
      <c r="S321" s="245">
        <f t="shared" si="2"/>
        <v>34.200000000000003</v>
      </c>
      <c r="T321" s="278"/>
      <c r="U321" s="245"/>
    </row>
    <row r="322" spans="4:21" ht="47.25">
      <c r="D322" s="294" t="s">
        <v>625</v>
      </c>
      <c r="E322" s="261" t="s">
        <v>424</v>
      </c>
      <c r="F322" s="246">
        <v>1</v>
      </c>
      <c r="G322" s="245">
        <v>13.8</v>
      </c>
      <c r="H322" s="245"/>
      <c r="I322" s="245"/>
      <c r="J322" s="245">
        <v>4.5</v>
      </c>
      <c r="K322" s="245">
        <v>2.2999999999999998</v>
      </c>
      <c r="L322" s="245">
        <v>14.8</v>
      </c>
      <c r="M322" s="315"/>
      <c r="N322" s="245">
        <v>34.200000000000003</v>
      </c>
      <c r="O322" s="245"/>
      <c r="P322" s="245"/>
      <c r="Q322" s="245"/>
      <c r="R322" s="245"/>
      <c r="S322" s="245">
        <f t="shared" si="2"/>
        <v>34.200000000000003</v>
      </c>
      <c r="T322" s="278"/>
      <c r="U322" s="245"/>
    </row>
    <row r="323" spans="4:21" ht="47.25">
      <c r="D323" s="294" t="s">
        <v>626</v>
      </c>
      <c r="E323" s="261" t="s">
        <v>425</v>
      </c>
      <c r="F323" s="246">
        <v>1</v>
      </c>
      <c r="G323" s="245">
        <v>47.9</v>
      </c>
      <c r="H323" s="245"/>
      <c r="I323" s="245"/>
      <c r="J323" s="245">
        <v>15.4</v>
      </c>
      <c r="K323" s="245">
        <v>8</v>
      </c>
      <c r="L323" s="245">
        <v>10.3</v>
      </c>
      <c r="M323" s="315"/>
      <c r="N323" s="245">
        <v>82.6</v>
      </c>
      <c r="O323" s="245"/>
      <c r="P323" s="245"/>
      <c r="Q323" s="245"/>
      <c r="R323" s="245"/>
      <c r="S323" s="245">
        <f t="shared" si="2"/>
        <v>82.6</v>
      </c>
      <c r="T323" s="278"/>
      <c r="U323" s="245"/>
    </row>
    <row r="324" spans="4:21" ht="47.25">
      <c r="D324" s="294" t="s">
        <v>627</v>
      </c>
      <c r="E324" s="261" t="s">
        <v>426</v>
      </c>
      <c r="F324" s="246">
        <v>1</v>
      </c>
      <c r="G324" s="245">
        <v>13.8</v>
      </c>
      <c r="H324" s="245"/>
      <c r="I324" s="245"/>
      <c r="J324" s="245">
        <v>4.5</v>
      </c>
      <c r="K324" s="245">
        <v>2.2999999999999998</v>
      </c>
      <c r="L324" s="245">
        <v>14.8</v>
      </c>
      <c r="M324" s="315"/>
      <c r="N324" s="245">
        <v>34.200000000000003</v>
      </c>
      <c r="O324" s="245"/>
      <c r="P324" s="245"/>
      <c r="Q324" s="245"/>
      <c r="R324" s="245"/>
      <c r="S324" s="245">
        <f t="shared" si="2"/>
        <v>34.200000000000003</v>
      </c>
      <c r="T324" s="278"/>
      <c r="U324" s="245"/>
    </row>
    <row r="325" spans="4:21" ht="47.25">
      <c r="D325" s="294" t="s">
        <v>628</v>
      </c>
      <c r="E325" s="261" t="s">
        <v>427</v>
      </c>
      <c r="F325" s="246">
        <v>1</v>
      </c>
      <c r="G325" s="245">
        <v>13.8</v>
      </c>
      <c r="H325" s="245"/>
      <c r="I325" s="245"/>
      <c r="J325" s="245">
        <v>4.5</v>
      </c>
      <c r="K325" s="245">
        <v>2.2999999999999998</v>
      </c>
      <c r="L325" s="245">
        <v>14.8</v>
      </c>
      <c r="M325" s="315"/>
      <c r="N325" s="245">
        <v>34.200000000000003</v>
      </c>
      <c r="O325" s="245"/>
      <c r="P325" s="245"/>
      <c r="Q325" s="245"/>
      <c r="R325" s="245"/>
      <c r="S325" s="245">
        <f t="shared" si="2"/>
        <v>34.200000000000003</v>
      </c>
      <c r="T325" s="278"/>
      <c r="U325" s="245"/>
    </row>
    <row r="326" spans="4:21" ht="47.25">
      <c r="D326" s="294" t="s">
        <v>629</v>
      </c>
      <c r="E326" s="261" t="s">
        <v>428</v>
      </c>
      <c r="F326" s="246">
        <v>1</v>
      </c>
      <c r="G326" s="245">
        <v>15.3</v>
      </c>
      <c r="H326" s="245"/>
      <c r="I326" s="245"/>
      <c r="J326" s="245">
        <v>4.9000000000000004</v>
      </c>
      <c r="K326" s="245">
        <v>2.6</v>
      </c>
      <c r="L326" s="245">
        <v>22.3</v>
      </c>
      <c r="M326" s="315"/>
      <c r="N326" s="245">
        <v>57</v>
      </c>
      <c r="O326" s="245"/>
      <c r="P326" s="245"/>
      <c r="Q326" s="245"/>
      <c r="R326" s="245"/>
      <c r="S326" s="245">
        <f t="shared" si="2"/>
        <v>57</v>
      </c>
      <c r="T326" s="278"/>
      <c r="U326" s="245"/>
    </row>
    <row r="327" spans="4:21" ht="47.25">
      <c r="D327" s="294" t="s">
        <v>630</v>
      </c>
      <c r="E327" s="261" t="s">
        <v>430</v>
      </c>
      <c r="F327" s="246">
        <v>1</v>
      </c>
      <c r="G327" s="245">
        <v>13.8</v>
      </c>
      <c r="H327" s="245"/>
      <c r="I327" s="245"/>
      <c r="J327" s="245">
        <v>4.5</v>
      </c>
      <c r="K327" s="245">
        <v>2.2999999999999998</v>
      </c>
      <c r="L327" s="245">
        <v>14.8</v>
      </c>
      <c r="M327" s="315"/>
      <c r="N327" s="245">
        <v>34.200000000000003</v>
      </c>
      <c r="O327" s="245"/>
      <c r="P327" s="245"/>
      <c r="Q327" s="245"/>
      <c r="R327" s="245"/>
      <c r="S327" s="245">
        <f t="shared" si="2"/>
        <v>34.200000000000003</v>
      </c>
      <c r="T327" s="278"/>
      <c r="U327" s="245"/>
    </row>
    <row r="328" spans="4:21" ht="47.25">
      <c r="D328" s="294" t="s">
        <v>631</v>
      </c>
      <c r="E328" s="261" t="s">
        <v>431</v>
      </c>
      <c r="F328" s="246">
        <v>1</v>
      </c>
      <c r="G328" s="245">
        <v>24.5</v>
      </c>
      <c r="H328" s="245"/>
      <c r="I328" s="245"/>
      <c r="J328" s="245">
        <v>7.9</v>
      </c>
      <c r="K328" s="245">
        <v>4.0999999999999996</v>
      </c>
      <c r="L328" s="245">
        <v>18.8</v>
      </c>
      <c r="M328" s="315"/>
      <c r="N328" s="245">
        <v>76.900000000000006</v>
      </c>
      <c r="O328" s="245"/>
      <c r="P328" s="245"/>
      <c r="Q328" s="245"/>
      <c r="R328" s="245"/>
      <c r="S328" s="245">
        <f t="shared" si="2"/>
        <v>76.900000000000006</v>
      </c>
      <c r="T328" s="278"/>
      <c r="U328" s="245"/>
    </row>
    <row r="329" spans="4:21" ht="47.25">
      <c r="D329" s="294" t="s">
        <v>632</v>
      </c>
      <c r="E329" s="261" t="s">
        <v>432</v>
      </c>
      <c r="F329" s="246">
        <v>1</v>
      </c>
      <c r="G329" s="245">
        <v>47.9</v>
      </c>
      <c r="H329" s="245"/>
      <c r="I329" s="245"/>
      <c r="J329" s="245">
        <v>15.4</v>
      </c>
      <c r="K329" s="245">
        <v>8</v>
      </c>
      <c r="L329" s="245">
        <v>10.3</v>
      </c>
      <c r="M329" s="315"/>
      <c r="N329" s="245">
        <v>82.6</v>
      </c>
      <c r="O329" s="245"/>
      <c r="P329" s="245"/>
      <c r="Q329" s="245"/>
      <c r="R329" s="245"/>
      <c r="S329" s="245">
        <f t="shared" si="2"/>
        <v>82.6</v>
      </c>
      <c r="T329" s="278"/>
      <c r="U329" s="245"/>
    </row>
    <row r="330" spans="4:21" ht="47.25">
      <c r="D330" s="294" t="s">
        <v>633</v>
      </c>
      <c r="E330" s="261" t="s">
        <v>433</v>
      </c>
      <c r="F330" s="246">
        <v>1</v>
      </c>
      <c r="G330" s="245">
        <v>13.8</v>
      </c>
      <c r="H330" s="245"/>
      <c r="I330" s="245"/>
      <c r="J330" s="245">
        <v>4.5</v>
      </c>
      <c r="K330" s="245">
        <v>2.2999999999999998</v>
      </c>
      <c r="L330" s="245">
        <v>14.8</v>
      </c>
      <c r="M330" s="315"/>
      <c r="N330" s="245">
        <v>34.200000000000003</v>
      </c>
      <c r="O330" s="245"/>
      <c r="P330" s="245"/>
      <c r="Q330" s="245"/>
      <c r="R330" s="245"/>
      <c r="S330" s="245">
        <f t="shared" si="2"/>
        <v>34.200000000000003</v>
      </c>
      <c r="T330" s="278"/>
      <c r="U330" s="245"/>
    </row>
    <row r="331" spans="4:21" ht="47.25">
      <c r="D331" s="294" t="s">
        <v>634</v>
      </c>
      <c r="E331" s="261" t="s">
        <v>433</v>
      </c>
      <c r="F331" s="246">
        <v>1</v>
      </c>
      <c r="G331" s="245">
        <v>13.8</v>
      </c>
      <c r="H331" s="245"/>
      <c r="I331" s="245"/>
      <c r="J331" s="245">
        <v>4.5</v>
      </c>
      <c r="K331" s="245">
        <v>2.2999999999999998</v>
      </c>
      <c r="L331" s="245">
        <v>14.8</v>
      </c>
      <c r="M331" s="315"/>
      <c r="N331" s="245">
        <v>34.200000000000003</v>
      </c>
      <c r="O331" s="245"/>
      <c r="P331" s="245"/>
      <c r="Q331" s="245"/>
      <c r="R331" s="245"/>
      <c r="S331" s="245">
        <f t="shared" si="2"/>
        <v>34.200000000000003</v>
      </c>
      <c r="T331" s="278"/>
      <c r="U331" s="245"/>
    </row>
    <row r="332" spans="4:21" ht="31.5" customHeight="1">
      <c r="D332" s="294" t="s">
        <v>635</v>
      </c>
      <c r="E332" s="261" t="s">
        <v>434</v>
      </c>
      <c r="F332" s="246">
        <v>1</v>
      </c>
      <c r="G332" s="245">
        <v>47.9</v>
      </c>
      <c r="H332" s="245"/>
      <c r="I332" s="245"/>
      <c r="J332" s="245">
        <v>15.4</v>
      </c>
      <c r="K332" s="245">
        <v>8</v>
      </c>
      <c r="L332" s="245">
        <v>10.3</v>
      </c>
      <c r="M332" s="315"/>
      <c r="N332" s="245">
        <v>82.6</v>
      </c>
      <c r="O332" s="245"/>
      <c r="P332" s="245"/>
      <c r="Q332" s="245"/>
      <c r="R332" s="245"/>
      <c r="S332" s="245">
        <f t="shared" si="2"/>
        <v>82.6</v>
      </c>
      <c r="T332" s="278"/>
      <c r="U332" s="245"/>
    </row>
    <row r="333" spans="4:21" ht="47.25">
      <c r="D333" s="294" t="s">
        <v>636</v>
      </c>
      <c r="E333" s="261" t="s">
        <v>435</v>
      </c>
      <c r="F333" s="246">
        <v>1</v>
      </c>
      <c r="G333" s="245">
        <v>13.8</v>
      </c>
      <c r="H333" s="245"/>
      <c r="I333" s="245"/>
      <c r="J333" s="245">
        <v>4.5</v>
      </c>
      <c r="K333" s="245">
        <v>2.2999999999999998</v>
      </c>
      <c r="L333" s="245">
        <v>14.8</v>
      </c>
      <c r="M333" s="315"/>
      <c r="N333" s="245">
        <v>34.200000000000003</v>
      </c>
      <c r="O333" s="245"/>
      <c r="P333" s="245"/>
      <c r="Q333" s="245"/>
      <c r="R333" s="245"/>
      <c r="S333" s="245">
        <f t="shared" si="2"/>
        <v>34.200000000000003</v>
      </c>
      <c r="T333" s="278"/>
      <c r="U333" s="245"/>
    </row>
    <row r="334" spans="4:21" ht="47.25">
      <c r="D334" s="294" t="s">
        <v>637</v>
      </c>
      <c r="E334" s="261" t="s">
        <v>493</v>
      </c>
      <c r="F334" s="246">
        <v>1</v>
      </c>
      <c r="G334" s="245">
        <v>24.5</v>
      </c>
      <c r="H334" s="245"/>
      <c r="I334" s="245"/>
      <c r="J334" s="245">
        <v>7.9</v>
      </c>
      <c r="K334" s="245">
        <v>4.0999999999999996</v>
      </c>
      <c r="L334" s="245">
        <v>18.8</v>
      </c>
      <c r="M334" s="315"/>
      <c r="N334" s="245">
        <v>76.900000000000006</v>
      </c>
      <c r="O334" s="245"/>
      <c r="P334" s="245"/>
      <c r="Q334" s="245"/>
      <c r="R334" s="245"/>
      <c r="S334" s="245">
        <f t="shared" si="2"/>
        <v>76.900000000000006</v>
      </c>
      <c r="T334" s="278"/>
      <c r="U334" s="245"/>
    </row>
    <row r="335" spans="4:21" ht="47.25">
      <c r="D335" s="294" t="s">
        <v>638</v>
      </c>
      <c r="E335" s="261" t="s">
        <v>436</v>
      </c>
      <c r="F335" s="246">
        <v>1</v>
      </c>
      <c r="G335" s="245">
        <v>24.5</v>
      </c>
      <c r="H335" s="245"/>
      <c r="I335" s="245"/>
      <c r="J335" s="245">
        <v>7.9</v>
      </c>
      <c r="K335" s="245">
        <v>4.0999999999999996</v>
      </c>
      <c r="L335" s="245">
        <v>18.8</v>
      </c>
      <c r="M335" s="315"/>
      <c r="N335" s="245">
        <v>76.900000000000006</v>
      </c>
      <c r="O335" s="245"/>
      <c r="P335" s="245"/>
      <c r="Q335" s="245"/>
      <c r="R335" s="245"/>
      <c r="S335" s="245">
        <f t="shared" si="2"/>
        <v>76.900000000000006</v>
      </c>
      <c r="T335" s="278"/>
      <c r="U335" s="245"/>
    </row>
    <row r="336" spans="4:21" ht="47.25">
      <c r="D336" s="294" t="s">
        <v>639</v>
      </c>
      <c r="E336" s="261" t="s">
        <v>437</v>
      </c>
      <c r="F336" s="246">
        <v>1</v>
      </c>
      <c r="G336" s="245">
        <v>24.5</v>
      </c>
      <c r="H336" s="245"/>
      <c r="I336" s="245"/>
      <c r="J336" s="245">
        <v>7.9</v>
      </c>
      <c r="K336" s="245">
        <v>4.0999999999999996</v>
      </c>
      <c r="L336" s="245">
        <v>18.8</v>
      </c>
      <c r="M336" s="315"/>
      <c r="N336" s="245">
        <v>76.900000000000006</v>
      </c>
      <c r="O336" s="245"/>
      <c r="P336" s="245"/>
      <c r="Q336" s="245"/>
      <c r="R336" s="245"/>
      <c r="S336" s="245">
        <f t="shared" si="2"/>
        <v>76.900000000000006</v>
      </c>
      <c r="T336" s="278"/>
      <c r="U336" s="245"/>
    </row>
    <row r="337" spans="4:21" ht="47.25">
      <c r="D337" s="294" t="s">
        <v>640</v>
      </c>
      <c r="E337" s="261" t="s">
        <v>440</v>
      </c>
      <c r="F337" s="246">
        <v>1</v>
      </c>
      <c r="G337" s="245">
        <v>47.9</v>
      </c>
      <c r="H337" s="245"/>
      <c r="I337" s="245"/>
      <c r="J337" s="245">
        <v>15.4</v>
      </c>
      <c r="K337" s="245">
        <v>8</v>
      </c>
      <c r="L337" s="245">
        <v>10.3</v>
      </c>
      <c r="M337" s="315"/>
      <c r="N337" s="245">
        <v>82.6</v>
      </c>
      <c r="O337" s="245"/>
      <c r="P337" s="245"/>
      <c r="Q337" s="245"/>
      <c r="R337" s="245"/>
      <c r="S337" s="245">
        <f t="shared" si="2"/>
        <v>82.6</v>
      </c>
      <c r="T337" s="278"/>
      <c r="U337" s="245"/>
    </row>
    <row r="338" spans="4:21" ht="47.25">
      <c r="D338" s="294" t="s">
        <v>641</v>
      </c>
      <c r="E338" s="261" t="s">
        <v>441</v>
      </c>
      <c r="F338" s="246">
        <v>1</v>
      </c>
      <c r="G338" s="245">
        <v>24.5</v>
      </c>
      <c r="H338" s="245"/>
      <c r="I338" s="245"/>
      <c r="J338" s="245">
        <v>7.9</v>
      </c>
      <c r="K338" s="245">
        <v>4.0999999999999996</v>
      </c>
      <c r="L338" s="245">
        <v>18.8</v>
      </c>
      <c r="M338" s="315"/>
      <c r="N338" s="245">
        <v>76.900000000000006</v>
      </c>
      <c r="O338" s="245"/>
      <c r="P338" s="245"/>
      <c r="Q338" s="245"/>
      <c r="R338" s="245"/>
      <c r="S338" s="245">
        <f t="shared" si="2"/>
        <v>76.900000000000006</v>
      </c>
      <c r="T338" s="278"/>
      <c r="U338" s="245"/>
    </row>
    <row r="339" spans="4:21" ht="47.25">
      <c r="D339" s="294" t="s">
        <v>642</v>
      </c>
      <c r="E339" s="261" t="s">
        <v>442</v>
      </c>
      <c r="F339" s="246">
        <v>1</v>
      </c>
      <c r="G339" s="245">
        <v>13.8</v>
      </c>
      <c r="H339" s="245"/>
      <c r="I339" s="245"/>
      <c r="J339" s="245">
        <v>4.5</v>
      </c>
      <c r="K339" s="245">
        <v>2.2999999999999998</v>
      </c>
      <c r="L339" s="245">
        <v>14.8</v>
      </c>
      <c r="M339" s="315"/>
      <c r="N339" s="245">
        <v>34.200000000000003</v>
      </c>
      <c r="O339" s="245"/>
      <c r="P339" s="245"/>
      <c r="Q339" s="245"/>
      <c r="R339" s="245"/>
      <c r="S339" s="245">
        <f t="shared" si="2"/>
        <v>34.200000000000003</v>
      </c>
      <c r="T339" s="278"/>
      <c r="U339" s="245"/>
    </row>
    <row r="340" spans="4:21" ht="47.25">
      <c r="D340" s="294" t="s">
        <v>643</v>
      </c>
      <c r="E340" s="261" t="s">
        <v>442</v>
      </c>
      <c r="F340" s="246">
        <v>1</v>
      </c>
      <c r="G340" s="245">
        <v>13.8</v>
      </c>
      <c r="H340" s="245"/>
      <c r="I340" s="245"/>
      <c r="J340" s="245">
        <v>4.5</v>
      </c>
      <c r="K340" s="245">
        <v>2.2999999999999998</v>
      </c>
      <c r="L340" s="245">
        <v>14.8</v>
      </c>
      <c r="M340" s="315"/>
      <c r="N340" s="245">
        <v>34.200000000000003</v>
      </c>
      <c r="O340" s="245"/>
      <c r="P340" s="245"/>
      <c r="Q340" s="245"/>
      <c r="R340" s="245"/>
      <c r="S340" s="245">
        <f t="shared" si="2"/>
        <v>34.200000000000003</v>
      </c>
      <c r="T340" s="278"/>
      <c r="U340" s="245"/>
    </row>
    <row r="341" spans="4:21" ht="31.5" customHeight="1">
      <c r="D341" s="294" t="s">
        <v>644</v>
      </c>
      <c r="E341" s="261" t="s">
        <v>445</v>
      </c>
      <c r="F341" s="246">
        <v>1</v>
      </c>
      <c r="G341" s="245">
        <v>47.9</v>
      </c>
      <c r="H341" s="245"/>
      <c r="I341" s="245"/>
      <c r="J341" s="245">
        <v>15.4</v>
      </c>
      <c r="K341" s="245">
        <v>8</v>
      </c>
      <c r="L341" s="245">
        <v>10.3</v>
      </c>
      <c r="M341" s="315"/>
      <c r="N341" s="245">
        <v>82.6</v>
      </c>
      <c r="O341" s="245"/>
      <c r="P341" s="245"/>
      <c r="Q341" s="245"/>
      <c r="R341" s="245"/>
      <c r="S341" s="245">
        <f t="shared" si="2"/>
        <v>82.6</v>
      </c>
      <c r="T341" s="278"/>
      <c r="U341" s="245"/>
    </row>
    <row r="342" spans="4:21" ht="47.25">
      <c r="D342" s="294" t="s">
        <v>645</v>
      </c>
      <c r="E342" s="261" t="s">
        <v>446</v>
      </c>
      <c r="F342" s="246">
        <v>1</v>
      </c>
      <c r="G342" s="245">
        <v>13.8</v>
      </c>
      <c r="H342" s="245"/>
      <c r="I342" s="245"/>
      <c r="J342" s="245">
        <v>4.5</v>
      </c>
      <c r="K342" s="245">
        <v>2.2999999999999998</v>
      </c>
      <c r="L342" s="245">
        <v>14.8</v>
      </c>
      <c r="M342" s="315"/>
      <c r="N342" s="245">
        <v>34.200000000000003</v>
      </c>
      <c r="O342" s="245"/>
      <c r="P342" s="245"/>
      <c r="Q342" s="245"/>
      <c r="R342" s="245"/>
      <c r="S342" s="245">
        <f t="shared" si="2"/>
        <v>34.200000000000003</v>
      </c>
      <c r="T342" s="278"/>
      <c r="U342" s="245"/>
    </row>
    <row r="343" spans="4:21" ht="47.25">
      <c r="D343" s="294" t="s">
        <v>646</v>
      </c>
      <c r="E343" s="261" t="s">
        <v>448</v>
      </c>
      <c r="F343" s="246">
        <v>1</v>
      </c>
      <c r="G343" s="245">
        <v>13.9</v>
      </c>
      <c r="H343" s="245"/>
      <c r="I343" s="245"/>
      <c r="J343" s="245">
        <v>4.5</v>
      </c>
      <c r="K343" s="245">
        <v>2.2999999999999998</v>
      </c>
      <c r="L343" s="245">
        <v>14.7</v>
      </c>
      <c r="M343" s="315"/>
      <c r="N343" s="245">
        <v>34.200000000000003</v>
      </c>
      <c r="O343" s="245"/>
      <c r="P343" s="245"/>
      <c r="Q343" s="245"/>
      <c r="R343" s="245"/>
      <c r="S343" s="245">
        <f t="shared" si="2"/>
        <v>34.200000000000003</v>
      </c>
      <c r="T343" s="278"/>
      <c r="U343" s="245"/>
    </row>
    <row r="344" spans="4:21" ht="47.25">
      <c r="D344" s="294" t="s">
        <v>647</v>
      </c>
      <c r="E344" s="261" t="s">
        <v>447</v>
      </c>
      <c r="F344" s="246">
        <v>1</v>
      </c>
      <c r="G344" s="245">
        <v>47.9</v>
      </c>
      <c r="H344" s="245"/>
      <c r="I344" s="245"/>
      <c r="J344" s="245">
        <v>15.4</v>
      </c>
      <c r="K344" s="245">
        <v>8</v>
      </c>
      <c r="L344" s="245">
        <v>10.3</v>
      </c>
      <c r="M344" s="315"/>
      <c r="N344" s="245">
        <v>82.6</v>
      </c>
      <c r="O344" s="245"/>
      <c r="P344" s="245"/>
      <c r="Q344" s="245"/>
      <c r="R344" s="245"/>
      <c r="S344" s="245">
        <f t="shared" si="2"/>
        <v>82.6</v>
      </c>
      <c r="T344" s="278"/>
      <c r="U344" s="245"/>
    </row>
    <row r="345" spans="4:21" ht="47.25">
      <c r="D345" s="294" t="s">
        <v>648</v>
      </c>
      <c r="E345" s="261" t="s">
        <v>449</v>
      </c>
      <c r="F345" s="246">
        <v>1</v>
      </c>
      <c r="G345" s="245">
        <v>47.9</v>
      </c>
      <c r="H345" s="245"/>
      <c r="I345" s="245"/>
      <c r="J345" s="245">
        <v>15.4</v>
      </c>
      <c r="K345" s="245">
        <v>8</v>
      </c>
      <c r="L345" s="245">
        <v>10.3</v>
      </c>
      <c r="M345" s="315"/>
      <c r="N345" s="245">
        <v>82.6</v>
      </c>
      <c r="O345" s="245"/>
      <c r="P345" s="245"/>
      <c r="Q345" s="245"/>
      <c r="R345" s="245"/>
      <c r="S345" s="245">
        <f t="shared" si="2"/>
        <v>82.6</v>
      </c>
      <c r="T345" s="278"/>
      <c r="U345" s="245"/>
    </row>
    <row r="346" spans="4:21" ht="47.25">
      <c r="D346" s="294" t="s">
        <v>649</v>
      </c>
      <c r="E346" s="261" t="s">
        <v>450</v>
      </c>
      <c r="F346" s="246">
        <v>1</v>
      </c>
      <c r="G346" s="245">
        <v>13.8</v>
      </c>
      <c r="H346" s="245"/>
      <c r="I346" s="245"/>
      <c r="J346" s="245">
        <v>4.5</v>
      </c>
      <c r="K346" s="245">
        <v>2.2999999999999998</v>
      </c>
      <c r="L346" s="245">
        <v>14.8</v>
      </c>
      <c r="M346" s="315"/>
      <c r="N346" s="245">
        <v>34.200000000000003</v>
      </c>
      <c r="O346" s="245"/>
      <c r="P346" s="245"/>
      <c r="Q346" s="245"/>
      <c r="R346" s="245"/>
      <c r="S346" s="245">
        <f t="shared" si="2"/>
        <v>34.200000000000003</v>
      </c>
      <c r="T346" s="278"/>
      <c r="U346" s="245"/>
    </row>
    <row r="347" spans="4:21" ht="47.25">
      <c r="D347" s="294" t="s">
        <v>650</v>
      </c>
      <c r="E347" s="261" t="s">
        <v>450</v>
      </c>
      <c r="F347" s="246">
        <v>1</v>
      </c>
      <c r="G347" s="245">
        <v>13.8</v>
      </c>
      <c r="H347" s="245"/>
      <c r="I347" s="245"/>
      <c r="J347" s="245">
        <v>4.5</v>
      </c>
      <c r="K347" s="245">
        <v>2.2999999999999998</v>
      </c>
      <c r="L347" s="245">
        <v>14.8</v>
      </c>
      <c r="M347" s="315"/>
      <c r="N347" s="245">
        <v>34.200000000000003</v>
      </c>
      <c r="O347" s="245"/>
      <c r="P347" s="245"/>
      <c r="Q347" s="245"/>
      <c r="R347" s="245"/>
      <c r="S347" s="245">
        <f t="shared" si="2"/>
        <v>34.200000000000003</v>
      </c>
      <c r="T347" s="278"/>
      <c r="U347" s="245"/>
    </row>
    <row r="348" spans="4:21" ht="47.25">
      <c r="D348" s="294" t="s">
        <v>651</v>
      </c>
      <c r="E348" s="261" t="s">
        <v>452</v>
      </c>
      <c r="F348" s="246">
        <v>1</v>
      </c>
      <c r="G348" s="245">
        <v>15.3</v>
      </c>
      <c r="H348" s="245"/>
      <c r="I348" s="245"/>
      <c r="J348" s="245">
        <v>4.9000000000000004</v>
      </c>
      <c r="K348" s="245">
        <v>2.6</v>
      </c>
      <c r="L348" s="245">
        <v>22.3</v>
      </c>
      <c r="M348" s="315"/>
      <c r="N348" s="245">
        <v>57</v>
      </c>
      <c r="O348" s="245"/>
      <c r="P348" s="245"/>
      <c r="Q348" s="245"/>
      <c r="R348" s="245"/>
      <c r="S348" s="245">
        <f t="shared" si="2"/>
        <v>57</v>
      </c>
      <c r="T348" s="278"/>
      <c r="U348" s="245"/>
    </row>
    <row r="349" spans="4:21" ht="47.25">
      <c r="D349" s="294" t="s">
        <v>652</v>
      </c>
      <c r="E349" s="261" t="s">
        <v>452</v>
      </c>
      <c r="F349" s="246">
        <v>1</v>
      </c>
      <c r="G349" s="245">
        <v>15.3</v>
      </c>
      <c r="H349" s="245"/>
      <c r="I349" s="245"/>
      <c r="J349" s="245">
        <v>4.9000000000000004</v>
      </c>
      <c r="K349" s="245">
        <v>2.6</v>
      </c>
      <c r="L349" s="245">
        <v>22.3</v>
      </c>
      <c r="M349" s="315"/>
      <c r="N349" s="245">
        <v>57</v>
      </c>
      <c r="O349" s="245"/>
      <c r="P349" s="245"/>
      <c r="Q349" s="245"/>
      <c r="R349" s="245"/>
      <c r="S349" s="245">
        <f t="shared" si="2"/>
        <v>57</v>
      </c>
      <c r="T349" s="278"/>
      <c r="U349" s="245"/>
    </row>
    <row r="350" spans="4:21" ht="47.25">
      <c r="D350" s="294" t="s">
        <v>653</v>
      </c>
      <c r="E350" s="261" t="s">
        <v>454</v>
      </c>
      <c r="F350" s="246">
        <v>1</v>
      </c>
      <c r="G350" s="245">
        <v>12.2</v>
      </c>
      <c r="H350" s="245"/>
      <c r="I350" s="245"/>
      <c r="J350" s="245">
        <v>3.9</v>
      </c>
      <c r="K350" s="245">
        <v>2</v>
      </c>
      <c r="L350" s="245">
        <v>15.4</v>
      </c>
      <c r="M350" s="315"/>
      <c r="N350" s="245">
        <v>31.3</v>
      </c>
      <c r="O350" s="245"/>
      <c r="P350" s="245"/>
      <c r="Q350" s="245"/>
      <c r="R350" s="245"/>
      <c r="S350" s="245">
        <f t="shared" si="2"/>
        <v>31.3</v>
      </c>
      <c r="T350" s="278"/>
      <c r="U350" s="245"/>
    </row>
    <row r="351" spans="4:21" ht="47.25">
      <c r="D351" s="294" t="s">
        <v>654</v>
      </c>
      <c r="E351" s="261" t="s">
        <v>452</v>
      </c>
      <c r="F351" s="246">
        <v>1</v>
      </c>
      <c r="G351" s="245">
        <v>15.3</v>
      </c>
      <c r="H351" s="245"/>
      <c r="I351" s="245"/>
      <c r="J351" s="245">
        <v>4.9000000000000004</v>
      </c>
      <c r="K351" s="245">
        <v>2.6</v>
      </c>
      <c r="L351" s="245">
        <v>22.3</v>
      </c>
      <c r="M351" s="315"/>
      <c r="N351" s="245">
        <v>57</v>
      </c>
      <c r="O351" s="245"/>
      <c r="P351" s="245"/>
      <c r="Q351" s="245"/>
      <c r="R351" s="245"/>
      <c r="S351" s="245">
        <f t="shared" si="2"/>
        <v>57</v>
      </c>
      <c r="T351" s="278"/>
      <c r="U351" s="245"/>
    </row>
    <row r="352" spans="4:21" ht="47.25">
      <c r="D352" s="294" t="s">
        <v>655</v>
      </c>
      <c r="E352" s="261" t="s">
        <v>455</v>
      </c>
      <c r="F352" s="246">
        <v>1</v>
      </c>
      <c r="G352" s="245">
        <v>24.5</v>
      </c>
      <c r="H352" s="245"/>
      <c r="I352" s="245"/>
      <c r="J352" s="245">
        <v>7.9</v>
      </c>
      <c r="K352" s="245">
        <v>4.0999999999999996</v>
      </c>
      <c r="L352" s="245">
        <v>18.8</v>
      </c>
      <c r="M352" s="315"/>
      <c r="N352" s="245">
        <v>76.900000000000006</v>
      </c>
      <c r="O352" s="245"/>
      <c r="P352" s="245"/>
      <c r="Q352" s="245"/>
      <c r="R352" s="245"/>
      <c r="S352" s="245">
        <f t="shared" si="2"/>
        <v>76.900000000000006</v>
      </c>
      <c r="T352" s="278"/>
      <c r="U352" s="245"/>
    </row>
    <row r="353" spans="4:21" ht="47.25">
      <c r="D353" s="294" t="s">
        <v>656</v>
      </c>
      <c r="E353" s="261" t="s">
        <v>458</v>
      </c>
      <c r="F353" s="246">
        <v>1</v>
      </c>
      <c r="G353" s="245">
        <v>15.3</v>
      </c>
      <c r="H353" s="245"/>
      <c r="I353" s="245"/>
      <c r="J353" s="245">
        <v>4.9000000000000004</v>
      </c>
      <c r="K353" s="245">
        <v>2.6</v>
      </c>
      <c r="L353" s="245">
        <v>22.3</v>
      </c>
      <c r="M353" s="315"/>
      <c r="N353" s="245">
        <v>57</v>
      </c>
      <c r="O353" s="245"/>
      <c r="P353" s="245"/>
      <c r="Q353" s="245"/>
      <c r="R353" s="245"/>
      <c r="S353" s="245">
        <f t="shared" si="2"/>
        <v>57</v>
      </c>
      <c r="T353" s="278"/>
      <c r="U353" s="245"/>
    </row>
    <row r="354" spans="4:21" ht="47.25">
      <c r="D354" s="294" t="s">
        <v>657</v>
      </c>
      <c r="E354" s="261" t="s">
        <v>459</v>
      </c>
      <c r="F354" s="246">
        <v>1</v>
      </c>
      <c r="G354" s="245">
        <v>7</v>
      </c>
      <c r="H354" s="245"/>
      <c r="I354" s="245"/>
      <c r="J354" s="245">
        <v>2.2000000000000002</v>
      </c>
      <c r="K354" s="245">
        <v>1.2</v>
      </c>
      <c r="L354" s="245">
        <v>34.299999999999997</v>
      </c>
      <c r="M354" s="315"/>
      <c r="N354" s="245">
        <v>39.9</v>
      </c>
      <c r="O354" s="245"/>
      <c r="P354" s="245"/>
      <c r="Q354" s="245"/>
      <c r="R354" s="245"/>
      <c r="S354" s="245">
        <f t="shared" si="2"/>
        <v>39.9</v>
      </c>
      <c r="T354" s="278"/>
      <c r="U354" s="245"/>
    </row>
    <row r="355" spans="4:21" ht="47.25">
      <c r="D355" s="294" t="s">
        <v>658</v>
      </c>
      <c r="E355" s="261" t="s">
        <v>460</v>
      </c>
      <c r="F355" s="246">
        <v>1</v>
      </c>
      <c r="G355" s="245">
        <v>15.3</v>
      </c>
      <c r="H355" s="245"/>
      <c r="I355" s="245"/>
      <c r="J355" s="245">
        <v>4.9000000000000004</v>
      </c>
      <c r="K355" s="245">
        <v>2.6</v>
      </c>
      <c r="L355" s="245">
        <v>22.3</v>
      </c>
      <c r="M355" s="315"/>
      <c r="N355" s="245">
        <v>57</v>
      </c>
      <c r="O355" s="245"/>
      <c r="P355" s="245"/>
      <c r="Q355" s="245"/>
      <c r="R355" s="245"/>
      <c r="S355" s="245">
        <f t="shared" si="2"/>
        <v>57</v>
      </c>
      <c r="T355" s="278"/>
      <c r="U355" s="245"/>
    </row>
    <row r="356" spans="4:21" ht="47.25">
      <c r="D356" s="294" t="s">
        <v>659</v>
      </c>
      <c r="E356" s="261" t="s">
        <v>460</v>
      </c>
      <c r="F356" s="246">
        <v>1</v>
      </c>
      <c r="G356" s="245">
        <v>15.3</v>
      </c>
      <c r="H356" s="245"/>
      <c r="I356" s="245"/>
      <c r="J356" s="245">
        <v>4.9000000000000004</v>
      </c>
      <c r="K356" s="245">
        <v>2.6</v>
      </c>
      <c r="L356" s="245">
        <v>22.3</v>
      </c>
      <c r="M356" s="315"/>
      <c r="N356" s="245">
        <v>57</v>
      </c>
      <c r="O356" s="245"/>
      <c r="P356" s="245"/>
      <c r="Q356" s="245"/>
      <c r="R356" s="245"/>
      <c r="S356" s="245">
        <f t="shared" si="2"/>
        <v>57</v>
      </c>
      <c r="T356" s="278"/>
      <c r="U356" s="245"/>
    </row>
    <row r="357" spans="4:21" ht="47.25">
      <c r="D357" s="294" t="s">
        <v>660</v>
      </c>
      <c r="E357" s="261" t="s">
        <v>460</v>
      </c>
      <c r="F357" s="246">
        <v>1</v>
      </c>
      <c r="G357" s="245">
        <v>15.3</v>
      </c>
      <c r="H357" s="245"/>
      <c r="I357" s="245"/>
      <c r="J357" s="245">
        <v>4.9000000000000004</v>
      </c>
      <c r="K357" s="245">
        <v>2.6</v>
      </c>
      <c r="L357" s="245">
        <v>22.3</v>
      </c>
      <c r="M357" s="315"/>
      <c r="N357" s="245">
        <v>57</v>
      </c>
      <c r="O357" s="245"/>
      <c r="P357" s="245"/>
      <c r="Q357" s="245"/>
      <c r="R357" s="245"/>
      <c r="S357" s="245">
        <f t="shared" si="2"/>
        <v>57</v>
      </c>
      <c r="T357" s="278"/>
      <c r="U357" s="245"/>
    </row>
    <row r="358" spans="4:21" ht="47.25">
      <c r="D358" s="294" t="s">
        <v>661</v>
      </c>
      <c r="E358" s="261" t="s">
        <v>460</v>
      </c>
      <c r="F358" s="246">
        <v>1</v>
      </c>
      <c r="G358" s="245">
        <v>15.3</v>
      </c>
      <c r="H358" s="245"/>
      <c r="I358" s="245"/>
      <c r="J358" s="245">
        <v>4.9000000000000004</v>
      </c>
      <c r="K358" s="245">
        <v>2.6</v>
      </c>
      <c r="L358" s="245">
        <v>22.3</v>
      </c>
      <c r="M358" s="315"/>
      <c r="N358" s="245">
        <v>57</v>
      </c>
      <c r="O358" s="245"/>
      <c r="P358" s="245"/>
      <c r="Q358" s="245"/>
      <c r="R358" s="245"/>
      <c r="S358" s="245">
        <f t="shared" si="2"/>
        <v>57</v>
      </c>
      <c r="T358" s="278"/>
      <c r="U358" s="245"/>
    </row>
    <row r="359" spans="4:21" ht="47.25">
      <c r="D359" s="294" t="s">
        <v>662</v>
      </c>
      <c r="E359" s="261" t="s">
        <v>461</v>
      </c>
      <c r="F359" s="246">
        <v>1</v>
      </c>
      <c r="G359" s="245">
        <v>47.9</v>
      </c>
      <c r="H359" s="245"/>
      <c r="I359" s="245"/>
      <c r="J359" s="245">
        <v>15.4</v>
      </c>
      <c r="K359" s="245">
        <v>8</v>
      </c>
      <c r="L359" s="245">
        <v>10.3</v>
      </c>
      <c r="M359" s="315"/>
      <c r="N359" s="245">
        <v>82.6</v>
      </c>
      <c r="O359" s="245"/>
      <c r="P359" s="245"/>
      <c r="Q359" s="245"/>
      <c r="R359" s="245"/>
      <c r="S359" s="245">
        <f t="shared" si="2"/>
        <v>82.6</v>
      </c>
      <c r="T359" s="278"/>
      <c r="U359" s="245"/>
    </row>
    <row r="360" spans="4:21" ht="47.25">
      <c r="D360" s="294" t="s">
        <v>663</v>
      </c>
      <c r="E360" s="261" t="s">
        <v>462</v>
      </c>
      <c r="F360" s="246">
        <v>1</v>
      </c>
      <c r="G360" s="245">
        <v>19.600000000000001</v>
      </c>
      <c r="H360" s="245"/>
      <c r="I360" s="245"/>
      <c r="J360" s="245">
        <v>6.3</v>
      </c>
      <c r="K360" s="245">
        <v>3.3</v>
      </c>
      <c r="L360" s="245">
        <v>10.4</v>
      </c>
      <c r="M360" s="315"/>
      <c r="N360" s="245">
        <v>34.200000000000003</v>
      </c>
      <c r="O360" s="245"/>
      <c r="P360" s="245"/>
      <c r="Q360" s="245"/>
      <c r="R360" s="245"/>
      <c r="S360" s="245">
        <f t="shared" si="2"/>
        <v>34.200000000000003</v>
      </c>
      <c r="T360" s="278"/>
      <c r="U360" s="245"/>
    </row>
    <row r="361" spans="4:21" ht="47.25">
      <c r="D361" s="294" t="s">
        <v>664</v>
      </c>
      <c r="E361" s="261" t="s">
        <v>462</v>
      </c>
      <c r="F361" s="246">
        <v>1</v>
      </c>
      <c r="G361" s="245">
        <v>19.600000000000001</v>
      </c>
      <c r="H361" s="245"/>
      <c r="I361" s="245"/>
      <c r="J361" s="245">
        <v>6.3</v>
      </c>
      <c r="K361" s="245">
        <v>3.3</v>
      </c>
      <c r="L361" s="245">
        <v>10.4</v>
      </c>
      <c r="M361" s="315"/>
      <c r="N361" s="245">
        <v>34.200000000000003</v>
      </c>
      <c r="O361" s="245"/>
      <c r="P361" s="245"/>
      <c r="Q361" s="245"/>
      <c r="R361" s="245"/>
      <c r="S361" s="245">
        <f t="shared" si="2"/>
        <v>34.200000000000003</v>
      </c>
      <c r="T361" s="278"/>
      <c r="U361" s="245"/>
    </row>
    <row r="362" spans="4:21" ht="47.25">
      <c r="D362" s="294" t="s">
        <v>665</v>
      </c>
      <c r="E362" s="261" t="s">
        <v>462</v>
      </c>
      <c r="F362" s="246">
        <v>1</v>
      </c>
      <c r="G362" s="245">
        <v>19.600000000000001</v>
      </c>
      <c r="H362" s="245"/>
      <c r="I362" s="245"/>
      <c r="J362" s="245">
        <v>6.3</v>
      </c>
      <c r="K362" s="245">
        <v>3.3</v>
      </c>
      <c r="L362" s="245">
        <v>10.4</v>
      </c>
      <c r="M362" s="315"/>
      <c r="N362" s="245">
        <v>34.200000000000003</v>
      </c>
      <c r="O362" s="245"/>
      <c r="P362" s="245"/>
      <c r="Q362" s="245"/>
      <c r="R362" s="245"/>
      <c r="S362" s="245">
        <f t="shared" si="2"/>
        <v>34.200000000000003</v>
      </c>
      <c r="T362" s="278"/>
      <c r="U362" s="245"/>
    </row>
    <row r="363" spans="4:21" ht="31.5" customHeight="1">
      <c r="D363" s="294" t="s">
        <v>666</v>
      </c>
      <c r="E363" s="261" t="s">
        <v>463</v>
      </c>
      <c r="F363" s="246">
        <v>1</v>
      </c>
      <c r="G363" s="245">
        <v>47.9</v>
      </c>
      <c r="H363" s="245"/>
      <c r="I363" s="245"/>
      <c r="J363" s="245">
        <v>15.4</v>
      </c>
      <c r="K363" s="245">
        <v>8</v>
      </c>
      <c r="L363" s="245">
        <v>10.3</v>
      </c>
      <c r="M363" s="315"/>
      <c r="N363" s="245">
        <v>82.6</v>
      </c>
      <c r="O363" s="245"/>
      <c r="P363" s="245"/>
      <c r="Q363" s="245"/>
      <c r="R363" s="245"/>
      <c r="S363" s="245">
        <f t="shared" si="2"/>
        <v>82.6</v>
      </c>
      <c r="T363" s="278"/>
      <c r="U363" s="245"/>
    </row>
    <row r="364" spans="4:21" ht="31.5" customHeight="1">
      <c r="D364" s="294" t="s">
        <v>667</v>
      </c>
      <c r="E364" s="261" t="s">
        <v>465</v>
      </c>
      <c r="F364" s="246">
        <v>1</v>
      </c>
      <c r="G364" s="245">
        <v>47.9</v>
      </c>
      <c r="H364" s="245"/>
      <c r="I364" s="245"/>
      <c r="J364" s="245">
        <v>15.4</v>
      </c>
      <c r="K364" s="245">
        <v>8</v>
      </c>
      <c r="L364" s="245">
        <v>10.3</v>
      </c>
      <c r="M364" s="315"/>
      <c r="N364" s="245">
        <v>82.6</v>
      </c>
      <c r="O364" s="245"/>
      <c r="P364" s="245"/>
      <c r="Q364" s="245"/>
      <c r="R364" s="245"/>
      <c r="S364" s="245">
        <f t="shared" si="2"/>
        <v>82.6</v>
      </c>
      <c r="T364" s="278"/>
      <c r="U364" s="245"/>
    </row>
    <row r="365" spans="4:21" ht="47.25">
      <c r="D365" s="294" t="s">
        <v>668</v>
      </c>
      <c r="E365" s="261" t="s">
        <v>467</v>
      </c>
      <c r="F365" s="246">
        <v>1</v>
      </c>
      <c r="G365" s="245">
        <v>24.5</v>
      </c>
      <c r="H365" s="245"/>
      <c r="I365" s="245"/>
      <c r="J365" s="245">
        <v>7.9</v>
      </c>
      <c r="K365" s="245">
        <v>4.0999999999999996</v>
      </c>
      <c r="L365" s="245">
        <v>18.8</v>
      </c>
      <c r="M365" s="315"/>
      <c r="N365" s="245">
        <v>76.900000000000006</v>
      </c>
      <c r="O365" s="245"/>
      <c r="P365" s="245"/>
      <c r="Q365" s="245"/>
      <c r="R365" s="245"/>
      <c r="S365" s="245">
        <f t="shared" si="2"/>
        <v>76.900000000000006</v>
      </c>
      <c r="T365" s="278"/>
      <c r="U365" s="245"/>
    </row>
    <row r="366" spans="4:21" ht="47.25">
      <c r="D366" s="294" t="s">
        <v>669</v>
      </c>
      <c r="E366" s="261" t="s">
        <v>468</v>
      </c>
      <c r="F366" s="246">
        <v>1</v>
      </c>
      <c r="G366" s="245">
        <v>13.8</v>
      </c>
      <c r="H366" s="245"/>
      <c r="I366" s="245"/>
      <c r="J366" s="245">
        <v>4.5</v>
      </c>
      <c r="K366" s="245">
        <v>2.2999999999999998</v>
      </c>
      <c r="L366" s="245">
        <v>14.8</v>
      </c>
      <c r="M366" s="315"/>
      <c r="N366" s="245">
        <v>34.200000000000003</v>
      </c>
      <c r="O366" s="245"/>
      <c r="P366" s="245"/>
      <c r="Q366" s="245"/>
      <c r="R366" s="245"/>
      <c r="S366" s="245">
        <f t="shared" si="2"/>
        <v>34.200000000000003</v>
      </c>
      <c r="T366" s="278"/>
      <c r="U366" s="245"/>
    </row>
    <row r="367" spans="4:21" ht="47.25">
      <c r="D367" s="294" t="s">
        <v>670</v>
      </c>
      <c r="E367" s="261" t="s">
        <v>470</v>
      </c>
      <c r="F367" s="246">
        <v>1</v>
      </c>
      <c r="G367" s="245">
        <v>15.3</v>
      </c>
      <c r="H367" s="245"/>
      <c r="I367" s="245"/>
      <c r="J367" s="245">
        <v>4.9000000000000004</v>
      </c>
      <c r="K367" s="245">
        <v>2.6</v>
      </c>
      <c r="L367" s="245">
        <v>22.3</v>
      </c>
      <c r="M367" s="315"/>
      <c r="N367" s="245">
        <v>57</v>
      </c>
      <c r="O367" s="245"/>
      <c r="P367" s="245"/>
      <c r="Q367" s="245"/>
      <c r="R367" s="245"/>
      <c r="S367" s="245">
        <f t="shared" si="2"/>
        <v>57</v>
      </c>
      <c r="T367" s="278"/>
      <c r="U367" s="245"/>
    </row>
    <row r="368" spans="4:21" ht="47.25">
      <c r="D368" s="294" t="s">
        <v>671</v>
      </c>
      <c r="E368" s="261" t="s">
        <v>470</v>
      </c>
      <c r="F368" s="246">
        <v>1</v>
      </c>
      <c r="G368" s="245">
        <v>15.3</v>
      </c>
      <c r="H368" s="245"/>
      <c r="I368" s="245"/>
      <c r="J368" s="245">
        <v>4.9000000000000004</v>
      </c>
      <c r="K368" s="245">
        <v>2.6</v>
      </c>
      <c r="L368" s="245">
        <v>22.3</v>
      </c>
      <c r="M368" s="315"/>
      <c r="N368" s="245">
        <v>57</v>
      </c>
      <c r="O368" s="245"/>
      <c r="P368" s="245"/>
      <c r="Q368" s="245"/>
      <c r="R368" s="245"/>
      <c r="S368" s="245">
        <f t="shared" si="2"/>
        <v>57</v>
      </c>
      <c r="T368" s="278"/>
      <c r="U368" s="245"/>
    </row>
    <row r="369" spans="4:21" ht="47.25">
      <c r="D369" s="294" t="s">
        <v>672</v>
      </c>
      <c r="E369" s="261" t="s">
        <v>471</v>
      </c>
      <c r="F369" s="246">
        <v>1</v>
      </c>
      <c r="G369" s="245">
        <v>47.9</v>
      </c>
      <c r="H369" s="245"/>
      <c r="I369" s="245"/>
      <c r="J369" s="245">
        <v>15.4</v>
      </c>
      <c r="K369" s="245">
        <v>8</v>
      </c>
      <c r="L369" s="245">
        <v>10.3</v>
      </c>
      <c r="M369" s="315"/>
      <c r="N369" s="245">
        <v>82.6</v>
      </c>
      <c r="O369" s="245"/>
      <c r="P369" s="245"/>
      <c r="Q369" s="245"/>
      <c r="R369" s="245"/>
      <c r="S369" s="245">
        <f t="shared" si="2"/>
        <v>82.6</v>
      </c>
      <c r="T369" s="278"/>
      <c r="U369" s="245"/>
    </row>
    <row r="370" spans="4:21" ht="47.25">
      <c r="D370" s="294" t="s">
        <v>673</v>
      </c>
      <c r="E370" s="261" t="s">
        <v>472</v>
      </c>
      <c r="F370" s="246">
        <v>1</v>
      </c>
      <c r="G370" s="245">
        <v>7</v>
      </c>
      <c r="H370" s="245"/>
      <c r="I370" s="245"/>
      <c r="J370" s="245">
        <v>2.2000000000000002</v>
      </c>
      <c r="K370" s="245">
        <v>1.2</v>
      </c>
      <c r="L370" s="245">
        <v>34.299999999999997</v>
      </c>
      <c r="M370" s="315"/>
      <c r="N370" s="245">
        <v>39.9</v>
      </c>
      <c r="O370" s="245"/>
      <c r="P370" s="245"/>
      <c r="Q370" s="245"/>
      <c r="R370" s="245"/>
      <c r="S370" s="245">
        <f t="shared" si="2"/>
        <v>39.9</v>
      </c>
      <c r="T370" s="278"/>
      <c r="U370" s="245"/>
    </row>
    <row r="371" spans="4:21" ht="31.5" customHeight="1">
      <c r="D371" s="294" t="s">
        <v>674</v>
      </c>
      <c r="E371" s="261" t="s">
        <v>473</v>
      </c>
      <c r="F371" s="246">
        <v>1</v>
      </c>
      <c r="G371" s="245">
        <v>47.9</v>
      </c>
      <c r="H371" s="245"/>
      <c r="I371" s="245"/>
      <c r="J371" s="245">
        <v>15.4</v>
      </c>
      <c r="K371" s="245">
        <v>8</v>
      </c>
      <c r="L371" s="245">
        <v>10.3</v>
      </c>
      <c r="M371" s="315"/>
      <c r="N371" s="245">
        <v>82.6</v>
      </c>
      <c r="O371" s="245"/>
      <c r="P371" s="245"/>
      <c r="Q371" s="245"/>
      <c r="R371" s="245"/>
      <c r="S371" s="245">
        <f t="shared" si="2"/>
        <v>82.6</v>
      </c>
      <c r="T371" s="278"/>
      <c r="U371" s="245"/>
    </row>
    <row r="372" spans="4:21" ht="31.5" customHeight="1">
      <c r="D372" s="294" t="s">
        <v>675</v>
      </c>
      <c r="E372" s="261" t="s">
        <v>473</v>
      </c>
      <c r="F372" s="246">
        <v>1</v>
      </c>
      <c r="G372" s="245">
        <v>47.9</v>
      </c>
      <c r="H372" s="245"/>
      <c r="I372" s="245"/>
      <c r="J372" s="245">
        <v>15.4</v>
      </c>
      <c r="K372" s="245">
        <v>8</v>
      </c>
      <c r="L372" s="245">
        <v>10.3</v>
      </c>
      <c r="M372" s="315"/>
      <c r="N372" s="245">
        <v>82.6</v>
      </c>
      <c r="O372" s="245"/>
      <c r="P372" s="245"/>
      <c r="Q372" s="245"/>
      <c r="R372" s="245"/>
      <c r="S372" s="245">
        <f t="shared" si="2"/>
        <v>82.6</v>
      </c>
      <c r="T372" s="278"/>
      <c r="U372" s="245"/>
    </row>
    <row r="373" spans="4:21" ht="47.25">
      <c r="D373" s="294" t="s">
        <v>676</v>
      </c>
      <c r="E373" s="261" t="s">
        <v>476</v>
      </c>
      <c r="F373" s="246">
        <v>1</v>
      </c>
      <c r="G373" s="245">
        <v>13.8</v>
      </c>
      <c r="H373" s="245"/>
      <c r="I373" s="245"/>
      <c r="J373" s="245">
        <v>4.5</v>
      </c>
      <c r="K373" s="245">
        <v>2.2999999999999998</v>
      </c>
      <c r="L373" s="245">
        <v>14.8</v>
      </c>
      <c r="M373" s="315"/>
      <c r="N373" s="245">
        <v>34.200000000000003</v>
      </c>
      <c r="O373" s="245"/>
      <c r="P373" s="245"/>
      <c r="Q373" s="245"/>
      <c r="R373" s="245"/>
      <c r="S373" s="245">
        <f t="shared" si="2"/>
        <v>34.200000000000003</v>
      </c>
      <c r="T373" s="278"/>
      <c r="U373" s="245"/>
    </row>
    <row r="374" spans="4:21" ht="47.25">
      <c r="D374" s="294" t="s">
        <v>677</v>
      </c>
      <c r="E374" s="261" t="s">
        <v>478</v>
      </c>
      <c r="F374" s="246">
        <v>1</v>
      </c>
      <c r="G374" s="245">
        <v>24.5</v>
      </c>
      <c r="H374" s="245"/>
      <c r="I374" s="245"/>
      <c r="J374" s="245">
        <v>7.9</v>
      </c>
      <c r="K374" s="245">
        <v>4.0999999999999996</v>
      </c>
      <c r="L374" s="245">
        <v>18.8</v>
      </c>
      <c r="M374" s="315"/>
      <c r="N374" s="245">
        <v>76.900000000000006</v>
      </c>
      <c r="O374" s="245"/>
      <c r="P374" s="245"/>
      <c r="Q374" s="245"/>
      <c r="R374" s="245"/>
      <c r="S374" s="245">
        <f t="shared" si="2"/>
        <v>76.900000000000006</v>
      </c>
      <c r="T374" s="278"/>
      <c r="U374" s="245"/>
    </row>
    <row r="375" spans="4:21" ht="47.25">
      <c r="D375" s="294" t="s">
        <v>678</v>
      </c>
      <c r="E375" s="261" t="s">
        <v>480</v>
      </c>
      <c r="F375" s="246">
        <v>1</v>
      </c>
      <c r="G375" s="245">
        <v>13.8</v>
      </c>
      <c r="H375" s="245"/>
      <c r="I375" s="245"/>
      <c r="J375" s="245">
        <v>4.5</v>
      </c>
      <c r="K375" s="245">
        <v>2.2999999999999998</v>
      </c>
      <c r="L375" s="245">
        <v>14.8</v>
      </c>
      <c r="M375" s="315"/>
      <c r="N375" s="245">
        <v>34.200000000000003</v>
      </c>
      <c r="O375" s="245"/>
      <c r="P375" s="245"/>
      <c r="Q375" s="245"/>
      <c r="R375" s="245"/>
      <c r="S375" s="245">
        <f t="shared" si="2"/>
        <v>34.200000000000003</v>
      </c>
      <c r="T375" s="278"/>
      <c r="U375" s="245"/>
    </row>
    <row r="376" spans="4:21" ht="47.25">
      <c r="D376" s="294" t="s">
        <v>679</v>
      </c>
      <c r="E376" s="261" t="s">
        <v>480</v>
      </c>
      <c r="F376" s="246">
        <v>1</v>
      </c>
      <c r="G376" s="245">
        <v>13.8</v>
      </c>
      <c r="H376" s="245"/>
      <c r="I376" s="245"/>
      <c r="J376" s="245">
        <v>4.5</v>
      </c>
      <c r="K376" s="245">
        <v>2.2999999999999998</v>
      </c>
      <c r="L376" s="245">
        <v>14.8</v>
      </c>
      <c r="M376" s="315"/>
      <c r="N376" s="245">
        <v>34.200000000000003</v>
      </c>
      <c r="O376" s="245"/>
      <c r="P376" s="245"/>
      <c r="Q376" s="245"/>
      <c r="R376" s="245"/>
      <c r="S376" s="245">
        <f t="shared" si="2"/>
        <v>34.200000000000003</v>
      </c>
      <c r="T376" s="278"/>
      <c r="U376" s="245"/>
    </row>
    <row r="377" spans="4:21" ht="47.25">
      <c r="D377" s="294" t="s">
        <v>680</v>
      </c>
      <c r="E377" s="261" t="s">
        <v>484</v>
      </c>
      <c r="F377" s="246">
        <v>1</v>
      </c>
      <c r="G377" s="245">
        <v>47.9</v>
      </c>
      <c r="H377" s="245"/>
      <c r="I377" s="245"/>
      <c r="J377" s="245">
        <v>15.4</v>
      </c>
      <c r="K377" s="245">
        <v>8</v>
      </c>
      <c r="L377" s="245">
        <v>10.3</v>
      </c>
      <c r="M377" s="315"/>
      <c r="N377" s="245">
        <v>82.6</v>
      </c>
      <c r="O377" s="245"/>
      <c r="P377" s="245"/>
      <c r="Q377" s="245"/>
      <c r="R377" s="245"/>
      <c r="S377" s="245">
        <f t="shared" si="2"/>
        <v>82.6</v>
      </c>
      <c r="T377" s="278"/>
      <c r="U377" s="245"/>
    </row>
    <row r="378" spans="4:21" ht="47.25">
      <c r="D378" s="294" t="s">
        <v>681</v>
      </c>
      <c r="E378" s="261" t="s">
        <v>485</v>
      </c>
      <c r="F378" s="246">
        <v>1</v>
      </c>
      <c r="G378" s="245">
        <v>13.8</v>
      </c>
      <c r="H378" s="245"/>
      <c r="I378" s="245"/>
      <c r="J378" s="245">
        <v>4.5</v>
      </c>
      <c r="K378" s="245">
        <v>2.2999999999999998</v>
      </c>
      <c r="L378" s="245">
        <v>14.8</v>
      </c>
      <c r="M378" s="315"/>
      <c r="N378" s="245">
        <v>34.200000000000003</v>
      </c>
      <c r="O378" s="245"/>
      <c r="P378" s="245"/>
      <c r="Q378" s="245"/>
      <c r="R378" s="245"/>
      <c r="S378" s="245">
        <f t="shared" si="2"/>
        <v>34.200000000000003</v>
      </c>
      <c r="T378" s="278"/>
      <c r="U378" s="245"/>
    </row>
    <row r="379" spans="4:21" ht="47.25">
      <c r="D379" s="294" t="s">
        <v>682</v>
      </c>
      <c r="E379" s="261" t="s">
        <v>487</v>
      </c>
      <c r="F379" s="246">
        <v>1</v>
      </c>
      <c r="G379" s="245">
        <v>13.8</v>
      </c>
      <c r="H379" s="245"/>
      <c r="I379" s="245"/>
      <c r="J379" s="245">
        <v>4.5</v>
      </c>
      <c r="K379" s="245">
        <v>2.2999999999999998</v>
      </c>
      <c r="L379" s="245">
        <v>14.8</v>
      </c>
      <c r="M379" s="315"/>
      <c r="N379" s="245">
        <v>34.200000000000003</v>
      </c>
      <c r="O379" s="245"/>
      <c r="P379" s="245"/>
      <c r="Q379" s="245"/>
      <c r="R379" s="245"/>
      <c r="S379" s="245">
        <f t="shared" si="2"/>
        <v>34.200000000000003</v>
      </c>
      <c r="T379" s="278"/>
      <c r="U379" s="245"/>
    </row>
    <row r="380" spans="4:21" ht="47.25">
      <c r="D380" s="294" t="s">
        <v>683</v>
      </c>
      <c r="E380" s="261" t="s">
        <v>489</v>
      </c>
      <c r="F380" s="246">
        <v>1</v>
      </c>
      <c r="G380" s="245">
        <v>19.600000000000001</v>
      </c>
      <c r="H380" s="245"/>
      <c r="I380" s="245"/>
      <c r="J380" s="245">
        <v>6.3</v>
      </c>
      <c r="K380" s="245">
        <v>3.3</v>
      </c>
      <c r="L380" s="245">
        <v>10.4</v>
      </c>
      <c r="M380" s="315"/>
      <c r="N380" s="245">
        <v>34.200000000000003</v>
      </c>
      <c r="O380" s="245"/>
      <c r="P380" s="245"/>
      <c r="Q380" s="245"/>
      <c r="R380" s="245"/>
      <c r="S380" s="245">
        <f t="shared" si="2"/>
        <v>34.200000000000003</v>
      </c>
      <c r="T380" s="278"/>
      <c r="U380" s="245"/>
    </row>
    <row r="381" spans="4:21" ht="47.25">
      <c r="D381" s="294" t="s">
        <v>684</v>
      </c>
      <c r="E381" s="261" t="s">
        <v>488</v>
      </c>
      <c r="F381" s="246">
        <v>1</v>
      </c>
      <c r="G381" s="245">
        <v>13.8</v>
      </c>
      <c r="H381" s="245"/>
      <c r="I381" s="245"/>
      <c r="J381" s="245">
        <v>4.5</v>
      </c>
      <c r="K381" s="245">
        <v>2.2999999999999998</v>
      </c>
      <c r="L381" s="245">
        <v>14.8</v>
      </c>
      <c r="M381" s="315"/>
      <c r="N381" s="245">
        <v>34.200000000000003</v>
      </c>
      <c r="O381" s="245"/>
      <c r="P381" s="245"/>
      <c r="Q381" s="245"/>
      <c r="R381" s="245"/>
      <c r="S381" s="245">
        <f t="shared" si="2"/>
        <v>34.200000000000003</v>
      </c>
      <c r="T381" s="278"/>
      <c r="U381" s="245"/>
    </row>
    <row r="382" spans="4:21" ht="47.25">
      <c r="D382" s="294" t="s">
        <v>685</v>
      </c>
      <c r="E382" s="261" t="s">
        <v>488</v>
      </c>
      <c r="F382" s="246">
        <v>1</v>
      </c>
      <c r="G382" s="245">
        <v>13.8</v>
      </c>
      <c r="H382" s="245"/>
      <c r="I382" s="245"/>
      <c r="J382" s="245">
        <v>4.5</v>
      </c>
      <c r="K382" s="245">
        <v>2.2999999999999998</v>
      </c>
      <c r="L382" s="245">
        <v>14.8</v>
      </c>
      <c r="M382" s="315"/>
      <c r="N382" s="245">
        <v>34.200000000000003</v>
      </c>
      <c r="O382" s="245"/>
      <c r="P382" s="245"/>
      <c r="Q382" s="245"/>
      <c r="R382" s="245"/>
      <c r="S382" s="245">
        <f t="shared" si="2"/>
        <v>34.200000000000003</v>
      </c>
      <c r="T382" s="278"/>
      <c r="U382" s="245"/>
    </row>
    <row r="383" spans="4:21" ht="47.25">
      <c r="D383" s="294" t="s">
        <v>686</v>
      </c>
      <c r="E383" s="261" t="s">
        <v>488</v>
      </c>
      <c r="F383" s="246">
        <v>1</v>
      </c>
      <c r="G383" s="245">
        <v>13.8</v>
      </c>
      <c r="H383" s="245"/>
      <c r="I383" s="245"/>
      <c r="J383" s="245">
        <v>4.5</v>
      </c>
      <c r="K383" s="245">
        <v>2.2999999999999998</v>
      </c>
      <c r="L383" s="245">
        <v>14.8</v>
      </c>
      <c r="M383" s="315"/>
      <c r="N383" s="245">
        <v>34.200000000000003</v>
      </c>
      <c r="O383" s="245"/>
      <c r="P383" s="245"/>
      <c r="Q383" s="245"/>
      <c r="R383" s="245"/>
      <c r="S383" s="245">
        <f t="shared" si="2"/>
        <v>34.200000000000003</v>
      </c>
      <c r="T383" s="278"/>
      <c r="U383" s="245"/>
    </row>
    <row r="384" spans="4:21" ht="31.5" customHeight="1">
      <c r="D384" s="294" t="s">
        <v>687</v>
      </c>
      <c r="E384" s="261" t="s">
        <v>491</v>
      </c>
      <c r="F384" s="246">
        <v>1</v>
      </c>
      <c r="G384" s="245">
        <v>47.9</v>
      </c>
      <c r="H384" s="245"/>
      <c r="I384" s="245"/>
      <c r="J384" s="245">
        <v>15.4</v>
      </c>
      <c r="K384" s="245">
        <v>8</v>
      </c>
      <c r="L384" s="245">
        <v>10.3</v>
      </c>
      <c r="M384" s="315"/>
      <c r="N384" s="245">
        <v>82.6</v>
      </c>
      <c r="O384" s="245"/>
      <c r="P384" s="245"/>
      <c r="Q384" s="245"/>
      <c r="R384" s="245"/>
      <c r="S384" s="245">
        <f t="shared" si="2"/>
        <v>82.6</v>
      </c>
      <c r="T384" s="278"/>
      <c r="U384" s="245"/>
    </row>
    <row r="385" spans="4:21" ht="47.25">
      <c r="D385" s="294" t="s">
        <v>688</v>
      </c>
      <c r="E385" s="261" t="s">
        <v>492</v>
      </c>
      <c r="F385" s="246">
        <v>1</v>
      </c>
      <c r="G385" s="245">
        <v>47.9</v>
      </c>
      <c r="H385" s="245"/>
      <c r="I385" s="245"/>
      <c r="J385" s="245">
        <v>15.4</v>
      </c>
      <c r="K385" s="245">
        <v>8</v>
      </c>
      <c r="L385" s="245">
        <v>10.3</v>
      </c>
      <c r="M385" s="315"/>
      <c r="N385" s="245">
        <v>82.6</v>
      </c>
      <c r="O385" s="245"/>
      <c r="P385" s="245"/>
      <c r="Q385" s="245"/>
      <c r="R385" s="245"/>
      <c r="S385" s="245">
        <f t="shared" si="2"/>
        <v>82.6</v>
      </c>
      <c r="T385" s="278"/>
      <c r="U385" s="245"/>
    </row>
    <row r="386" spans="4:21" ht="47.25">
      <c r="D386" s="294" t="s">
        <v>689</v>
      </c>
      <c r="E386" s="261" t="s">
        <v>495</v>
      </c>
      <c r="F386" s="246">
        <v>1</v>
      </c>
      <c r="G386" s="245">
        <v>13.8</v>
      </c>
      <c r="H386" s="245"/>
      <c r="I386" s="245"/>
      <c r="J386" s="245">
        <v>4.5</v>
      </c>
      <c r="K386" s="245">
        <v>2.2999999999999998</v>
      </c>
      <c r="L386" s="245">
        <v>14.8</v>
      </c>
      <c r="M386" s="315"/>
      <c r="N386" s="245">
        <v>34.200000000000003</v>
      </c>
      <c r="O386" s="245"/>
      <c r="P386" s="245"/>
      <c r="Q386" s="245"/>
      <c r="R386" s="245"/>
      <c r="S386" s="245">
        <f t="shared" si="2"/>
        <v>34.200000000000003</v>
      </c>
      <c r="T386" s="278"/>
      <c r="U386" s="245"/>
    </row>
    <row r="387" spans="4:21" ht="31.5" customHeight="1">
      <c r="D387" s="294" t="s">
        <v>690</v>
      </c>
      <c r="E387" s="261" t="s">
        <v>496</v>
      </c>
      <c r="F387" s="246">
        <v>1</v>
      </c>
      <c r="G387" s="245">
        <v>47.9</v>
      </c>
      <c r="H387" s="245"/>
      <c r="I387" s="245"/>
      <c r="J387" s="245">
        <v>15.4</v>
      </c>
      <c r="K387" s="245">
        <v>8</v>
      </c>
      <c r="L387" s="245">
        <v>10.3</v>
      </c>
      <c r="M387" s="315"/>
      <c r="N387" s="245">
        <v>82.6</v>
      </c>
      <c r="O387" s="245"/>
      <c r="P387" s="245"/>
      <c r="Q387" s="245"/>
      <c r="R387" s="245"/>
      <c r="S387" s="245">
        <f t="shared" si="2"/>
        <v>82.6</v>
      </c>
      <c r="T387" s="278"/>
      <c r="U387" s="245"/>
    </row>
    <row r="388" spans="4:21" ht="47.25">
      <c r="D388" s="294" t="s">
        <v>691</v>
      </c>
      <c r="E388" s="261" t="s">
        <v>497</v>
      </c>
      <c r="F388" s="246">
        <v>1</v>
      </c>
      <c r="G388" s="245">
        <v>15.3</v>
      </c>
      <c r="H388" s="245"/>
      <c r="I388" s="245"/>
      <c r="J388" s="245">
        <v>4.9000000000000004</v>
      </c>
      <c r="K388" s="245">
        <v>2.6</v>
      </c>
      <c r="L388" s="245">
        <v>22.3</v>
      </c>
      <c r="M388" s="315"/>
      <c r="N388" s="245">
        <v>57</v>
      </c>
      <c r="O388" s="245"/>
      <c r="P388" s="245"/>
      <c r="Q388" s="245"/>
      <c r="R388" s="245"/>
      <c r="S388" s="245">
        <f t="shared" si="2"/>
        <v>57</v>
      </c>
      <c r="T388" s="278"/>
      <c r="U388" s="245"/>
    </row>
    <row r="389" spans="4:21" ht="31.5" customHeight="1">
      <c r="D389" s="294" t="s">
        <v>692</v>
      </c>
      <c r="E389" s="261" t="s">
        <v>498</v>
      </c>
      <c r="F389" s="246">
        <v>1</v>
      </c>
      <c r="G389" s="245">
        <v>47.9</v>
      </c>
      <c r="H389" s="245"/>
      <c r="I389" s="245"/>
      <c r="J389" s="245">
        <v>15.4</v>
      </c>
      <c r="K389" s="245">
        <v>8</v>
      </c>
      <c r="L389" s="245">
        <v>10.3</v>
      </c>
      <c r="M389" s="315"/>
      <c r="N389" s="245">
        <v>82.6</v>
      </c>
      <c r="O389" s="245"/>
      <c r="P389" s="245"/>
      <c r="Q389" s="245"/>
      <c r="R389" s="245"/>
      <c r="S389" s="245">
        <f t="shared" si="2"/>
        <v>82.6</v>
      </c>
      <c r="T389" s="278"/>
      <c r="U389" s="245"/>
    </row>
    <row r="390" spans="4:21" ht="47.25">
      <c r="D390" s="294" t="s">
        <v>693</v>
      </c>
      <c r="E390" s="261" t="s">
        <v>497</v>
      </c>
      <c r="F390" s="246">
        <v>1</v>
      </c>
      <c r="G390" s="245">
        <v>15.3</v>
      </c>
      <c r="H390" s="245"/>
      <c r="I390" s="245"/>
      <c r="J390" s="245">
        <v>4.9000000000000004</v>
      </c>
      <c r="K390" s="245">
        <v>2.6</v>
      </c>
      <c r="L390" s="245">
        <v>22.3</v>
      </c>
      <c r="M390" s="315"/>
      <c r="N390" s="245">
        <v>57</v>
      </c>
      <c r="O390" s="245"/>
      <c r="P390" s="245"/>
      <c r="Q390" s="245"/>
      <c r="R390" s="245"/>
      <c r="S390" s="245">
        <f t="shared" si="2"/>
        <v>57</v>
      </c>
      <c r="T390" s="278"/>
      <c r="U390" s="245"/>
    </row>
    <row r="391" spans="4:21" ht="47.25">
      <c r="D391" s="294" t="s">
        <v>694</v>
      </c>
      <c r="E391" s="261" t="s">
        <v>497</v>
      </c>
      <c r="F391" s="246">
        <v>1</v>
      </c>
      <c r="G391" s="245">
        <v>15.3</v>
      </c>
      <c r="H391" s="245"/>
      <c r="I391" s="245"/>
      <c r="J391" s="245">
        <v>4.9000000000000004</v>
      </c>
      <c r="K391" s="245">
        <v>2.6</v>
      </c>
      <c r="L391" s="245">
        <v>22.3</v>
      </c>
      <c r="M391" s="315"/>
      <c r="N391" s="245">
        <v>57</v>
      </c>
      <c r="O391" s="245"/>
      <c r="P391" s="245"/>
      <c r="Q391" s="245"/>
      <c r="R391" s="245"/>
      <c r="S391" s="245">
        <f t="shared" si="2"/>
        <v>57</v>
      </c>
      <c r="T391" s="278"/>
      <c r="U391" s="245"/>
    </row>
    <row r="392" spans="4:21" ht="47.25">
      <c r="D392" s="294" t="s">
        <v>695</v>
      </c>
      <c r="E392" s="261" t="s">
        <v>497</v>
      </c>
      <c r="F392" s="246">
        <v>1</v>
      </c>
      <c r="G392" s="245">
        <v>15.3</v>
      </c>
      <c r="H392" s="245"/>
      <c r="I392" s="245"/>
      <c r="J392" s="245">
        <v>4.9000000000000004</v>
      </c>
      <c r="K392" s="245">
        <v>2.6</v>
      </c>
      <c r="L392" s="245">
        <v>22.3</v>
      </c>
      <c r="M392" s="315"/>
      <c r="N392" s="245">
        <v>57</v>
      </c>
      <c r="O392" s="245"/>
      <c r="P392" s="245"/>
      <c r="Q392" s="245"/>
      <c r="R392" s="245"/>
      <c r="S392" s="245">
        <f t="shared" si="2"/>
        <v>57</v>
      </c>
      <c r="T392" s="278"/>
      <c r="U392" s="245"/>
    </row>
    <row r="393" spans="4:21" ht="47.25">
      <c r="D393" s="294" t="s">
        <v>696</v>
      </c>
      <c r="E393" s="261" t="s">
        <v>497</v>
      </c>
      <c r="F393" s="246">
        <v>1</v>
      </c>
      <c r="G393" s="245">
        <v>15.3</v>
      </c>
      <c r="H393" s="245"/>
      <c r="I393" s="245"/>
      <c r="J393" s="245">
        <v>4.9000000000000004</v>
      </c>
      <c r="K393" s="245">
        <v>2.6</v>
      </c>
      <c r="L393" s="245">
        <v>22.3</v>
      </c>
      <c r="M393" s="315"/>
      <c r="N393" s="245">
        <v>57</v>
      </c>
      <c r="O393" s="245"/>
      <c r="P393" s="245"/>
      <c r="Q393" s="245"/>
      <c r="R393" s="245"/>
      <c r="S393" s="245">
        <f t="shared" si="2"/>
        <v>57</v>
      </c>
      <c r="T393" s="278"/>
      <c r="U393" s="245"/>
    </row>
    <row r="394" spans="4:21" ht="31.5" customHeight="1">
      <c r="D394" s="294" t="s">
        <v>697</v>
      </c>
      <c r="E394" s="261" t="s">
        <v>498</v>
      </c>
      <c r="F394" s="246">
        <v>1</v>
      </c>
      <c r="G394" s="245">
        <v>47.9</v>
      </c>
      <c r="H394" s="245"/>
      <c r="I394" s="245"/>
      <c r="J394" s="245">
        <v>15.4</v>
      </c>
      <c r="K394" s="245">
        <v>8</v>
      </c>
      <c r="L394" s="245">
        <v>10.3</v>
      </c>
      <c r="M394" s="315"/>
      <c r="N394" s="245">
        <v>82.6</v>
      </c>
      <c r="O394" s="245"/>
      <c r="P394" s="245"/>
      <c r="Q394" s="245"/>
      <c r="R394" s="245"/>
      <c r="S394" s="245">
        <f t="shared" si="2"/>
        <v>82.6</v>
      </c>
      <c r="T394" s="278"/>
      <c r="U394" s="245"/>
    </row>
    <row r="395" spans="4:21" ht="47.25">
      <c r="D395" s="294" t="s">
        <v>698</v>
      </c>
      <c r="E395" s="261" t="s">
        <v>499</v>
      </c>
      <c r="F395" s="246">
        <v>1</v>
      </c>
      <c r="G395" s="245">
        <v>47.9</v>
      </c>
      <c r="H395" s="245"/>
      <c r="I395" s="245"/>
      <c r="J395" s="245">
        <v>15.4</v>
      </c>
      <c r="K395" s="245">
        <v>8</v>
      </c>
      <c r="L395" s="245">
        <v>10.3</v>
      </c>
      <c r="M395" s="315"/>
      <c r="N395" s="245">
        <v>82.6</v>
      </c>
      <c r="O395" s="245"/>
      <c r="P395" s="245"/>
      <c r="Q395" s="245"/>
      <c r="R395" s="245"/>
      <c r="S395" s="245">
        <f t="shared" si="2"/>
        <v>82.6</v>
      </c>
      <c r="T395" s="278"/>
      <c r="U395" s="245"/>
    </row>
    <row r="396" spans="4:21" ht="47.25">
      <c r="D396" s="294" t="s">
        <v>699</v>
      </c>
      <c r="E396" s="261" t="s">
        <v>500</v>
      </c>
      <c r="F396" s="246">
        <v>1</v>
      </c>
      <c r="G396" s="245">
        <v>15.3</v>
      </c>
      <c r="H396" s="245"/>
      <c r="I396" s="245"/>
      <c r="J396" s="245">
        <v>4.9000000000000004</v>
      </c>
      <c r="K396" s="245">
        <v>2.6</v>
      </c>
      <c r="L396" s="245">
        <v>22.3</v>
      </c>
      <c r="M396" s="315"/>
      <c r="N396" s="245">
        <v>57</v>
      </c>
      <c r="O396" s="245"/>
      <c r="P396" s="245"/>
      <c r="Q396" s="245"/>
      <c r="R396" s="245"/>
      <c r="S396" s="245">
        <f t="shared" si="2"/>
        <v>57</v>
      </c>
      <c r="T396" s="278"/>
      <c r="U396" s="245"/>
    </row>
    <row r="397" spans="4:21" ht="47.25">
      <c r="D397" s="294" t="s">
        <v>700</v>
      </c>
      <c r="E397" s="261" t="s">
        <v>501</v>
      </c>
      <c r="F397" s="246">
        <v>1</v>
      </c>
      <c r="G397" s="245">
        <v>13.8</v>
      </c>
      <c r="H397" s="245"/>
      <c r="I397" s="245"/>
      <c r="J397" s="245">
        <v>4.5</v>
      </c>
      <c r="K397" s="245">
        <v>2.2999999999999998</v>
      </c>
      <c r="L397" s="245">
        <v>14.8</v>
      </c>
      <c r="M397" s="315"/>
      <c r="N397" s="245">
        <v>34.200000000000003</v>
      </c>
      <c r="O397" s="245"/>
      <c r="P397" s="245"/>
      <c r="Q397" s="245"/>
      <c r="R397" s="245"/>
      <c r="S397" s="245">
        <f t="shared" si="2"/>
        <v>34.200000000000003</v>
      </c>
      <c r="T397" s="278"/>
      <c r="U397" s="245"/>
    </row>
    <row r="398" spans="4:21" ht="47.25">
      <c r="D398" s="294" t="s">
        <v>701</v>
      </c>
      <c r="E398" s="261" t="s">
        <v>501</v>
      </c>
      <c r="F398" s="246">
        <v>1</v>
      </c>
      <c r="G398" s="245">
        <v>13.8</v>
      </c>
      <c r="H398" s="245"/>
      <c r="I398" s="245"/>
      <c r="J398" s="245">
        <v>4.5</v>
      </c>
      <c r="K398" s="245">
        <v>2.2999999999999998</v>
      </c>
      <c r="L398" s="245">
        <v>14.8</v>
      </c>
      <c r="M398" s="315"/>
      <c r="N398" s="245">
        <v>34.200000000000003</v>
      </c>
      <c r="O398" s="245"/>
      <c r="P398" s="245"/>
      <c r="Q398" s="245"/>
      <c r="R398" s="245"/>
      <c r="S398" s="245">
        <f t="shared" si="2"/>
        <v>34.200000000000003</v>
      </c>
      <c r="T398" s="278"/>
      <c r="U398" s="245"/>
    </row>
    <row r="399" spans="4:21" ht="47.25">
      <c r="D399" s="294" t="s">
        <v>702</v>
      </c>
      <c r="E399" s="261" t="s">
        <v>502</v>
      </c>
      <c r="F399" s="246">
        <v>1</v>
      </c>
      <c r="G399" s="245">
        <v>47.9</v>
      </c>
      <c r="H399" s="245"/>
      <c r="I399" s="245"/>
      <c r="J399" s="245">
        <v>15.4</v>
      </c>
      <c r="K399" s="245">
        <v>8</v>
      </c>
      <c r="L399" s="245">
        <v>10.3</v>
      </c>
      <c r="M399" s="315"/>
      <c r="N399" s="245">
        <v>82.6</v>
      </c>
      <c r="O399" s="245"/>
      <c r="P399" s="245"/>
      <c r="Q399" s="245"/>
      <c r="R399" s="245"/>
      <c r="S399" s="245">
        <f t="shared" si="2"/>
        <v>82.6</v>
      </c>
      <c r="T399" s="278"/>
      <c r="U399" s="245"/>
    </row>
    <row r="400" spans="4:21" ht="47.25">
      <c r="D400" s="294" t="s">
        <v>703</v>
      </c>
      <c r="E400" s="261" t="s">
        <v>503</v>
      </c>
      <c r="F400" s="246">
        <v>1</v>
      </c>
      <c r="G400" s="245">
        <v>13.8</v>
      </c>
      <c r="H400" s="245"/>
      <c r="I400" s="245"/>
      <c r="J400" s="245">
        <v>4.5</v>
      </c>
      <c r="K400" s="245">
        <v>2.2999999999999998</v>
      </c>
      <c r="L400" s="245">
        <v>14.8</v>
      </c>
      <c r="M400" s="315"/>
      <c r="N400" s="245">
        <v>34.200000000000003</v>
      </c>
      <c r="O400" s="245"/>
      <c r="P400" s="245"/>
      <c r="Q400" s="245"/>
      <c r="R400" s="245"/>
      <c r="S400" s="245">
        <f t="shared" si="2"/>
        <v>34.200000000000003</v>
      </c>
      <c r="T400" s="278"/>
      <c r="U400" s="245"/>
    </row>
    <row r="401" spans="4:21" ht="47.25">
      <c r="D401" s="294" t="s">
        <v>704</v>
      </c>
      <c r="E401" s="261" t="s">
        <v>503</v>
      </c>
      <c r="F401" s="246">
        <v>1</v>
      </c>
      <c r="G401" s="245">
        <v>13.8</v>
      </c>
      <c r="H401" s="245"/>
      <c r="I401" s="245"/>
      <c r="J401" s="245">
        <v>4.5</v>
      </c>
      <c r="K401" s="245">
        <v>2.2999999999999998</v>
      </c>
      <c r="L401" s="245">
        <v>14.8</v>
      </c>
      <c r="M401" s="315"/>
      <c r="N401" s="245">
        <v>34.200000000000003</v>
      </c>
      <c r="O401" s="245"/>
      <c r="P401" s="245"/>
      <c r="Q401" s="245"/>
      <c r="R401" s="245"/>
      <c r="S401" s="245">
        <f t="shared" si="2"/>
        <v>34.200000000000003</v>
      </c>
      <c r="T401" s="278"/>
      <c r="U401" s="245"/>
    </row>
    <row r="402" spans="4:21" ht="47.25">
      <c r="D402" s="294" t="s">
        <v>705</v>
      </c>
      <c r="E402" s="261" t="s">
        <v>504</v>
      </c>
      <c r="F402" s="246">
        <v>1</v>
      </c>
      <c r="G402" s="245">
        <v>47.9</v>
      </c>
      <c r="H402" s="245"/>
      <c r="I402" s="245"/>
      <c r="J402" s="245">
        <v>15.4</v>
      </c>
      <c r="K402" s="245">
        <v>8</v>
      </c>
      <c r="L402" s="245">
        <v>10.3</v>
      </c>
      <c r="M402" s="315"/>
      <c r="N402" s="245">
        <v>82.6</v>
      </c>
      <c r="O402" s="245"/>
      <c r="P402" s="245"/>
      <c r="Q402" s="245"/>
      <c r="R402" s="245"/>
      <c r="S402" s="245">
        <f t="shared" si="2"/>
        <v>82.6</v>
      </c>
      <c r="T402" s="278"/>
      <c r="U402" s="245"/>
    </row>
    <row r="403" spans="4:21" ht="47.25">
      <c r="D403" s="294" t="s">
        <v>706</v>
      </c>
      <c r="E403" s="261" t="s">
        <v>508</v>
      </c>
      <c r="F403" s="246">
        <v>1</v>
      </c>
      <c r="G403" s="245">
        <v>15.3</v>
      </c>
      <c r="H403" s="245"/>
      <c r="I403" s="245"/>
      <c r="J403" s="245">
        <v>4.9000000000000004</v>
      </c>
      <c r="K403" s="245">
        <v>2.6</v>
      </c>
      <c r="L403" s="245">
        <v>22.3</v>
      </c>
      <c r="M403" s="315"/>
      <c r="N403" s="245">
        <v>57</v>
      </c>
      <c r="O403" s="245"/>
      <c r="P403" s="245"/>
      <c r="Q403" s="245"/>
      <c r="R403" s="245"/>
      <c r="S403" s="245">
        <f t="shared" si="2"/>
        <v>57</v>
      </c>
      <c r="T403" s="278"/>
      <c r="U403" s="245"/>
    </row>
    <row r="404" spans="4:21" ht="47.25">
      <c r="D404" s="294" t="s">
        <v>707</v>
      </c>
      <c r="E404" s="261" t="s">
        <v>508</v>
      </c>
      <c r="F404" s="246">
        <v>1</v>
      </c>
      <c r="G404" s="245">
        <v>15.3</v>
      </c>
      <c r="H404" s="245"/>
      <c r="I404" s="245"/>
      <c r="J404" s="245">
        <v>4.9000000000000004</v>
      </c>
      <c r="K404" s="245">
        <v>2.6</v>
      </c>
      <c r="L404" s="245">
        <v>22.3</v>
      </c>
      <c r="M404" s="315"/>
      <c r="N404" s="245">
        <v>57</v>
      </c>
      <c r="O404" s="245"/>
      <c r="P404" s="245"/>
      <c r="Q404" s="245"/>
      <c r="R404" s="245"/>
      <c r="S404" s="245">
        <f t="shared" si="2"/>
        <v>57</v>
      </c>
      <c r="T404" s="278"/>
      <c r="U404" s="245"/>
    </row>
    <row r="405" spans="4:21" ht="47.25">
      <c r="D405" s="294" t="s">
        <v>708</v>
      </c>
      <c r="E405" s="261" t="s">
        <v>511</v>
      </c>
      <c r="F405" s="246">
        <v>1</v>
      </c>
      <c r="G405" s="245">
        <v>15.3</v>
      </c>
      <c r="H405" s="245"/>
      <c r="I405" s="245"/>
      <c r="J405" s="245">
        <v>4.9000000000000004</v>
      </c>
      <c r="K405" s="245">
        <v>2.6</v>
      </c>
      <c r="L405" s="245">
        <v>22.3</v>
      </c>
      <c r="M405" s="315"/>
      <c r="N405" s="245">
        <v>57</v>
      </c>
      <c r="O405" s="245"/>
      <c r="P405" s="245"/>
      <c r="Q405" s="245"/>
      <c r="R405" s="245"/>
      <c r="S405" s="245">
        <f t="shared" si="2"/>
        <v>57</v>
      </c>
      <c r="T405" s="278"/>
      <c r="U405" s="245"/>
    </row>
    <row r="406" spans="4:21" ht="47.25">
      <c r="D406" s="294" t="s">
        <v>709</v>
      </c>
      <c r="E406" s="261" t="s">
        <v>511</v>
      </c>
      <c r="F406" s="246">
        <v>1</v>
      </c>
      <c r="G406" s="245">
        <v>15.3</v>
      </c>
      <c r="H406" s="245"/>
      <c r="I406" s="245"/>
      <c r="J406" s="245">
        <v>4.9000000000000004</v>
      </c>
      <c r="K406" s="245">
        <v>2.6</v>
      </c>
      <c r="L406" s="245">
        <v>22.3</v>
      </c>
      <c r="M406" s="315"/>
      <c r="N406" s="245">
        <v>57</v>
      </c>
      <c r="O406" s="245"/>
      <c r="P406" s="245"/>
      <c r="Q406" s="245"/>
      <c r="R406" s="245"/>
      <c r="S406" s="245">
        <f t="shared" si="2"/>
        <v>57</v>
      </c>
      <c r="T406" s="278"/>
      <c r="U406" s="245"/>
    </row>
    <row r="407" spans="4:21" ht="47.25">
      <c r="D407" s="294" t="s">
        <v>710</v>
      </c>
      <c r="E407" s="261" t="s">
        <v>512</v>
      </c>
      <c r="F407" s="246">
        <v>1</v>
      </c>
      <c r="G407" s="245">
        <v>47.9</v>
      </c>
      <c r="H407" s="245"/>
      <c r="I407" s="245"/>
      <c r="J407" s="245">
        <v>15.4</v>
      </c>
      <c r="K407" s="245">
        <v>8</v>
      </c>
      <c r="L407" s="245">
        <v>10.3</v>
      </c>
      <c r="M407" s="315"/>
      <c r="N407" s="245">
        <v>82.6</v>
      </c>
      <c r="O407" s="245"/>
      <c r="P407" s="245"/>
      <c r="Q407" s="245"/>
      <c r="R407" s="245"/>
      <c r="S407" s="245">
        <f t="shared" si="2"/>
        <v>82.6</v>
      </c>
      <c r="T407" s="278"/>
      <c r="U407" s="245"/>
    </row>
    <row r="408" spans="4:21" ht="47.25">
      <c r="D408" s="294" t="s">
        <v>711</v>
      </c>
      <c r="E408" s="261" t="s">
        <v>513</v>
      </c>
      <c r="F408" s="246">
        <v>1</v>
      </c>
      <c r="G408" s="245">
        <v>47.9</v>
      </c>
      <c r="H408" s="245"/>
      <c r="I408" s="245"/>
      <c r="J408" s="245">
        <v>15.4</v>
      </c>
      <c r="K408" s="245">
        <v>8</v>
      </c>
      <c r="L408" s="245">
        <v>10.3</v>
      </c>
      <c r="M408" s="315"/>
      <c r="N408" s="245">
        <v>82.6</v>
      </c>
      <c r="O408" s="245"/>
      <c r="P408" s="245"/>
      <c r="Q408" s="245"/>
      <c r="R408" s="245"/>
      <c r="S408" s="245">
        <f t="shared" si="2"/>
        <v>82.6</v>
      </c>
      <c r="T408" s="278"/>
      <c r="U408" s="245"/>
    </row>
    <row r="409" spans="4:21" ht="47.25">
      <c r="D409" s="294" t="s">
        <v>712</v>
      </c>
      <c r="E409" s="261" t="s">
        <v>514</v>
      </c>
      <c r="F409" s="246">
        <v>1</v>
      </c>
      <c r="G409" s="245">
        <v>24.5</v>
      </c>
      <c r="H409" s="245"/>
      <c r="I409" s="245"/>
      <c r="J409" s="245">
        <v>7.9</v>
      </c>
      <c r="K409" s="245">
        <v>4.0999999999999996</v>
      </c>
      <c r="L409" s="245">
        <v>18.8</v>
      </c>
      <c r="M409" s="315"/>
      <c r="N409" s="245">
        <v>76.900000000000006</v>
      </c>
      <c r="O409" s="245"/>
      <c r="P409" s="245"/>
      <c r="Q409" s="245"/>
      <c r="R409" s="245"/>
      <c r="S409" s="245">
        <f t="shared" si="2"/>
        <v>76.900000000000006</v>
      </c>
      <c r="T409" s="278"/>
      <c r="U409" s="245"/>
    </row>
    <row r="410" spans="4:21" ht="47.25">
      <c r="D410" s="294" t="s">
        <v>713</v>
      </c>
      <c r="E410" s="261" t="s">
        <v>516</v>
      </c>
      <c r="F410" s="246">
        <v>1</v>
      </c>
      <c r="G410" s="245">
        <v>13.9</v>
      </c>
      <c r="H410" s="245"/>
      <c r="I410" s="245"/>
      <c r="J410" s="245">
        <v>4.5</v>
      </c>
      <c r="K410" s="245">
        <v>2.2999999999999998</v>
      </c>
      <c r="L410" s="245">
        <v>14.7</v>
      </c>
      <c r="M410" s="315"/>
      <c r="N410" s="245">
        <v>34.200000000000003</v>
      </c>
      <c r="O410" s="245"/>
      <c r="P410" s="245"/>
      <c r="Q410" s="245"/>
      <c r="R410" s="245"/>
      <c r="S410" s="245">
        <f t="shared" si="2"/>
        <v>34.200000000000003</v>
      </c>
      <c r="T410" s="278"/>
      <c r="U410" s="245"/>
    </row>
    <row r="411" spans="4:21" ht="47.25">
      <c r="D411" s="294" t="s">
        <v>714</v>
      </c>
      <c r="E411" s="261" t="s">
        <v>516</v>
      </c>
      <c r="F411" s="246">
        <v>1</v>
      </c>
      <c r="G411" s="245">
        <v>13.9</v>
      </c>
      <c r="H411" s="245"/>
      <c r="I411" s="245"/>
      <c r="J411" s="245">
        <v>4.5</v>
      </c>
      <c r="K411" s="245">
        <v>2.2999999999999998</v>
      </c>
      <c r="L411" s="245">
        <v>14.7</v>
      </c>
      <c r="M411" s="315"/>
      <c r="N411" s="245">
        <v>34.200000000000003</v>
      </c>
      <c r="O411" s="245"/>
      <c r="P411" s="245"/>
      <c r="Q411" s="245"/>
      <c r="R411" s="245"/>
      <c r="S411" s="245">
        <f t="shared" si="2"/>
        <v>34.200000000000003</v>
      </c>
      <c r="T411" s="278"/>
      <c r="U411" s="245"/>
    </row>
    <row r="412" spans="4:21" ht="47.25">
      <c r="D412" s="294" t="s">
        <v>715</v>
      </c>
      <c r="E412" s="261" t="s">
        <v>517</v>
      </c>
      <c r="F412" s="246">
        <v>1</v>
      </c>
      <c r="G412" s="245">
        <v>15.3</v>
      </c>
      <c r="H412" s="245"/>
      <c r="I412" s="245"/>
      <c r="J412" s="245">
        <v>4.9000000000000004</v>
      </c>
      <c r="K412" s="245">
        <v>2.6</v>
      </c>
      <c r="L412" s="245">
        <v>22.3</v>
      </c>
      <c r="M412" s="315"/>
      <c r="N412" s="245">
        <v>57</v>
      </c>
      <c r="O412" s="245"/>
      <c r="P412" s="245"/>
      <c r="Q412" s="245"/>
      <c r="R412" s="245"/>
      <c r="S412" s="245">
        <f t="shared" si="2"/>
        <v>57</v>
      </c>
      <c r="T412" s="278"/>
      <c r="U412" s="245"/>
    </row>
    <row r="413" spans="4:21" ht="47.25">
      <c r="D413" s="294" t="s">
        <v>716</v>
      </c>
      <c r="E413" s="261" t="s">
        <v>517</v>
      </c>
      <c r="F413" s="246">
        <v>1</v>
      </c>
      <c r="G413" s="245">
        <v>15.3</v>
      </c>
      <c r="H413" s="245"/>
      <c r="I413" s="245"/>
      <c r="J413" s="245">
        <v>4.9000000000000004</v>
      </c>
      <c r="K413" s="245">
        <v>2.6</v>
      </c>
      <c r="L413" s="245">
        <v>22.3</v>
      </c>
      <c r="M413" s="315"/>
      <c r="N413" s="245">
        <v>57</v>
      </c>
      <c r="O413" s="245"/>
      <c r="P413" s="245"/>
      <c r="Q413" s="245"/>
      <c r="R413" s="245"/>
      <c r="S413" s="245">
        <f t="shared" si="2"/>
        <v>57</v>
      </c>
      <c r="T413" s="278"/>
      <c r="U413" s="245"/>
    </row>
    <row r="414" spans="4:21" ht="47.25">
      <c r="D414" s="294" t="s">
        <v>717</v>
      </c>
      <c r="E414" s="261" t="s">
        <v>517</v>
      </c>
      <c r="F414" s="246">
        <v>1</v>
      </c>
      <c r="G414" s="245">
        <v>15.3</v>
      </c>
      <c r="H414" s="245"/>
      <c r="I414" s="245"/>
      <c r="J414" s="245">
        <v>4.9000000000000004</v>
      </c>
      <c r="K414" s="245">
        <v>2.6</v>
      </c>
      <c r="L414" s="245">
        <v>22.3</v>
      </c>
      <c r="M414" s="315"/>
      <c r="N414" s="245">
        <v>57</v>
      </c>
      <c r="O414" s="245"/>
      <c r="P414" s="245"/>
      <c r="Q414" s="245"/>
      <c r="R414" s="245"/>
      <c r="S414" s="245">
        <f t="shared" si="2"/>
        <v>57</v>
      </c>
      <c r="T414" s="278"/>
      <c r="U414" s="245"/>
    </row>
    <row r="415" spans="4:21" ht="47.25">
      <c r="D415" s="294" t="s">
        <v>718</v>
      </c>
      <c r="E415" s="261" t="s">
        <v>517</v>
      </c>
      <c r="F415" s="246">
        <v>1</v>
      </c>
      <c r="G415" s="245">
        <v>15.3</v>
      </c>
      <c r="H415" s="245"/>
      <c r="I415" s="245"/>
      <c r="J415" s="245">
        <v>4.9000000000000004</v>
      </c>
      <c r="K415" s="245">
        <v>2.6</v>
      </c>
      <c r="L415" s="245">
        <v>22.3</v>
      </c>
      <c r="M415" s="315"/>
      <c r="N415" s="245">
        <v>57</v>
      </c>
      <c r="O415" s="245"/>
      <c r="P415" s="245"/>
      <c r="Q415" s="245"/>
      <c r="R415" s="245"/>
      <c r="S415" s="245">
        <f t="shared" si="2"/>
        <v>57</v>
      </c>
      <c r="T415" s="278"/>
      <c r="U415" s="245"/>
    </row>
    <row r="416" spans="4:21" ht="47.25">
      <c r="D416" s="294" t="s">
        <v>719</v>
      </c>
      <c r="E416" s="261" t="s">
        <v>517</v>
      </c>
      <c r="F416" s="246">
        <v>1</v>
      </c>
      <c r="G416" s="245">
        <v>15.3</v>
      </c>
      <c r="H416" s="245"/>
      <c r="I416" s="245"/>
      <c r="J416" s="245">
        <v>4.9000000000000004</v>
      </c>
      <c r="K416" s="245">
        <v>2.6</v>
      </c>
      <c r="L416" s="245">
        <v>22.3</v>
      </c>
      <c r="M416" s="315"/>
      <c r="N416" s="245">
        <v>57</v>
      </c>
      <c r="O416" s="245"/>
      <c r="P416" s="245"/>
      <c r="Q416" s="245"/>
      <c r="R416" s="245"/>
      <c r="S416" s="245">
        <f t="shared" si="2"/>
        <v>57</v>
      </c>
      <c r="T416" s="278"/>
      <c r="U416" s="245"/>
    </row>
    <row r="417" spans="4:21" ht="47.25">
      <c r="D417" s="294" t="s">
        <v>720</v>
      </c>
      <c r="E417" s="261" t="s">
        <v>516</v>
      </c>
      <c r="F417" s="246">
        <v>1</v>
      </c>
      <c r="G417" s="245">
        <v>13.9</v>
      </c>
      <c r="H417" s="245"/>
      <c r="I417" s="245"/>
      <c r="J417" s="245">
        <v>4.5</v>
      </c>
      <c r="K417" s="245">
        <v>2.2999999999999998</v>
      </c>
      <c r="L417" s="245">
        <v>14.7</v>
      </c>
      <c r="M417" s="315"/>
      <c r="N417" s="245">
        <v>34.200000000000003</v>
      </c>
      <c r="O417" s="245"/>
      <c r="P417" s="245"/>
      <c r="Q417" s="245"/>
      <c r="R417" s="245"/>
      <c r="S417" s="245">
        <f t="shared" si="2"/>
        <v>34.200000000000003</v>
      </c>
      <c r="T417" s="278"/>
      <c r="U417" s="245"/>
    </row>
    <row r="418" spans="4:21" ht="47.25">
      <c r="D418" s="294" t="s">
        <v>721</v>
      </c>
      <c r="E418" s="261" t="s">
        <v>519</v>
      </c>
      <c r="F418" s="246">
        <v>1</v>
      </c>
      <c r="G418" s="245">
        <v>13.8</v>
      </c>
      <c r="H418" s="245"/>
      <c r="I418" s="245"/>
      <c r="J418" s="245">
        <v>4.5</v>
      </c>
      <c r="K418" s="245">
        <v>2.2999999999999998</v>
      </c>
      <c r="L418" s="245">
        <v>14.8</v>
      </c>
      <c r="M418" s="315"/>
      <c r="N418" s="245">
        <v>34.200000000000003</v>
      </c>
      <c r="O418" s="245"/>
      <c r="P418" s="245"/>
      <c r="Q418" s="245"/>
      <c r="R418" s="245"/>
      <c r="S418" s="245">
        <f t="shared" si="2"/>
        <v>34.200000000000003</v>
      </c>
      <c r="T418" s="278"/>
      <c r="U418" s="245"/>
    </row>
    <row r="419" spans="4:21" ht="47.25">
      <c r="D419" s="294" t="s">
        <v>722</v>
      </c>
      <c r="E419" s="261" t="s">
        <v>520</v>
      </c>
      <c r="F419" s="246">
        <v>1</v>
      </c>
      <c r="G419" s="245">
        <v>24.5</v>
      </c>
      <c r="H419" s="245"/>
      <c r="I419" s="245"/>
      <c r="J419" s="245">
        <v>7.9</v>
      </c>
      <c r="K419" s="245">
        <v>4.0999999999999996</v>
      </c>
      <c r="L419" s="245">
        <v>18.8</v>
      </c>
      <c r="M419" s="315"/>
      <c r="N419" s="245">
        <v>76.900000000000006</v>
      </c>
      <c r="O419" s="245"/>
      <c r="P419" s="245"/>
      <c r="Q419" s="245"/>
      <c r="R419" s="245"/>
      <c r="S419" s="245">
        <f t="shared" si="2"/>
        <v>76.900000000000006</v>
      </c>
      <c r="T419" s="278"/>
      <c r="U419" s="245"/>
    </row>
    <row r="420" spans="4:21" ht="47.25">
      <c r="D420" s="294" t="s">
        <v>723</v>
      </c>
      <c r="E420" s="261" t="s">
        <v>521</v>
      </c>
      <c r="F420" s="246">
        <v>1</v>
      </c>
      <c r="G420" s="245">
        <v>7</v>
      </c>
      <c r="H420" s="245"/>
      <c r="I420" s="245"/>
      <c r="J420" s="245">
        <v>2.2000000000000002</v>
      </c>
      <c r="K420" s="245">
        <v>1.2</v>
      </c>
      <c r="L420" s="245">
        <v>34.299999999999997</v>
      </c>
      <c r="M420" s="315"/>
      <c r="N420" s="245">
        <v>39.9</v>
      </c>
      <c r="O420" s="245"/>
      <c r="P420" s="245"/>
      <c r="Q420" s="245"/>
      <c r="R420" s="245"/>
      <c r="S420" s="245">
        <f t="shared" si="2"/>
        <v>39.9</v>
      </c>
      <c r="T420" s="278"/>
      <c r="U420" s="245"/>
    </row>
    <row r="421" spans="4:21" ht="47.25">
      <c r="D421" s="294" t="s">
        <v>724</v>
      </c>
      <c r="E421" s="261" t="s">
        <v>521</v>
      </c>
      <c r="F421" s="246">
        <v>1</v>
      </c>
      <c r="G421" s="245">
        <v>7</v>
      </c>
      <c r="H421" s="245"/>
      <c r="I421" s="245"/>
      <c r="J421" s="245">
        <v>2.2000000000000002</v>
      </c>
      <c r="K421" s="245">
        <v>1.2</v>
      </c>
      <c r="L421" s="245">
        <v>34.299999999999997</v>
      </c>
      <c r="M421" s="315"/>
      <c r="N421" s="245">
        <v>39.9</v>
      </c>
      <c r="O421" s="245"/>
      <c r="P421" s="245"/>
      <c r="Q421" s="245"/>
      <c r="R421" s="245"/>
      <c r="S421" s="245">
        <f t="shared" si="2"/>
        <v>39.9</v>
      </c>
      <c r="T421" s="278"/>
      <c r="U421" s="245"/>
    </row>
    <row r="422" spans="4:21" ht="47.25">
      <c r="D422" s="294" t="s">
        <v>725</v>
      </c>
      <c r="E422" s="261" t="s">
        <v>524</v>
      </c>
      <c r="F422" s="246">
        <v>1</v>
      </c>
      <c r="G422" s="245">
        <v>47.9</v>
      </c>
      <c r="H422" s="245"/>
      <c r="I422" s="245"/>
      <c r="J422" s="245">
        <v>15.4</v>
      </c>
      <c r="K422" s="245">
        <v>8</v>
      </c>
      <c r="L422" s="245">
        <v>10.3</v>
      </c>
      <c r="M422" s="315"/>
      <c r="N422" s="245">
        <v>82.6</v>
      </c>
      <c r="O422" s="245"/>
      <c r="P422" s="245"/>
      <c r="Q422" s="245"/>
      <c r="R422" s="245"/>
      <c r="S422" s="245">
        <f t="shared" si="2"/>
        <v>82.6</v>
      </c>
      <c r="T422" s="278"/>
      <c r="U422" s="245"/>
    </row>
    <row r="423" spans="4:21" ht="47.25">
      <c r="D423" s="294" t="s">
        <v>726</v>
      </c>
      <c r="E423" s="261" t="s">
        <v>525</v>
      </c>
      <c r="F423" s="246">
        <v>1</v>
      </c>
      <c r="G423" s="245">
        <v>47.9</v>
      </c>
      <c r="H423" s="245"/>
      <c r="I423" s="245"/>
      <c r="J423" s="245">
        <v>15.4</v>
      </c>
      <c r="K423" s="245">
        <v>8</v>
      </c>
      <c r="L423" s="245">
        <v>10.3</v>
      </c>
      <c r="M423" s="315"/>
      <c r="N423" s="245">
        <v>82.6</v>
      </c>
      <c r="O423" s="245"/>
      <c r="P423" s="245"/>
      <c r="Q423" s="245"/>
      <c r="R423" s="245"/>
      <c r="S423" s="245">
        <f t="shared" si="2"/>
        <v>82.6</v>
      </c>
      <c r="T423" s="278"/>
      <c r="U423" s="245"/>
    </row>
    <row r="424" spans="4:21" ht="31.5" customHeight="1">
      <c r="D424" s="294" t="s">
        <v>727</v>
      </c>
      <c r="E424" s="261" t="s">
        <v>526</v>
      </c>
      <c r="F424" s="246">
        <v>1</v>
      </c>
      <c r="G424" s="245">
        <v>47.9</v>
      </c>
      <c r="H424" s="245"/>
      <c r="I424" s="245"/>
      <c r="J424" s="245">
        <v>15.4</v>
      </c>
      <c r="K424" s="245">
        <v>8</v>
      </c>
      <c r="L424" s="245">
        <v>10.3</v>
      </c>
      <c r="M424" s="315"/>
      <c r="N424" s="245">
        <v>82.6</v>
      </c>
      <c r="O424" s="245"/>
      <c r="P424" s="245"/>
      <c r="Q424" s="245"/>
      <c r="R424" s="245"/>
      <c r="S424" s="245">
        <f t="shared" si="2"/>
        <v>82.6</v>
      </c>
      <c r="T424" s="278"/>
      <c r="U424" s="245"/>
    </row>
    <row r="425" spans="4:21" ht="47.25">
      <c r="D425" s="294" t="s">
        <v>728</v>
      </c>
      <c r="E425" s="261" t="s">
        <v>527</v>
      </c>
      <c r="F425" s="246">
        <v>1</v>
      </c>
      <c r="G425" s="245">
        <v>13.8</v>
      </c>
      <c r="H425" s="245"/>
      <c r="I425" s="245"/>
      <c r="J425" s="245">
        <v>4.5</v>
      </c>
      <c r="K425" s="245">
        <v>2.2999999999999998</v>
      </c>
      <c r="L425" s="245">
        <v>14.8</v>
      </c>
      <c r="M425" s="315"/>
      <c r="N425" s="245">
        <v>34.200000000000003</v>
      </c>
      <c r="O425" s="245"/>
      <c r="P425" s="245"/>
      <c r="Q425" s="245"/>
      <c r="R425" s="245"/>
      <c r="S425" s="245">
        <f t="shared" si="2"/>
        <v>34.200000000000003</v>
      </c>
      <c r="T425" s="278"/>
      <c r="U425" s="245"/>
    </row>
    <row r="426" spans="4:21" ht="47.25">
      <c r="D426" s="294" t="s">
        <v>729</v>
      </c>
      <c r="E426" s="261" t="s">
        <v>527</v>
      </c>
      <c r="F426" s="246">
        <v>1</v>
      </c>
      <c r="G426" s="245">
        <v>13.8</v>
      </c>
      <c r="H426" s="245"/>
      <c r="I426" s="245"/>
      <c r="J426" s="245">
        <v>4.5</v>
      </c>
      <c r="K426" s="245">
        <v>2.2999999999999998</v>
      </c>
      <c r="L426" s="245">
        <v>14.8</v>
      </c>
      <c r="M426" s="315"/>
      <c r="N426" s="245">
        <v>34.200000000000003</v>
      </c>
      <c r="O426" s="245"/>
      <c r="P426" s="245"/>
      <c r="Q426" s="245"/>
      <c r="R426" s="245"/>
      <c r="S426" s="245">
        <f t="shared" si="2"/>
        <v>34.200000000000003</v>
      </c>
      <c r="T426" s="278"/>
      <c r="U426" s="245"/>
    </row>
    <row r="427" spans="4:21" ht="47.25">
      <c r="D427" s="294" t="s">
        <v>730</v>
      </c>
      <c r="E427" s="261" t="s">
        <v>529</v>
      </c>
      <c r="F427" s="246">
        <v>1</v>
      </c>
      <c r="G427" s="245">
        <v>13.8</v>
      </c>
      <c r="H427" s="245"/>
      <c r="I427" s="245"/>
      <c r="J427" s="245">
        <v>4.5</v>
      </c>
      <c r="K427" s="245">
        <v>2.2999999999999998</v>
      </c>
      <c r="L427" s="245">
        <v>14.8</v>
      </c>
      <c r="M427" s="315"/>
      <c r="N427" s="245">
        <v>34.200000000000003</v>
      </c>
      <c r="O427" s="245"/>
      <c r="P427" s="245"/>
      <c r="Q427" s="245"/>
      <c r="R427" s="245"/>
      <c r="S427" s="245">
        <f t="shared" si="2"/>
        <v>34.200000000000003</v>
      </c>
      <c r="T427" s="278"/>
      <c r="U427" s="245"/>
    </row>
    <row r="428" spans="4:21" ht="47.25">
      <c r="D428" s="294" t="s">
        <v>731</v>
      </c>
      <c r="E428" s="261" t="s">
        <v>529</v>
      </c>
      <c r="F428" s="246">
        <v>1</v>
      </c>
      <c r="G428" s="245">
        <v>13.8</v>
      </c>
      <c r="H428" s="245"/>
      <c r="I428" s="245"/>
      <c r="J428" s="245">
        <v>4.5</v>
      </c>
      <c r="K428" s="245">
        <v>2.2999999999999998</v>
      </c>
      <c r="L428" s="245">
        <v>14.8</v>
      </c>
      <c r="M428" s="315"/>
      <c r="N428" s="245">
        <v>34.200000000000003</v>
      </c>
      <c r="O428" s="245"/>
      <c r="P428" s="245"/>
      <c r="Q428" s="245"/>
      <c r="R428" s="245"/>
      <c r="S428" s="245">
        <f t="shared" si="2"/>
        <v>34.200000000000003</v>
      </c>
      <c r="T428" s="278"/>
      <c r="U428" s="245"/>
    </row>
    <row r="429" spans="4:21" ht="47.25">
      <c r="D429" s="294" t="s">
        <v>732</v>
      </c>
      <c r="E429" s="261" t="s">
        <v>530</v>
      </c>
      <c r="F429" s="246">
        <v>1</v>
      </c>
      <c r="G429" s="245">
        <v>3.8</v>
      </c>
      <c r="H429" s="245"/>
      <c r="I429" s="245"/>
      <c r="J429" s="245">
        <v>1.2</v>
      </c>
      <c r="K429" s="245">
        <v>0.6</v>
      </c>
      <c r="L429" s="245">
        <v>45.2</v>
      </c>
      <c r="M429" s="315"/>
      <c r="N429" s="245">
        <v>28.5</v>
      </c>
      <c r="O429" s="245"/>
      <c r="P429" s="245"/>
      <c r="Q429" s="245"/>
      <c r="R429" s="245"/>
      <c r="S429" s="245">
        <f t="shared" si="2"/>
        <v>28.5</v>
      </c>
      <c r="T429" s="278"/>
      <c r="U429" s="245"/>
    </row>
    <row r="430" spans="4:21" ht="47.25">
      <c r="D430" s="294" t="s">
        <v>733</v>
      </c>
      <c r="E430" s="261" t="s">
        <v>531</v>
      </c>
      <c r="F430" s="246">
        <v>1</v>
      </c>
      <c r="G430" s="245">
        <v>47.9</v>
      </c>
      <c r="H430" s="245"/>
      <c r="I430" s="245"/>
      <c r="J430" s="245">
        <v>15.4</v>
      </c>
      <c r="K430" s="245">
        <v>8</v>
      </c>
      <c r="L430" s="245">
        <v>10.3</v>
      </c>
      <c r="M430" s="315"/>
      <c r="N430" s="245">
        <v>82.6</v>
      </c>
      <c r="O430" s="245"/>
      <c r="P430" s="245"/>
      <c r="Q430" s="245"/>
      <c r="R430" s="245"/>
      <c r="S430" s="245">
        <f t="shared" si="2"/>
        <v>82.6</v>
      </c>
      <c r="T430" s="278"/>
      <c r="U430" s="245"/>
    </row>
    <row r="431" spans="4:21" ht="47.25">
      <c r="D431" s="294" t="s">
        <v>734</v>
      </c>
      <c r="E431" s="261" t="s">
        <v>531</v>
      </c>
      <c r="F431" s="246">
        <v>1</v>
      </c>
      <c r="G431" s="245">
        <v>47.9</v>
      </c>
      <c r="H431" s="245"/>
      <c r="I431" s="245"/>
      <c r="J431" s="245">
        <v>15.4</v>
      </c>
      <c r="K431" s="245">
        <v>8</v>
      </c>
      <c r="L431" s="245">
        <v>10.3</v>
      </c>
      <c r="M431" s="315"/>
      <c r="N431" s="245">
        <v>82.6</v>
      </c>
      <c r="O431" s="245"/>
      <c r="P431" s="245"/>
      <c r="Q431" s="245"/>
      <c r="R431" s="245"/>
      <c r="S431" s="245">
        <f t="shared" si="2"/>
        <v>82.6</v>
      </c>
      <c r="T431" s="278"/>
      <c r="U431" s="245"/>
    </row>
    <row r="432" spans="4:21" ht="47.25">
      <c r="D432" s="294" t="s">
        <v>735</v>
      </c>
      <c r="E432" s="261" t="s">
        <v>534</v>
      </c>
      <c r="F432" s="246">
        <v>1</v>
      </c>
      <c r="G432" s="245">
        <v>24.5</v>
      </c>
      <c r="H432" s="245"/>
      <c r="I432" s="245"/>
      <c r="J432" s="245">
        <v>7.9</v>
      </c>
      <c r="K432" s="245">
        <v>4.0999999999999996</v>
      </c>
      <c r="L432" s="245">
        <v>18.8</v>
      </c>
      <c r="M432" s="315"/>
      <c r="N432" s="245">
        <v>76.900000000000006</v>
      </c>
      <c r="O432" s="245"/>
      <c r="P432" s="245"/>
      <c r="Q432" s="245"/>
      <c r="R432" s="245"/>
      <c r="S432" s="245">
        <f t="shared" si="2"/>
        <v>76.900000000000006</v>
      </c>
      <c r="T432" s="278"/>
      <c r="U432" s="245"/>
    </row>
    <row r="433" spans="4:21" ht="47.25">
      <c r="D433" s="294" t="s">
        <v>736</v>
      </c>
      <c r="E433" s="261" t="s">
        <v>535</v>
      </c>
      <c r="F433" s="246">
        <v>1</v>
      </c>
      <c r="G433" s="245">
        <v>47.9</v>
      </c>
      <c r="H433" s="245"/>
      <c r="I433" s="245"/>
      <c r="J433" s="245">
        <v>15.4</v>
      </c>
      <c r="K433" s="245">
        <v>8</v>
      </c>
      <c r="L433" s="245">
        <v>10.3</v>
      </c>
      <c r="M433" s="315"/>
      <c r="N433" s="245">
        <v>82.6</v>
      </c>
      <c r="O433" s="245"/>
      <c r="P433" s="245"/>
      <c r="Q433" s="245"/>
      <c r="R433" s="245"/>
      <c r="S433" s="245">
        <f t="shared" si="2"/>
        <v>82.6</v>
      </c>
      <c r="T433" s="278"/>
      <c r="U433" s="245"/>
    </row>
    <row r="434" spans="4:21" ht="47.25">
      <c r="D434" s="294" t="s">
        <v>737</v>
      </c>
      <c r="E434" s="261" t="s">
        <v>537</v>
      </c>
      <c r="F434" s="246">
        <v>1</v>
      </c>
      <c r="G434" s="245">
        <v>15.3</v>
      </c>
      <c r="H434" s="245"/>
      <c r="I434" s="245"/>
      <c r="J434" s="245">
        <v>4.9000000000000004</v>
      </c>
      <c r="K434" s="245">
        <v>2.6</v>
      </c>
      <c r="L434" s="245">
        <v>22.3</v>
      </c>
      <c r="M434" s="315"/>
      <c r="N434" s="245">
        <v>57</v>
      </c>
      <c r="O434" s="245"/>
      <c r="P434" s="245"/>
      <c r="Q434" s="245"/>
      <c r="R434" s="245"/>
      <c r="S434" s="245">
        <f t="shared" si="2"/>
        <v>57</v>
      </c>
      <c r="T434" s="278"/>
      <c r="U434" s="245"/>
    </row>
    <row r="435" spans="4:21" ht="47.25">
      <c r="D435" s="294" t="s">
        <v>738</v>
      </c>
      <c r="E435" s="261" t="s">
        <v>537</v>
      </c>
      <c r="F435" s="246">
        <v>1</v>
      </c>
      <c r="G435" s="245">
        <v>15.3</v>
      </c>
      <c r="H435" s="245"/>
      <c r="I435" s="245"/>
      <c r="J435" s="245">
        <v>4.9000000000000004</v>
      </c>
      <c r="K435" s="245">
        <v>2.6</v>
      </c>
      <c r="L435" s="245">
        <v>22.3</v>
      </c>
      <c r="M435" s="315"/>
      <c r="N435" s="245">
        <v>57</v>
      </c>
      <c r="O435" s="245"/>
      <c r="P435" s="245"/>
      <c r="Q435" s="245"/>
      <c r="R435" s="245"/>
      <c r="S435" s="245">
        <f t="shared" si="2"/>
        <v>57</v>
      </c>
      <c r="T435" s="278"/>
      <c r="U435" s="245"/>
    </row>
    <row r="436" spans="4:21" ht="47.25">
      <c r="D436" s="294" t="s">
        <v>739</v>
      </c>
      <c r="E436" s="261" t="s">
        <v>537</v>
      </c>
      <c r="F436" s="246">
        <v>1</v>
      </c>
      <c r="G436" s="245">
        <v>15.3</v>
      </c>
      <c r="H436" s="245"/>
      <c r="I436" s="245"/>
      <c r="J436" s="245">
        <v>4.9000000000000004</v>
      </c>
      <c r="K436" s="245">
        <v>2.6</v>
      </c>
      <c r="L436" s="245">
        <v>22.3</v>
      </c>
      <c r="M436" s="315"/>
      <c r="N436" s="245">
        <v>57</v>
      </c>
      <c r="O436" s="245"/>
      <c r="P436" s="245"/>
      <c r="Q436" s="245"/>
      <c r="R436" s="245"/>
      <c r="S436" s="245">
        <f t="shared" si="2"/>
        <v>57</v>
      </c>
      <c r="T436" s="278"/>
      <c r="U436" s="245"/>
    </row>
    <row r="437" spans="4:21" ht="47.25">
      <c r="D437" s="294" t="s">
        <v>740</v>
      </c>
      <c r="E437" s="261" t="s">
        <v>537</v>
      </c>
      <c r="F437" s="246">
        <v>1</v>
      </c>
      <c r="G437" s="245">
        <v>15.3</v>
      </c>
      <c r="H437" s="245"/>
      <c r="I437" s="245"/>
      <c r="J437" s="245">
        <v>4.9000000000000004</v>
      </c>
      <c r="K437" s="245">
        <v>2.6</v>
      </c>
      <c r="L437" s="245">
        <v>22.3</v>
      </c>
      <c r="M437" s="315"/>
      <c r="N437" s="245">
        <v>57</v>
      </c>
      <c r="O437" s="245"/>
      <c r="P437" s="245"/>
      <c r="Q437" s="245"/>
      <c r="R437" s="245"/>
      <c r="S437" s="245">
        <f t="shared" si="2"/>
        <v>57</v>
      </c>
      <c r="T437" s="278"/>
      <c r="U437" s="245"/>
    </row>
    <row r="438" spans="4:21" ht="47.25">
      <c r="D438" s="294" t="s">
        <v>741</v>
      </c>
      <c r="E438" s="261" t="s">
        <v>537</v>
      </c>
      <c r="F438" s="246">
        <v>1</v>
      </c>
      <c r="G438" s="245">
        <v>15.3</v>
      </c>
      <c r="H438" s="245"/>
      <c r="I438" s="245"/>
      <c r="J438" s="245">
        <v>4.9000000000000004</v>
      </c>
      <c r="K438" s="245">
        <v>2.6</v>
      </c>
      <c r="L438" s="245">
        <v>22.3</v>
      </c>
      <c r="M438" s="315"/>
      <c r="N438" s="245">
        <v>57</v>
      </c>
      <c r="O438" s="245"/>
      <c r="P438" s="245"/>
      <c r="Q438" s="245"/>
      <c r="R438" s="245"/>
      <c r="S438" s="245">
        <f t="shared" si="2"/>
        <v>57</v>
      </c>
      <c r="T438" s="278"/>
      <c r="U438" s="245"/>
    </row>
    <row r="439" spans="4:21" ht="47.25">
      <c r="D439" s="294" t="s">
        <v>742</v>
      </c>
      <c r="E439" s="261" t="s">
        <v>538</v>
      </c>
      <c r="F439" s="246">
        <v>1</v>
      </c>
      <c r="G439" s="245">
        <v>13.8</v>
      </c>
      <c r="H439" s="245"/>
      <c r="I439" s="245"/>
      <c r="J439" s="245">
        <v>4.5</v>
      </c>
      <c r="K439" s="245">
        <v>2.2999999999999998</v>
      </c>
      <c r="L439" s="245">
        <v>14.8</v>
      </c>
      <c r="M439" s="315"/>
      <c r="N439" s="245">
        <v>34.200000000000003</v>
      </c>
      <c r="O439" s="245"/>
      <c r="P439" s="245"/>
      <c r="Q439" s="245"/>
      <c r="R439" s="245"/>
      <c r="S439" s="245">
        <f t="shared" si="2"/>
        <v>34.200000000000003</v>
      </c>
      <c r="T439" s="278"/>
      <c r="U439" s="245"/>
    </row>
    <row r="440" spans="4:21" ht="47.25">
      <c r="D440" s="294" t="s">
        <v>743</v>
      </c>
      <c r="E440" s="261" t="s">
        <v>537</v>
      </c>
      <c r="F440" s="246">
        <v>1</v>
      </c>
      <c r="G440" s="245">
        <v>15.3</v>
      </c>
      <c r="H440" s="245"/>
      <c r="I440" s="245"/>
      <c r="J440" s="245">
        <v>4.9000000000000004</v>
      </c>
      <c r="K440" s="245">
        <v>2.6</v>
      </c>
      <c r="L440" s="245">
        <v>22.3</v>
      </c>
      <c r="M440" s="315"/>
      <c r="N440" s="245">
        <v>57</v>
      </c>
      <c r="O440" s="245"/>
      <c r="P440" s="245"/>
      <c r="Q440" s="245"/>
      <c r="R440" s="245"/>
      <c r="S440" s="245">
        <f t="shared" si="2"/>
        <v>57</v>
      </c>
      <c r="T440" s="278"/>
      <c r="U440" s="245"/>
    </row>
    <row r="441" spans="4:21" ht="47.25">
      <c r="D441" s="294" t="s">
        <v>744</v>
      </c>
      <c r="E441" s="261" t="s">
        <v>541</v>
      </c>
      <c r="F441" s="246">
        <v>1</v>
      </c>
      <c r="G441" s="245">
        <v>47.9</v>
      </c>
      <c r="H441" s="245"/>
      <c r="I441" s="245"/>
      <c r="J441" s="245">
        <v>15.4</v>
      </c>
      <c r="K441" s="245">
        <v>8</v>
      </c>
      <c r="L441" s="245">
        <v>10.3</v>
      </c>
      <c r="M441" s="315"/>
      <c r="N441" s="245">
        <v>82.6</v>
      </c>
      <c r="O441" s="245"/>
      <c r="P441" s="245"/>
      <c r="Q441" s="245"/>
      <c r="R441" s="245"/>
      <c r="S441" s="245">
        <f t="shared" si="2"/>
        <v>82.6</v>
      </c>
      <c r="T441" s="278"/>
      <c r="U441" s="245"/>
    </row>
    <row r="442" spans="4:21" ht="47.25">
      <c r="D442" s="294" t="s">
        <v>745</v>
      </c>
      <c r="E442" s="261" t="s">
        <v>542</v>
      </c>
      <c r="F442" s="246">
        <v>1</v>
      </c>
      <c r="G442" s="245">
        <v>15.3</v>
      </c>
      <c r="H442" s="245"/>
      <c r="I442" s="245"/>
      <c r="J442" s="245">
        <v>4.9000000000000004</v>
      </c>
      <c r="K442" s="245">
        <v>2.6</v>
      </c>
      <c r="L442" s="245">
        <v>22.3</v>
      </c>
      <c r="M442" s="315"/>
      <c r="N442" s="245">
        <v>57</v>
      </c>
      <c r="O442" s="245"/>
      <c r="P442" s="245"/>
      <c r="Q442" s="245"/>
      <c r="R442" s="245"/>
      <c r="S442" s="245">
        <f t="shared" si="2"/>
        <v>57</v>
      </c>
      <c r="T442" s="278"/>
      <c r="U442" s="245"/>
    </row>
    <row r="443" spans="4:21" ht="47.25">
      <c r="D443" s="294" t="s">
        <v>746</v>
      </c>
      <c r="E443" s="261" t="s">
        <v>542</v>
      </c>
      <c r="F443" s="246">
        <v>1</v>
      </c>
      <c r="G443" s="245">
        <v>15.3</v>
      </c>
      <c r="H443" s="245"/>
      <c r="I443" s="245"/>
      <c r="J443" s="245">
        <v>4.9000000000000004</v>
      </c>
      <c r="K443" s="245">
        <v>2.6</v>
      </c>
      <c r="L443" s="245">
        <v>22.3</v>
      </c>
      <c r="M443" s="315"/>
      <c r="N443" s="245">
        <v>57</v>
      </c>
      <c r="O443" s="245"/>
      <c r="P443" s="245"/>
      <c r="Q443" s="245"/>
      <c r="R443" s="245"/>
      <c r="S443" s="245">
        <f t="shared" si="2"/>
        <v>57</v>
      </c>
      <c r="T443" s="278"/>
      <c r="U443" s="245"/>
    </row>
    <row r="444" spans="4:21" ht="47.25">
      <c r="D444" s="294" t="s">
        <v>747</v>
      </c>
      <c r="E444" s="261" t="s">
        <v>543</v>
      </c>
      <c r="F444" s="246">
        <v>1</v>
      </c>
      <c r="G444" s="245">
        <v>13.8</v>
      </c>
      <c r="H444" s="245"/>
      <c r="I444" s="245"/>
      <c r="J444" s="245">
        <v>4.5</v>
      </c>
      <c r="K444" s="245">
        <v>2.2999999999999998</v>
      </c>
      <c r="L444" s="245">
        <v>14.8</v>
      </c>
      <c r="M444" s="315"/>
      <c r="N444" s="245">
        <v>34.200000000000003</v>
      </c>
      <c r="O444" s="245"/>
      <c r="P444" s="245"/>
      <c r="Q444" s="245"/>
      <c r="R444" s="245"/>
      <c r="S444" s="245">
        <f t="shared" si="2"/>
        <v>34.200000000000003</v>
      </c>
      <c r="T444" s="278"/>
      <c r="U444" s="245"/>
    </row>
    <row r="445" spans="4:21" ht="47.25">
      <c r="D445" s="294" t="s">
        <v>748</v>
      </c>
      <c r="E445" s="261" t="s">
        <v>549</v>
      </c>
      <c r="F445" s="246">
        <v>1</v>
      </c>
      <c r="G445" s="245">
        <v>13.8</v>
      </c>
      <c r="H445" s="245"/>
      <c r="I445" s="245"/>
      <c r="J445" s="245">
        <v>4.5</v>
      </c>
      <c r="K445" s="245">
        <v>2.2999999999999998</v>
      </c>
      <c r="L445" s="245">
        <v>14.8</v>
      </c>
      <c r="M445" s="315"/>
      <c r="N445" s="245">
        <v>34.200000000000003</v>
      </c>
      <c r="O445" s="245"/>
      <c r="P445" s="245"/>
      <c r="Q445" s="245"/>
      <c r="R445" s="245"/>
      <c r="S445" s="245">
        <f t="shared" si="2"/>
        <v>34.200000000000003</v>
      </c>
      <c r="T445" s="278"/>
      <c r="U445" s="245"/>
    </row>
    <row r="446" spans="4:21" ht="47.25">
      <c r="D446" s="294" t="s">
        <v>749</v>
      </c>
      <c r="E446" s="261" t="s">
        <v>550</v>
      </c>
      <c r="F446" s="246">
        <v>1</v>
      </c>
      <c r="G446" s="245">
        <v>47.9</v>
      </c>
      <c r="H446" s="245"/>
      <c r="I446" s="245"/>
      <c r="J446" s="245">
        <v>15.4</v>
      </c>
      <c r="K446" s="245">
        <v>8</v>
      </c>
      <c r="L446" s="245">
        <v>10.3</v>
      </c>
      <c r="M446" s="315"/>
      <c r="N446" s="245">
        <v>82.6</v>
      </c>
      <c r="O446" s="245"/>
      <c r="P446" s="245"/>
      <c r="Q446" s="245"/>
      <c r="R446" s="245"/>
      <c r="S446" s="245">
        <f t="shared" si="2"/>
        <v>82.6</v>
      </c>
      <c r="T446" s="278"/>
      <c r="U446" s="245"/>
    </row>
    <row r="447" spans="4:21" ht="47.25">
      <c r="D447" s="294" t="s">
        <v>750</v>
      </c>
      <c r="E447" s="261" t="s">
        <v>553</v>
      </c>
      <c r="F447" s="246">
        <v>1</v>
      </c>
      <c r="G447" s="245">
        <v>13.8</v>
      </c>
      <c r="H447" s="245"/>
      <c r="I447" s="245"/>
      <c r="J447" s="245">
        <v>4.5</v>
      </c>
      <c r="K447" s="245">
        <v>2.2999999999999998</v>
      </c>
      <c r="L447" s="245">
        <v>14.8</v>
      </c>
      <c r="M447" s="315"/>
      <c r="N447" s="245">
        <v>34.200000000000003</v>
      </c>
      <c r="O447" s="245"/>
      <c r="P447" s="245"/>
      <c r="Q447" s="245"/>
      <c r="R447" s="245"/>
      <c r="S447" s="245">
        <f t="shared" si="2"/>
        <v>34.200000000000003</v>
      </c>
      <c r="T447" s="278"/>
      <c r="U447" s="245"/>
    </row>
    <row r="448" spans="4:21" ht="47.25">
      <c r="D448" s="294" t="s">
        <v>751</v>
      </c>
      <c r="E448" s="261" t="s">
        <v>553</v>
      </c>
      <c r="F448" s="246">
        <v>1</v>
      </c>
      <c r="G448" s="245">
        <v>13.8</v>
      </c>
      <c r="H448" s="245"/>
      <c r="I448" s="245"/>
      <c r="J448" s="245">
        <v>4.5</v>
      </c>
      <c r="K448" s="245">
        <v>2.2999999999999998</v>
      </c>
      <c r="L448" s="245">
        <v>14.8</v>
      </c>
      <c r="M448" s="315"/>
      <c r="N448" s="245">
        <v>34.200000000000003</v>
      </c>
      <c r="O448" s="245"/>
      <c r="P448" s="245"/>
      <c r="Q448" s="245"/>
      <c r="R448" s="245"/>
      <c r="S448" s="245">
        <f t="shared" si="2"/>
        <v>34.200000000000003</v>
      </c>
      <c r="T448" s="278"/>
      <c r="U448" s="245"/>
    </row>
    <row r="449" spans="4:21" ht="47.25">
      <c r="D449" s="294" t="s">
        <v>752</v>
      </c>
      <c r="E449" s="261" t="s">
        <v>554</v>
      </c>
      <c r="F449" s="246">
        <v>1</v>
      </c>
      <c r="G449" s="245">
        <v>47.9</v>
      </c>
      <c r="H449" s="245"/>
      <c r="I449" s="245"/>
      <c r="J449" s="245">
        <v>15.4</v>
      </c>
      <c r="K449" s="245">
        <v>8</v>
      </c>
      <c r="L449" s="245">
        <v>10.3</v>
      </c>
      <c r="M449" s="315"/>
      <c r="N449" s="245">
        <v>82.6</v>
      </c>
      <c r="O449" s="245"/>
      <c r="P449" s="245"/>
      <c r="Q449" s="245"/>
      <c r="R449" s="245"/>
      <c r="S449" s="245">
        <f t="shared" si="2"/>
        <v>82.6</v>
      </c>
      <c r="T449" s="278"/>
      <c r="U449" s="245"/>
    </row>
    <row r="450" spans="4:21" ht="47.25">
      <c r="D450" s="294" t="s">
        <v>753</v>
      </c>
      <c r="E450" s="261" t="s">
        <v>555</v>
      </c>
      <c r="F450" s="246">
        <v>1</v>
      </c>
      <c r="G450" s="245">
        <v>7</v>
      </c>
      <c r="H450" s="245"/>
      <c r="I450" s="245"/>
      <c r="J450" s="245">
        <v>2.2000000000000002</v>
      </c>
      <c r="K450" s="245">
        <v>1.2</v>
      </c>
      <c r="L450" s="245">
        <v>34.299999999999997</v>
      </c>
      <c r="M450" s="315"/>
      <c r="N450" s="245">
        <v>39.9</v>
      </c>
      <c r="O450" s="245"/>
      <c r="P450" s="245"/>
      <c r="Q450" s="245"/>
      <c r="R450" s="245"/>
      <c r="S450" s="245">
        <f t="shared" si="2"/>
        <v>39.9</v>
      </c>
      <c r="T450" s="278"/>
      <c r="U450" s="245"/>
    </row>
    <row r="451" spans="4:21" ht="31.5" customHeight="1">
      <c r="D451" s="294" t="s">
        <v>754</v>
      </c>
      <c r="E451" s="261" t="s">
        <v>558</v>
      </c>
      <c r="F451" s="246">
        <v>1</v>
      </c>
      <c r="G451" s="245">
        <v>19.8</v>
      </c>
      <c r="H451" s="245"/>
      <c r="I451" s="245"/>
      <c r="J451" s="245">
        <v>6.4</v>
      </c>
      <c r="K451" s="245">
        <v>3.3</v>
      </c>
      <c r="L451" s="245">
        <v>11.2</v>
      </c>
      <c r="M451" s="315"/>
      <c r="N451" s="245">
        <v>37.1</v>
      </c>
      <c r="O451" s="245"/>
      <c r="P451" s="245"/>
      <c r="Q451" s="245"/>
      <c r="R451" s="245"/>
      <c r="S451" s="245">
        <f t="shared" si="2"/>
        <v>37.1</v>
      </c>
      <c r="T451" s="278"/>
      <c r="U451" s="245"/>
    </row>
    <row r="452" spans="4:21" ht="47.25">
      <c r="D452" s="294" t="s">
        <v>755</v>
      </c>
      <c r="E452" s="261" t="s">
        <v>557</v>
      </c>
      <c r="F452" s="246">
        <v>1</v>
      </c>
      <c r="G452" s="245">
        <v>13.8</v>
      </c>
      <c r="H452" s="245"/>
      <c r="I452" s="245"/>
      <c r="J452" s="245">
        <v>4.5</v>
      </c>
      <c r="K452" s="245">
        <v>2.2999999999999998</v>
      </c>
      <c r="L452" s="245">
        <v>14.8</v>
      </c>
      <c r="M452" s="315"/>
      <c r="N452" s="245">
        <v>34.200000000000003</v>
      </c>
      <c r="O452" s="245"/>
      <c r="P452" s="245"/>
      <c r="Q452" s="245"/>
      <c r="R452" s="245"/>
      <c r="S452" s="245">
        <f t="shared" si="2"/>
        <v>34.200000000000003</v>
      </c>
      <c r="T452" s="278"/>
      <c r="U452" s="245"/>
    </row>
    <row r="453" spans="4:21" ht="47.25">
      <c r="D453" s="294" t="s">
        <v>756</v>
      </c>
      <c r="E453" s="261" t="s">
        <v>557</v>
      </c>
      <c r="F453" s="246">
        <v>1</v>
      </c>
      <c r="G453" s="245">
        <v>13.8</v>
      </c>
      <c r="H453" s="245"/>
      <c r="I453" s="245"/>
      <c r="J453" s="245">
        <v>4.5</v>
      </c>
      <c r="K453" s="245">
        <v>2.2999999999999998</v>
      </c>
      <c r="L453" s="245">
        <v>14.8</v>
      </c>
      <c r="M453" s="315"/>
      <c r="N453" s="245">
        <v>34.200000000000003</v>
      </c>
      <c r="O453" s="245"/>
      <c r="P453" s="245"/>
      <c r="Q453" s="245"/>
      <c r="R453" s="245"/>
      <c r="S453" s="245">
        <f t="shared" si="2"/>
        <v>34.200000000000003</v>
      </c>
      <c r="T453" s="278"/>
      <c r="U453" s="245"/>
    </row>
    <row r="454" spans="4:21" ht="47.25">
      <c r="D454" s="294" t="s">
        <v>757</v>
      </c>
      <c r="E454" s="261" t="s">
        <v>561</v>
      </c>
      <c r="F454" s="246">
        <v>1</v>
      </c>
      <c r="G454" s="245">
        <v>13.8</v>
      </c>
      <c r="H454" s="245"/>
      <c r="I454" s="245"/>
      <c r="J454" s="245">
        <v>4.5</v>
      </c>
      <c r="K454" s="245">
        <v>2.2999999999999998</v>
      </c>
      <c r="L454" s="245">
        <v>14.8</v>
      </c>
      <c r="M454" s="315"/>
      <c r="N454" s="245">
        <v>34.200000000000003</v>
      </c>
      <c r="O454" s="245"/>
      <c r="P454" s="245"/>
      <c r="Q454" s="245"/>
      <c r="R454" s="245"/>
      <c r="S454" s="245">
        <f t="shared" si="2"/>
        <v>34.200000000000003</v>
      </c>
      <c r="T454" s="278"/>
      <c r="U454" s="245"/>
    </row>
    <row r="455" spans="4:21" ht="47.25">
      <c r="D455" s="294" t="s">
        <v>758</v>
      </c>
      <c r="E455" s="261" t="s">
        <v>561</v>
      </c>
      <c r="F455" s="246">
        <v>1</v>
      </c>
      <c r="G455" s="245">
        <v>13.8</v>
      </c>
      <c r="H455" s="245"/>
      <c r="I455" s="245"/>
      <c r="J455" s="245">
        <v>4.5</v>
      </c>
      <c r="K455" s="245">
        <v>2.2999999999999998</v>
      </c>
      <c r="L455" s="245">
        <v>14.8</v>
      </c>
      <c r="M455" s="315"/>
      <c r="N455" s="245">
        <v>34.200000000000003</v>
      </c>
      <c r="O455" s="245"/>
      <c r="P455" s="245"/>
      <c r="Q455" s="245"/>
      <c r="R455" s="245"/>
      <c r="S455" s="245">
        <f t="shared" si="2"/>
        <v>34.200000000000003</v>
      </c>
      <c r="T455" s="278"/>
      <c r="U455" s="245"/>
    </row>
    <row r="456" spans="4:21" ht="31.5" customHeight="1">
      <c r="D456" s="294" t="s">
        <v>759</v>
      </c>
      <c r="E456" s="261" t="s">
        <v>562</v>
      </c>
      <c r="F456" s="246">
        <v>1</v>
      </c>
      <c r="G456" s="245">
        <v>47.9</v>
      </c>
      <c r="H456" s="245"/>
      <c r="I456" s="245"/>
      <c r="J456" s="245">
        <v>15.4</v>
      </c>
      <c r="K456" s="245">
        <v>8</v>
      </c>
      <c r="L456" s="245">
        <v>10.3</v>
      </c>
      <c r="M456" s="315"/>
      <c r="N456" s="245">
        <v>82.6</v>
      </c>
      <c r="O456" s="245"/>
      <c r="P456" s="245"/>
      <c r="Q456" s="245"/>
      <c r="R456" s="245"/>
      <c r="S456" s="245">
        <f t="shared" si="2"/>
        <v>82.6</v>
      </c>
      <c r="T456" s="278"/>
      <c r="U456" s="245"/>
    </row>
    <row r="457" spans="4:21" ht="47.25">
      <c r="D457" s="294" t="s">
        <v>760</v>
      </c>
      <c r="E457" s="261" t="s">
        <v>563</v>
      </c>
      <c r="F457" s="246">
        <v>1</v>
      </c>
      <c r="G457" s="245">
        <v>7</v>
      </c>
      <c r="H457" s="245"/>
      <c r="I457" s="245"/>
      <c r="J457" s="245">
        <v>2.2000000000000002</v>
      </c>
      <c r="K457" s="245">
        <v>1.2</v>
      </c>
      <c r="L457" s="245">
        <v>34.299999999999997</v>
      </c>
      <c r="M457" s="315"/>
      <c r="N457" s="245">
        <v>39.9</v>
      </c>
      <c r="O457" s="245"/>
      <c r="P457" s="245"/>
      <c r="Q457" s="245"/>
      <c r="R457" s="245"/>
      <c r="S457" s="245">
        <f t="shared" si="2"/>
        <v>39.9</v>
      </c>
      <c r="T457" s="278"/>
      <c r="U457" s="245"/>
    </row>
    <row r="458" spans="4:21" ht="47.25">
      <c r="D458" s="294" t="s">
        <v>761</v>
      </c>
      <c r="E458" s="261" t="s">
        <v>564</v>
      </c>
      <c r="F458" s="246">
        <v>1</v>
      </c>
      <c r="G458" s="245">
        <v>13.8</v>
      </c>
      <c r="H458" s="245"/>
      <c r="I458" s="245"/>
      <c r="J458" s="245">
        <v>4.5</v>
      </c>
      <c r="K458" s="245">
        <v>2.2999999999999998</v>
      </c>
      <c r="L458" s="245">
        <v>14.8</v>
      </c>
      <c r="M458" s="315"/>
      <c r="N458" s="245">
        <v>34.200000000000003</v>
      </c>
      <c r="O458" s="245"/>
      <c r="P458" s="245"/>
      <c r="Q458" s="245"/>
      <c r="R458" s="245"/>
      <c r="S458" s="245">
        <f t="shared" si="2"/>
        <v>34.200000000000003</v>
      </c>
      <c r="T458" s="278"/>
      <c r="U458" s="245"/>
    </row>
    <row r="459" spans="4:21" ht="47.25">
      <c r="D459" s="294" t="s">
        <v>762</v>
      </c>
      <c r="E459" s="261" t="s">
        <v>564</v>
      </c>
      <c r="F459" s="246">
        <v>1</v>
      </c>
      <c r="G459" s="245">
        <v>13.8</v>
      </c>
      <c r="H459" s="245"/>
      <c r="I459" s="245"/>
      <c r="J459" s="245">
        <v>4.5</v>
      </c>
      <c r="K459" s="245">
        <v>2.2999999999999998</v>
      </c>
      <c r="L459" s="245">
        <v>14.8</v>
      </c>
      <c r="M459" s="315"/>
      <c r="N459" s="245">
        <v>34.200000000000003</v>
      </c>
      <c r="O459" s="245"/>
      <c r="P459" s="245"/>
      <c r="Q459" s="245"/>
      <c r="R459" s="245"/>
      <c r="S459" s="245">
        <f t="shared" si="2"/>
        <v>34.200000000000003</v>
      </c>
      <c r="T459" s="278"/>
      <c r="U459" s="245"/>
    </row>
    <row r="460" spans="4:21" ht="47.25">
      <c r="D460" s="294" t="s">
        <v>763</v>
      </c>
      <c r="E460" s="261" t="s">
        <v>564</v>
      </c>
      <c r="F460" s="246">
        <v>1</v>
      </c>
      <c r="G460" s="245">
        <v>13.8</v>
      </c>
      <c r="H460" s="245"/>
      <c r="I460" s="245"/>
      <c r="J460" s="245">
        <v>4.5</v>
      </c>
      <c r="K460" s="245">
        <v>2.2999999999999998</v>
      </c>
      <c r="L460" s="245">
        <v>14.8</v>
      </c>
      <c r="M460" s="315"/>
      <c r="N460" s="245">
        <v>34.200000000000003</v>
      </c>
      <c r="O460" s="245"/>
      <c r="P460" s="245"/>
      <c r="Q460" s="245"/>
      <c r="R460" s="245"/>
      <c r="S460" s="245">
        <f t="shared" si="2"/>
        <v>34.200000000000003</v>
      </c>
      <c r="T460" s="278"/>
      <c r="U460" s="245"/>
    </row>
    <row r="461" spans="4:21" ht="47.25">
      <c r="D461" s="294" t="s">
        <v>764</v>
      </c>
      <c r="E461" s="261" t="s">
        <v>565</v>
      </c>
      <c r="F461" s="246">
        <v>1</v>
      </c>
      <c r="G461" s="245">
        <v>15.3</v>
      </c>
      <c r="H461" s="245"/>
      <c r="I461" s="245"/>
      <c r="J461" s="245">
        <v>4.9000000000000004</v>
      </c>
      <c r="K461" s="245">
        <v>2.6</v>
      </c>
      <c r="L461" s="245">
        <v>22.3</v>
      </c>
      <c r="M461" s="315"/>
      <c r="N461" s="245">
        <v>57</v>
      </c>
      <c r="O461" s="245"/>
      <c r="P461" s="245"/>
      <c r="Q461" s="245"/>
      <c r="R461" s="245"/>
      <c r="S461" s="245">
        <f t="shared" si="2"/>
        <v>57</v>
      </c>
      <c r="T461" s="278"/>
      <c r="U461" s="245"/>
    </row>
    <row r="462" spans="4:21" ht="47.25">
      <c r="D462" s="294" t="s">
        <v>765</v>
      </c>
      <c r="E462" s="261" t="s">
        <v>565</v>
      </c>
      <c r="F462" s="246">
        <v>1</v>
      </c>
      <c r="G462" s="245">
        <v>15.3</v>
      </c>
      <c r="H462" s="245"/>
      <c r="I462" s="245"/>
      <c r="J462" s="245">
        <v>4.9000000000000004</v>
      </c>
      <c r="K462" s="245">
        <v>2.6</v>
      </c>
      <c r="L462" s="245">
        <v>22.3</v>
      </c>
      <c r="M462" s="315"/>
      <c r="N462" s="245">
        <v>57</v>
      </c>
      <c r="O462" s="245"/>
      <c r="P462" s="245"/>
      <c r="Q462" s="245"/>
      <c r="R462" s="245"/>
      <c r="S462" s="245">
        <f t="shared" si="2"/>
        <v>57</v>
      </c>
      <c r="T462" s="278"/>
      <c r="U462" s="245"/>
    </row>
    <row r="463" spans="4:21" ht="47.25">
      <c r="D463" s="294" t="s">
        <v>766</v>
      </c>
      <c r="E463" s="261" t="s">
        <v>565</v>
      </c>
      <c r="F463" s="246">
        <v>1</v>
      </c>
      <c r="G463" s="245">
        <v>15.3</v>
      </c>
      <c r="H463" s="245"/>
      <c r="I463" s="245"/>
      <c r="J463" s="245">
        <v>4.9000000000000004</v>
      </c>
      <c r="K463" s="245">
        <v>2.6</v>
      </c>
      <c r="L463" s="245">
        <v>22.3</v>
      </c>
      <c r="M463" s="315"/>
      <c r="N463" s="245">
        <v>57</v>
      </c>
      <c r="O463" s="245"/>
      <c r="P463" s="245"/>
      <c r="Q463" s="245"/>
      <c r="R463" s="245"/>
      <c r="S463" s="245">
        <f t="shared" si="2"/>
        <v>57</v>
      </c>
      <c r="T463" s="278"/>
      <c r="U463" s="245"/>
    </row>
    <row r="464" spans="4:21" ht="47.25">
      <c r="D464" s="294" t="s">
        <v>767</v>
      </c>
      <c r="E464" s="261" t="s">
        <v>565</v>
      </c>
      <c r="F464" s="246">
        <v>1</v>
      </c>
      <c r="G464" s="245">
        <v>15.3</v>
      </c>
      <c r="H464" s="245"/>
      <c r="I464" s="245"/>
      <c r="J464" s="245">
        <v>4.9000000000000004</v>
      </c>
      <c r="K464" s="245">
        <v>2.6</v>
      </c>
      <c r="L464" s="245">
        <v>22.3</v>
      </c>
      <c r="M464" s="315"/>
      <c r="N464" s="245">
        <v>57</v>
      </c>
      <c r="O464" s="245"/>
      <c r="P464" s="245"/>
      <c r="Q464" s="245"/>
      <c r="R464" s="245"/>
      <c r="S464" s="245">
        <f t="shared" si="2"/>
        <v>57</v>
      </c>
      <c r="T464" s="278"/>
      <c r="U464" s="245"/>
    </row>
    <row r="465" spans="4:21" ht="47.25">
      <c r="D465" s="294" t="s">
        <v>768</v>
      </c>
      <c r="E465" s="261" t="s">
        <v>565</v>
      </c>
      <c r="F465" s="246">
        <v>1</v>
      </c>
      <c r="G465" s="245">
        <v>15.3</v>
      </c>
      <c r="H465" s="245"/>
      <c r="I465" s="245"/>
      <c r="J465" s="245">
        <v>4.9000000000000004</v>
      </c>
      <c r="K465" s="245">
        <v>2.6</v>
      </c>
      <c r="L465" s="245">
        <v>22.3</v>
      </c>
      <c r="M465" s="315"/>
      <c r="N465" s="245">
        <v>57</v>
      </c>
      <c r="O465" s="245"/>
      <c r="P465" s="245"/>
      <c r="Q465" s="245"/>
      <c r="R465" s="245"/>
      <c r="S465" s="245">
        <f t="shared" si="2"/>
        <v>57</v>
      </c>
      <c r="T465" s="278"/>
      <c r="U465" s="245"/>
    </row>
    <row r="466" spans="4:21" ht="47.25">
      <c r="D466" s="294" t="s">
        <v>769</v>
      </c>
      <c r="E466" s="261" t="s">
        <v>565</v>
      </c>
      <c r="F466" s="246">
        <v>1</v>
      </c>
      <c r="G466" s="245">
        <v>15.3</v>
      </c>
      <c r="H466" s="245"/>
      <c r="I466" s="245"/>
      <c r="J466" s="245">
        <v>4.9000000000000004</v>
      </c>
      <c r="K466" s="245">
        <v>2.6</v>
      </c>
      <c r="L466" s="245">
        <v>22.3</v>
      </c>
      <c r="M466" s="315"/>
      <c r="N466" s="245">
        <v>57</v>
      </c>
      <c r="O466" s="245"/>
      <c r="P466" s="245"/>
      <c r="Q466" s="245"/>
      <c r="R466" s="245"/>
      <c r="S466" s="245">
        <f t="shared" si="2"/>
        <v>57</v>
      </c>
      <c r="T466" s="278"/>
      <c r="U466" s="245"/>
    </row>
    <row r="467" spans="4:21" ht="47.25">
      <c r="D467" s="294" t="s">
        <v>770</v>
      </c>
      <c r="E467" s="261" t="s">
        <v>566</v>
      </c>
      <c r="F467" s="246">
        <v>1</v>
      </c>
      <c r="G467" s="245">
        <v>7</v>
      </c>
      <c r="H467" s="245"/>
      <c r="I467" s="245"/>
      <c r="J467" s="245">
        <v>2.2000000000000002</v>
      </c>
      <c r="K467" s="245">
        <v>1.2</v>
      </c>
      <c r="L467" s="245">
        <v>34.299999999999997</v>
      </c>
      <c r="M467" s="315"/>
      <c r="N467" s="245">
        <v>39.9</v>
      </c>
      <c r="O467" s="245"/>
      <c r="P467" s="245"/>
      <c r="Q467" s="245"/>
      <c r="R467" s="245"/>
      <c r="S467" s="245">
        <f t="shared" si="2"/>
        <v>39.9</v>
      </c>
      <c r="T467" s="278"/>
      <c r="U467" s="245"/>
    </row>
    <row r="468" spans="4:21" ht="47.25">
      <c r="D468" s="294" t="s">
        <v>771</v>
      </c>
      <c r="E468" s="261" t="s">
        <v>565</v>
      </c>
      <c r="F468" s="246">
        <v>1</v>
      </c>
      <c r="G468" s="245">
        <v>15.3</v>
      </c>
      <c r="H468" s="245"/>
      <c r="I468" s="245"/>
      <c r="J468" s="245">
        <v>4.9000000000000004</v>
      </c>
      <c r="K468" s="245">
        <v>2.6</v>
      </c>
      <c r="L468" s="245">
        <v>22.3</v>
      </c>
      <c r="M468" s="315"/>
      <c r="N468" s="245">
        <v>57</v>
      </c>
      <c r="O468" s="245"/>
      <c r="P468" s="245"/>
      <c r="Q468" s="245"/>
      <c r="R468" s="245"/>
      <c r="S468" s="245">
        <f t="shared" si="2"/>
        <v>57</v>
      </c>
      <c r="T468" s="278"/>
      <c r="U468" s="245"/>
    </row>
    <row r="469" spans="4:21" ht="47.25">
      <c r="D469" s="294" t="s">
        <v>772</v>
      </c>
      <c r="E469" s="261" t="s">
        <v>568</v>
      </c>
      <c r="F469" s="246">
        <v>1</v>
      </c>
      <c r="G469" s="245">
        <v>47.9</v>
      </c>
      <c r="H469" s="245"/>
      <c r="I469" s="245"/>
      <c r="J469" s="245">
        <v>15.4</v>
      </c>
      <c r="K469" s="245">
        <v>8</v>
      </c>
      <c r="L469" s="245">
        <v>10.3</v>
      </c>
      <c r="M469" s="315"/>
      <c r="N469" s="245">
        <v>82.6</v>
      </c>
      <c r="O469" s="245"/>
      <c r="P469" s="245"/>
      <c r="Q469" s="245"/>
      <c r="R469" s="245"/>
      <c r="S469" s="245">
        <f t="shared" si="2"/>
        <v>82.6</v>
      </c>
      <c r="T469" s="278"/>
      <c r="U469" s="245"/>
    </row>
    <row r="470" spans="4:21" ht="47.25">
      <c r="D470" s="294" t="s">
        <v>773</v>
      </c>
      <c r="E470" s="261" t="s">
        <v>569</v>
      </c>
      <c r="F470" s="246">
        <v>1</v>
      </c>
      <c r="G470" s="245">
        <v>13.8</v>
      </c>
      <c r="H470" s="245"/>
      <c r="I470" s="245"/>
      <c r="J470" s="245">
        <v>4.5</v>
      </c>
      <c r="K470" s="245">
        <v>2.2999999999999998</v>
      </c>
      <c r="L470" s="245">
        <v>14.8</v>
      </c>
      <c r="M470" s="315"/>
      <c r="N470" s="245">
        <v>34.200000000000003</v>
      </c>
      <c r="O470" s="245"/>
      <c r="P470" s="245"/>
      <c r="Q470" s="245"/>
      <c r="R470" s="245"/>
      <c r="S470" s="245">
        <f t="shared" si="2"/>
        <v>34.200000000000003</v>
      </c>
      <c r="T470" s="278"/>
      <c r="U470" s="245"/>
    </row>
    <row r="471" spans="4:21" ht="47.25">
      <c r="D471" s="294" t="s">
        <v>774</v>
      </c>
      <c r="E471" s="261" t="s">
        <v>570</v>
      </c>
      <c r="F471" s="246">
        <v>1</v>
      </c>
      <c r="G471" s="245">
        <v>7</v>
      </c>
      <c r="H471" s="245"/>
      <c r="I471" s="245"/>
      <c r="J471" s="245">
        <v>2.2000000000000002</v>
      </c>
      <c r="K471" s="245">
        <v>1.2</v>
      </c>
      <c r="L471" s="245">
        <v>34.299999999999997</v>
      </c>
      <c r="M471" s="315"/>
      <c r="N471" s="245">
        <v>39.9</v>
      </c>
      <c r="O471" s="245"/>
      <c r="P471" s="245"/>
      <c r="Q471" s="245"/>
      <c r="R471" s="245"/>
      <c r="S471" s="245">
        <f t="shared" si="2"/>
        <v>39.9</v>
      </c>
      <c r="T471" s="278"/>
      <c r="U471" s="245"/>
    </row>
    <row r="472" spans="4:21" ht="47.25">
      <c r="D472" s="294" t="s">
        <v>775</v>
      </c>
      <c r="E472" s="261" t="s">
        <v>571</v>
      </c>
      <c r="F472" s="246">
        <v>1</v>
      </c>
      <c r="G472" s="245">
        <v>24.5</v>
      </c>
      <c r="H472" s="245"/>
      <c r="I472" s="245"/>
      <c r="J472" s="245">
        <v>7.9</v>
      </c>
      <c r="K472" s="245">
        <v>4.0999999999999996</v>
      </c>
      <c r="L472" s="245">
        <v>18.8</v>
      </c>
      <c r="M472" s="315"/>
      <c r="N472" s="245">
        <v>76.900000000000006</v>
      </c>
      <c r="O472" s="245"/>
      <c r="P472" s="245"/>
      <c r="Q472" s="245"/>
      <c r="R472" s="245"/>
      <c r="S472" s="245">
        <f t="shared" si="2"/>
        <v>76.900000000000006</v>
      </c>
      <c r="T472" s="278"/>
      <c r="U472" s="245"/>
    </row>
    <row r="473" spans="4:21" ht="47.25">
      <c r="D473" s="294" t="s">
        <v>776</v>
      </c>
      <c r="E473" s="261" t="s">
        <v>574</v>
      </c>
      <c r="F473" s="246">
        <v>1</v>
      </c>
      <c r="G473" s="245">
        <v>15.3</v>
      </c>
      <c r="H473" s="245"/>
      <c r="I473" s="245"/>
      <c r="J473" s="245">
        <v>4.9000000000000004</v>
      </c>
      <c r="K473" s="245">
        <v>2.6</v>
      </c>
      <c r="L473" s="245">
        <v>22.3</v>
      </c>
      <c r="M473" s="315"/>
      <c r="N473" s="245">
        <v>57</v>
      </c>
      <c r="O473" s="245"/>
      <c r="P473" s="245"/>
      <c r="Q473" s="245"/>
      <c r="R473" s="245"/>
      <c r="S473" s="245">
        <f t="shared" si="2"/>
        <v>57</v>
      </c>
      <c r="T473" s="278"/>
      <c r="U473" s="245"/>
    </row>
    <row r="474" spans="4:21" ht="47.25">
      <c r="D474" s="294" t="s">
        <v>777</v>
      </c>
      <c r="E474" s="261" t="s">
        <v>574</v>
      </c>
      <c r="F474" s="246">
        <v>1</v>
      </c>
      <c r="G474" s="245">
        <v>15.3</v>
      </c>
      <c r="H474" s="245"/>
      <c r="I474" s="245"/>
      <c r="J474" s="245">
        <v>4.9000000000000004</v>
      </c>
      <c r="K474" s="245">
        <v>2.6</v>
      </c>
      <c r="L474" s="245">
        <v>22.3</v>
      </c>
      <c r="M474" s="315"/>
      <c r="N474" s="245">
        <v>57</v>
      </c>
      <c r="O474" s="245"/>
      <c r="P474" s="245"/>
      <c r="Q474" s="245"/>
      <c r="R474" s="245"/>
      <c r="S474" s="245">
        <f t="shared" si="2"/>
        <v>57</v>
      </c>
      <c r="T474" s="278"/>
      <c r="U474" s="245"/>
    </row>
    <row r="475" spans="4:21" ht="47.25">
      <c r="D475" s="294" t="s">
        <v>778</v>
      </c>
      <c r="E475" s="261" t="s">
        <v>574</v>
      </c>
      <c r="F475" s="246">
        <v>1</v>
      </c>
      <c r="G475" s="245">
        <v>15.3</v>
      </c>
      <c r="H475" s="245"/>
      <c r="I475" s="245"/>
      <c r="J475" s="245">
        <v>4.9000000000000004</v>
      </c>
      <c r="K475" s="245">
        <v>2.6</v>
      </c>
      <c r="L475" s="245">
        <v>22.3</v>
      </c>
      <c r="M475" s="315"/>
      <c r="N475" s="245">
        <v>57</v>
      </c>
      <c r="O475" s="245"/>
      <c r="P475" s="245"/>
      <c r="Q475" s="245"/>
      <c r="R475" s="245"/>
      <c r="S475" s="245">
        <f t="shared" si="2"/>
        <v>57</v>
      </c>
      <c r="T475" s="278"/>
      <c r="U475" s="245"/>
    </row>
    <row r="476" spans="4:21" ht="47.25">
      <c r="D476" s="294" t="s">
        <v>779</v>
      </c>
      <c r="E476" s="261" t="s">
        <v>574</v>
      </c>
      <c r="F476" s="246">
        <v>1</v>
      </c>
      <c r="G476" s="245">
        <v>15.3</v>
      </c>
      <c r="H476" s="245"/>
      <c r="I476" s="245"/>
      <c r="J476" s="245">
        <v>4.9000000000000004</v>
      </c>
      <c r="K476" s="245">
        <v>2.6</v>
      </c>
      <c r="L476" s="245">
        <v>22.3</v>
      </c>
      <c r="M476" s="315"/>
      <c r="N476" s="245">
        <v>57</v>
      </c>
      <c r="O476" s="245"/>
      <c r="P476" s="245"/>
      <c r="Q476" s="245"/>
      <c r="R476" s="245"/>
      <c r="S476" s="245">
        <f t="shared" si="2"/>
        <v>57</v>
      </c>
      <c r="T476" s="278"/>
      <c r="U476" s="245"/>
    </row>
    <row r="477" spans="4:21" ht="47.25">
      <c r="D477" s="294" t="s">
        <v>780</v>
      </c>
      <c r="E477" s="261" t="s">
        <v>575</v>
      </c>
      <c r="F477" s="246">
        <v>1</v>
      </c>
      <c r="G477" s="245">
        <v>24.5</v>
      </c>
      <c r="H477" s="245"/>
      <c r="I477" s="245"/>
      <c r="J477" s="245">
        <v>7.9</v>
      </c>
      <c r="K477" s="245">
        <v>4.0999999999999996</v>
      </c>
      <c r="L477" s="245">
        <v>18.8</v>
      </c>
      <c r="M477" s="315"/>
      <c r="N477" s="245">
        <v>76.900000000000006</v>
      </c>
      <c r="O477" s="245"/>
      <c r="P477" s="245"/>
      <c r="Q477" s="245"/>
      <c r="R477" s="245"/>
      <c r="S477" s="245">
        <f t="shared" si="2"/>
        <v>76.900000000000006</v>
      </c>
      <c r="T477" s="278"/>
      <c r="U477" s="245"/>
    </row>
    <row r="478" spans="4:21" ht="47.25">
      <c r="D478" s="294" t="s">
        <v>781</v>
      </c>
      <c r="E478" s="261" t="s">
        <v>576</v>
      </c>
      <c r="F478" s="246">
        <v>1</v>
      </c>
      <c r="G478" s="245">
        <v>47.9</v>
      </c>
      <c r="H478" s="245"/>
      <c r="I478" s="245"/>
      <c r="J478" s="245">
        <v>15.4</v>
      </c>
      <c r="K478" s="245">
        <v>8</v>
      </c>
      <c r="L478" s="245">
        <v>10.3</v>
      </c>
      <c r="M478" s="315"/>
      <c r="N478" s="245">
        <v>82.6</v>
      </c>
      <c r="O478" s="245"/>
      <c r="P478" s="245"/>
      <c r="Q478" s="245"/>
      <c r="R478" s="245"/>
      <c r="S478" s="245">
        <f t="shared" si="2"/>
        <v>82.6</v>
      </c>
      <c r="T478" s="278"/>
      <c r="U478" s="245"/>
    </row>
    <row r="479" spans="4:21" ht="47.25">
      <c r="D479" s="294" t="s">
        <v>782</v>
      </c>
      <c r="E479" s="261" t="s">
        <v>575</v>
      </c>
      <c r="F479" s="246">
        <v>1</v>
      </c>
      <c r="G479" s="245">
        <v>24.5</v>
      </c>
      <c r="H479" s="245"/>
      <c r="I479" s="245"/>
      <c r="J479" s="245">
        <v>7.9</v>
      </c>
      <c r="K479" s="245">
        <v>4.0999999999999996</v>
      </c>
      <c r="L479" s="245">
        <v>18.8</v>
      </c>
      <c r="M479" s="315"/>
      <c r="N479" s="245">
        <v>76.900000000000006</v>
      </c>
      <c r="O479" s="245"/>
      <c r="P479" s="245"/>
      <c r="Q479" s="245"/>
      <c r="R479" s="245"/>
      <c r="S479" s="245">
        <f t="shared" si="2"/>
        <v>76.900000000000006</v>
      </c>
      <c r="T479" s="278"/>
      <c r="U479" s="245"/>
    </row>
    <row r="480" spans="4:21" ht="31.5" customHeight="1">
      <c r="D480" s="294" t="s">
        <v>783</v>
      </c>
      <c r="E480" s="261" t="s">
        <v>577</v>
      </c>
      <c r="F480" s="246">
        <v>1</v>
      </c>
      <c r="G480" s="245">
        <v>47.9</v>
      </c>
      <c r="H480" s="245"/>
      <c r="I480" s="245"/>
      <c r="J480" s="245">
        <v>15.4</v>
      </c>
      <c r="K480" s="245">
        <v>8</v>
      </c>
      <c r="L480" s="245">
        <v>10.3</v>
      </c>
      <c r="M480" s="315"/>
      <c r="N480" s="245">
        <v>82.6</v>
      </c>
      <c r="O480" s="245"/>
      <c r="P480" s="245"/>
      <c r="Q480" s="245"/>
      <c r="R480" s="245"/>
      <c r="S480" s="245">
        <f t="shared" si="2"/>
        <v>82.6</v>
      </c>
      <c r="T480" s="278"/>
      <c r="U480" s="245"/>
    </row>
    <row r="481" spans="4:21" ht="47.25">
      <c r="D481" s="294" t="s">
        <v>784</v>
      </c>
      <c r="E481" s="261" t="s">
        <v>580</v>
      </c>
      <c r="F481" s="246">
        <v>1</v>
      </c>
      <c r="G481" s="245">
        <v>13.9</v>
      </c>
      <c r="H481" s="245"/>
      <c r="I481" s="245"/>
      <c r="J481" s="245">
        <v>4.5</v>
      </c>
      <c r="K481" s="245">
        <v>2.2999999999999998</v>
      </c>
      <c r="L481" s="245">
        <v>14.7</v>
      </c>
      <c r="M481" s="315"/>
      <c r="N481" s="245">
        <v>34.200000000000003</v>
      </c>
      <c r="O481" s="245"/>
      <c r="P481" s="245"/>
      <c r="Q481" s="245"/>
      <c r="R481" s="245"/>
      <c r="S481" s="245">
        <f t="shared" si="2"/>
        <v>34.200000000000003</v>
      </c>
      <c r="T481" s="278"/>
      <c r="U481" s="245"/>
    </row>
    <row r="482" spans="4:21" ht="47.25">
      <c r="D482" s="294" t="s">
        <v>785</v>
      </c>
      <c r="E482" s="261" t="s">
        <v>581</v>
      </c>
      <c r="F482" s="246">
        <v>1</v>
      </c>
      <c r="G482" s="245">
        <v>15.3</v>
      </c>
      <c r="H482" s="245"/>
      <c r="I482" s="245"/>
      <c r="J482" s="245">
        <v>4.9000000000000004</v>
      </c>
      <c r="K482" s="245">
        <v>2.6</v>
      </c>
      <c r="L482" s="245">
        <v>22.3</v>
      </c>
      <c r="M482" s="315"/>
      <c r="N482" s="245">
        <v>57</v>
      </c>
      <c r="O482" s="245"/>
      <c r="P482" s="245"/>
      <c r="Q482" s="245"/>
      <c r="R482" s="245"/>
      <c r="S482" s="245">
        <f t="shared" si="2"/>
        <v>57</v>
      </c>
      <c r="T482" s="278"/>
      <c r="U482" s="245"/>
    </row>
    <row r="483" spans="4:21" ht="47.25">
      <c r="D483" s="294" t="s">
        <v>786</v>
      </c>
      <c r="E483" s="261" t="s">
        <v>581</v>
      </c>
      <c r="F483" s="246">
        <v>1</v>
      </c>
      <c r="G483" s="245">
        <v>15.3</v>
      </c>
      <c r="H483" s="245"/>
      <c r="I483" s="245"/>
      <c r="J483" s="245">
        <v>4.9000000000000004</v>
      </c>
      <c r="K483" s="245">
        <v>2.6</v>
      </c>
      <c r="L483" s="245">
        <v>22.3</v>
      </c>
      <c r="M483" s="315"/>
      <c r="N483" s="245">
        <v>57</v>
      </c>
      <c r="O483" s="245"/>
      <c r="P483" s="245"/>
      <c r="Q483" s="245"/>
      <c r="R483" s="245"/>
      <c r="S483" s="245">
        <f t="shared" si="2"/>
        <v>57</v>
      </c>
      <c r="T483" s="278"/>
      <c r="U483" s="245"/>
    </row>
    <row r="484" spans="4:21" ht="47.25">
      <c r="D484" s="294" t="s">
        <v>787</v>
      </c>
      <c r="E484" s="261" t="s">
        <v>581</v>
      </c>
      <c r="F484" s="246">
        <v>1</v>
      </c>
      <c r="G484" s="245">
        <v>15.3</v>
      </c>
      <c r="H484" s="245"/>
      <c r="I484" s="245"/>
      <c r="J484" s="245">
        <v>4.9000000000000004</v>
      </c>
      <c r="K484" s="245">
        <v>2.6</v>
      </c>
      <c r="L484" s="245">
        <v>22.3</v>
      </c>
      <c r="M484" s="315"/>
      <c r="N484" s="245">
        <v>57</v>
      </c>
      <c r="O484" s="245"/>
      <c r="P484" s="245"/>
      <c r="Q484" s="245"/>
      <c r="R484" s="245"/>
      <c r="S484" s="245">
        <f t="shared" si="2"/>
        <v>57</v>
      </c>
      <c r="T484" s="278"/>
      <c r="U484" s="245"/>
    </row>
    <row r="485" spans="4:21" ht="47.25">
      <c r="D485" s="294" t="s">
        <v>788</v>
      </c>
      <c r="E485" s="261" t="s">
        <v>581</v>
      </c>
      <c r="F485" s="246">
        <v>1</v>
      </c>
      <c r="G485" s="245">
        <v>15.3</v>
      </c>
      <c r="H485" s="245"/>
      <c r="I485" s="245"/>
      <c r="J485" s="245">
        <v>4.9000000000000004</v>
      </c>
      <c r="K485" s="245">
        <v>2.6</v>
      </c>
      <c r="L485" s="245">
        <v>22.3</v>
      </c>
      <c r="M485" s="315"/>
      <c r="N485" s="245">
        <v>57</v>
      </c>
      <c r="O485" s="245"/>
      <c r="P485" s="245"/>
      <c r="Q485" s="245"/>
      <c r="R485" s="245"/>
      <c r="S485" s="245">
        <f t="shared" si="2"/>
        <v>57</v>
      </c>
      <c r="T485" s="278"/>
      <c r="U485" s="245"/>
    </row>
    <row r="486" spans="4:21" ht="47.25">
      <c r="D486" s="294" t="s">
        <v>789</v>
      </c>
      <c r="E486" s="261" t="s">
        <v>582</v>
      </c>
      <c r="F486" s="246">
        <v>1</v>
      </c>
      <c r="G486" s="245">
        <v>13.8</v>
      </c>
      <c r="H486" s="245"/>
      <c r="I486" s="245"/>
      <c r="J486" s="245">
        <v>4.5</v>
      </c>
      <c r="K486" s="245">
        <v>2.2999999999999998</v>
      </c>
      <c r="L486" s="245">
        <v>14.8</v>
      </c>
      <c r="M486" s="315"/>
      <c r="N486" s="245">
        <v>34.200000000000003</v>
      </c>
      <c r="O486" s="245"/>
      <c r="P486" s="245"/>
      <c r="Q486" s="245"/>
      <c r="R486" s="245"/>
      <c r="S486" s="245">
        <f t="shared" si="2"/>
        <v>34.200000000000003</v>
      </c>
      <c r="T486" s="278"/>
      <c r="U486" s="245"/>
    </row>
    <row r="487" spans="4:21" ht="47.25">
      <c r="D487" s="294" t="s">
        <v>790</v>
      </c>
      <c r="E487" s="261" t="s">
        <v>585</v>
      </c>
      <c r="F487" s="246">
        <v>1</v>
      </c>
      <c r="G487" s="245">
        <v>15.3</v>
      </c>
      <c r="H487" s="245"/>
      <c r="I487" s="245"/>
      <c r="J487" s="245">
        <v>4.9000000000000004</v>
      </c>
      <c r="K487" s="245">
        <v>2.6</v>
      </c>
      <c r="L487" s="245">
        <v>22.3</v>
      </c>
      <c r="M487" s="315"/>
      <c r="N487" s="245">
        <v>57</v>
      </c>
      <c r="O487" s="245"/>
      <c r="P487" s="245"/>
      <c r="Q487" s="245"/>
      <c r="R487" s="245"/>
      <c r="S487" s="245">
        <f t="shared" si="2"/>
        <v>57</v>
      </c>
      <c r="T487" s="278"/>
      <c r="U487" s="245"/>
    </row>
    <row r="488" spans="4:21" ht="47.25">
      <c r="D488" s="294" t="s">
        <v>791</v>
      </c>
      <c r="E488" s="261" t="s">
        <v>585</v>
      </c>
      <c r="F488" s="246">
        <v>1</v>
      </c>
      <c r="G488" s="245">
        <v>15.3</v>
      </c>
      <c r="H488" s="245"/>
      <c r="I488" s="245"/>
      <c r="J488" s="245">
        <v>4.9000000000000004</v>
      </c>
      <c r="K488" s="245">
        <v>2.6</v>
      </c>
      <c r="L488" s="245">
        <v>22.3</v>
      </c>
      <c r="M488" s="315"/>
      <c r="N488" s="245">
        <v>57</v>
      </c>
      <c r="O488" s="245"/>
      <c r="P488" s="245"/>
      <c r="Q488" s="245"/>
      <c r="R488" s="245"/>
      <c r="S488" s="245">
        <f t="shared" si="2"/>
        <v>57</v>
      </c>
      <c r="T488" s="278"/>
      <c r="U488" s="245"/>
    </row>
    <row r="489" spans="4:21" ht="47.25">
      <c r="D489" s="294" t="s">
        <v>792</v>
      </c>
      <c r="E489" s="261" t="s">
        <v>585</v>
      </c>
      <c r="F489" s="246">
        <v>1</v>
      </c>
      <c r="G489" s="245">
        <v>15.3</v>
      </c>
      <c r="H489" s="245"/>
      <c r="I489" s="245"/>
      <c r="J489" s="245">
        <v>4.9000000000000004</v>
      </c>
      <c r="K489" s="245">
        <v>2.6</v>
      </c>
      <c r="L489" s="245">
        <v>22.3</v>
      </c>
      <c r="M489" s="315"/>
      <c r="N489" s="245">
        <v>57</v>
      </c>
      <c r="O489" s="245"/>
      <c r="P489" s="245"/>
      <c r="Q489" s="245"/>
      <c r="R489" s="245"/>
      <c r="S489" s="245">
        <f t="shared" si="2"/>
        <v>57</v>
      </c>
      <c r="T489" s="278"/>
      <c r="U489" s="245"/>
    </row>
    <row r="490" spans="4:21" ht="47.25">
      <c r="D490" s="294" t="s">
        <v>793</v>
      </c>
      <c r="E490" s="261" t="s">
        <v>585</v>
      </c>
      <c r="F490" s="246">
        <v>1</v>
      </c>
      <c r="G490" s="245">
        <v>15.3</v>
      </c>
      <c r="H490" s="245"/>
      <c r="I490" s="245"/>
      <c r="J490" s="245">
        <v>4.9000000000000004</v>
      </c>
      <c r="K490" s="245">
        <v>2.6</v>
      </c>
      <c r="L490" s="245">
        <v>22.3</v>
      </c>
      <c r="M490" s="315"/>
      <c r="N490" s="245">
        <v>57</v>
      </c>
      <c r="O490" s="245"/>
      <c r="P490" s="245"/>
      <c r="Q490" s="245"/>
      <c r="R490" s="245"/>
      <c r="S490" s="245">
        <f t="shared" si="2"/>
        <v>57</v>
      </c>
      <c r="T490" s="278"/>
      <c r="U490" s="245"/>
    </row>
    <row r="491" spans="4:21" ht="47.25">
      <c r="D491" s="294" t="s">
        <v>794</v>
      </c>
      <c r="E491" s="261" t="s">
        <v>586</v>
      </c>
      <c r="F491" s="246">
        <v>1</v>
      </c>
      <c r="G491" s="245">
        <v>13.9</v>
      </c>
      <c r="H491" s="245"/>
      <c r="I491" s="245"/>
      <c r="J491" s="245">
        <v>4.5</v>
      </c>
      <c r="K491" s="245">
        <v>2.2999999999999998</v>
      </c>
      <c r="L491" s="245">
        <v>14.7</v>
      </c>
      <c r="M491" s="315"/>
      <c r="N491" s="245">
        <v>34.200000000000003</v>
      </c>
      <c r="O491" s="245"/>
      <c r="P491" s="245"/>
      <c r="Q491" s="245"/>
      <c r="R491" s="245"/>
      <c r="S491" s="245">
        <f t="shared" si="2"/>
        <v>34.200000000000003</v>
      </c>
      <c r="T491" s="278"/>
      <c r="U491" s="245"/>
    </row>
    <row r="492" spans="4:21" ht="47.25">
      <c r="D492" s="294" t="s">
        <v>795</v>
      </c>
      <c r="E492" s="261" t="s">
        <v>587</v>
      </c>
      <c r="F492" s="246">
        <v>1</v>
      </c>
      <c r="G492" s="245">
        <v>15.3</v>
      </c>
      <c r="H492" s="245"/>
      <c r="I492" s="245"/>
      <c r="J492" s="245">
        <v>4.9000000000000004</v>
      </c>
      <c r="K492" s="245">
        <v>2.6</v>
      </c>
      <c r="L492" s="245">
        <v>22.3</v>
      </c>
      <c r="M492" s="315"/>
      <c r="N492" s="245">
        <v>57</v>
      </c>
      <c r="O492" s="245"/>
      <c r="P492" s="245"/>
      <c r="Q492" s="245"/>
      <c r="R492" s="245"/>
      <c r="S492" s="245">
        <f t="shared" si="2"/>
        <v>57</v>
      </c>
      <c r="T492" s="278"/>
      <c r="U492" s="245"/>
    </row>
    <row r="493" spans="4:21" ht="47.25">
      <c r="D493" s="294" t="s">
        <v>796</v>
      </c>
      <c r="E493" s="261" t="s">
        <v>587</v>
      </c>
      <c r="F493" s="246">
        <v>1</v>
      </c>
      <c r="G493" s="245">
        <v>15.3</v>
      </c>
      <c r="H493" s="245"/>
      <c r="I493" s="245"/>
      <c r="J493" s="245">
        <v>4.9000000000000004</v>
      </c>
      <c r="K493" s="245">
        <v>2.6</v>
      </c>
      <c r="L493" s="245">
        <v>22.3</v>
      </c>
      <c r="M493" s="315"/>
      <c r="N493" s="245">
        <v>57</v>
      </c>
      <c r="O493" s="245"/>
      <c r="P493" s="245"/>
      <c r="Q493" s="245"/>
      <c r="R493" s="245"/>
      <c r="S493" s="245">
        <f t="shared" si="2"/>
        <v>57</v>
      </c>
      <c r="T493" s="278"/>
      <c r="U493" s="245"/>
    </row>
    <row r="494" spans="4:21" ht="47.25">
      <c r="D494" s="294" t="s">
        <v>797</v>
      </c>
      <c r="E494" s="261" t="s">
        <v>588</v>
      </c>
      <c r="F494" s="246">
        <v>1</v>
      </c>
      <c r="G494" s="245">
        <v>7</v>
      </c>
      <c r="H494" s="245"/>
      <c r="I494" s="245"/>
      <c r="J494" s="245">
        <v>2.2000000000000002</v>
      </c>
      <c r="K494" s="245">
        <v>1.2</v>
      </c>
      <c r="L494" s="245">
        <v>34.299999999999997</v>
      </c>
      <c r="M494" s="315"/>
      <c r="N494" s="245">
        <v>39.9</v>
      </c>
      <c r="O494" s="245"/>
      <c r="P494" s="245"/>
      <c r="Q494" s="245"/>
      <c r="R494" s="245"/>
      <c r="S494" s="245">
        <f t="shared" si="2"/>
        <v>39.9</v>
      </c>
      <c r="T494" s="278"/>
      <c r="U494" s="245"/>
    </row>
    <row r="495" spans="4:21" ht="47.25">
      <c r="D495" s="294" t="s">
        <v>798</v>
      </c>
      <c r="E495" s="261" t="s">
        <v>587</v>
      </c>
      <c r="F495" s="246">
        <v>1</v>
      </c>
      <c r="G495" s="245">
        <v>15.3</v>
      </c>
      <c r="H495" s="245"/>
      <c r="I495" s="245"/>
      <c r="J495" s="245">
        <v>4.9000000000000004</v>
      </c>
      <c r="K495" s="245">
        <v>2.6</v>
      </c>
      <c r="L495" s="245">
        <v>22.3</v>
      </c>
      <c r="M495" s="315"/>
      <c r="N495" s="245">
        <v>57</v>
      </c>
      <c r="O495" s="245"/>
      <c r="P495" s="245"/>
      <c r="Q495" s="245"/>
      <c r="R495" s="245"/>
      <c r="S495" s="245">
        <f t="shared" si="2"/>
        <v>57</v>
      </c>
      <c r="T495" s="278"/>
      <c r="U495" s="245"/>
    </row>
    <row r="496" spans="4:21" ht="47.25">
      <c r="D496" s="294" t="s">
        <v>799</v>
      </c>
      <c r="E496" s="261" t="s">
        <v>587</v>
      </c>
      <c r="F496" s="246">
        <v>1</v>
      </c>
      <c r="G496" s="245">
        <v>15.3</v>
      </c>
      <c r="H496" s="245"/>
      <c r="I496" s="245"/>
      <c r="J496" s="245">
        <v>4.9000000000000004</v>
      </c>
      <c r="K496" s="245">
        <v>2.6</v>
      </c>
      <c r="L496" s="245">
        <v>22.3</v>
      </c>
      <c r="M496" s="315"/>
      <c r="N496" s="245">
        <v>57</v>
      </c>
      <c r="O496" s="245"/>
      <c r="P496" s="245"/>
      <c r="Q496" s="245"/>
      <c r="R496" s="245"/>
      <c r="S496" s="245">
        <f t="shared" si="2"/>
        <v>57</v>
      </c>
      <c r="T496" s="278"/>
      <c r="U496" s="245"/>
    </row>
    <row r="497" spans="4:21" ht="47.25">
      <c r="D497" s="294" t="s">
        <v>800</v>
      </c>
      <c r="E497" s="261" t="s">
        <v>587</v>
      </c>
      <c r="F497" s="246">
        <v>1</v>
      </c>
      <c r="G497" s="245">
        <v>15.3</v>
      </c>
      <c r="H497" s="245"/>
      <c r="I497" s="245"/>
      <c r="J497" s="245">
        <v>4.9000000000000004</v>
      </c>
      <c r="K497" s="245">
        <v>2.6</v>
      </c>
      <c r="L497" s="245">
        <v>22.3</v>
      </c>
      <c r="M497" s="315"/>
      <c r="N497" s="245">
        <v>57</v>
      </c>
      <c r="O497" s="245"/>
      <c r="P497" s="245"/>
      <c r="Q497" s="245"/>
      <c r="R497" s="245"/>
      <c r="S497" s="245">
        <f t="shared" si="2"/>
        <v>57</v>
      </c>
      <c r="T497" s="278"/>
      <c r="U497" s="245"/>
    </row>
    <row r="498" spans="4:21" ht="47.25">
      <c r="D498" s="294" t="s">
        <v>801</v>
      </c>
      <c r="E498" s="261" t="s">
        <v>589</v>
      </c>
      <c r="F498" s="246">
        <v>1</v>
      </c>
      <c r="G498" s="245">
        <v>47.9</v>
      </c>
      <c r="H498" s="245"/>
      <c r="I498" s="245"/>
      <c r="J498" s="245">
        <v>15.4</v>
      </c>
      <c r="K498" s="245">
        <v>8</v>
      </c>
      <c r="L498" s="245">
        <v>10.3</v>
      </c>
      <c r="M498" s="315"/>
      <c r="N498" s="245">
        <v>82.6</v>
      </c>
      <c r="O498" s="245"/>
      <c r="P498" s="245"/>
      <c r="Q498" s="245"/>
      <c r="R498" s="245"/>
      <c r="S498" s="245">
        <f t="shared" si="2"/>
        <v>82.6</v>
      </c>
      <c r="T498" s="278"/>
      <c r="U498" s="245"/>
    </row>
    <row r="499" spans="4:21" ht="47.25">
      <c r="D499" s="294" t="s">
        <v>802</v>
      </c>
      <c r="E499" s="261" t="s">
        <v>589</v>
      </c>
      <c r="F499" s="246">
        <v>1</v>
      </c>
      <c r="G499" s="245">
        <v>47.9</v>
      </c>
      <c r="H499" s="245"/>
      <c r="I499" s="245"/>
      <c r="J499" s="245">
        <v>15.4</v>
      </c>
      <c r="K499" s="245">
        <v>8</v>
      </c>
      <c r="L499" s="245">
        <v>10.3</v>
      </c>
      <c r="M499" s="315"/>
      <c r="N499" s="245">
        <v>82.6</v>
      </c>
      <c r="O499" s="245"/>
      <c r="P499" s="245"/>
      <c r="Q499" s="245"/>
      <c r="R499" s="245"/>
      <c r="S499" s="245">
        <f t="shared" si="2"/>
        <v>82.6</v>
      </c>
      <c r="T499" s="278"/>
      <c r="U499" s="245"/>
    </row>
    <row r="500" spans="4:21" ht="47.25">
      <c r="D500" s="294" t="s">
        <v>803</v>
      </c>
      <c r="E500" s="261" t="s">
        <v>589</v>
      </c>
      <c r="F500" s="246">
        <v>1</v>
      </c>
      <c r="G500" s="245">
        <v>47.9</v>
      </c>
      <c r="H500" s="245"/>
      <c r="I500" s="245"/>
      <c r="J500" s="245">
        <v>15.4</v>
      </c>
      <c r="K500" s="245">
        <v>8</v>
      </c>
      <c r="L500" s="245">
        <v>10.3</v>
      </c>
      <c r="M500" s="315"/>
      <c r="N500" s="245">
        <v>82.6</v>
      </c>
      <c r="O500" s="245"/>
      <c r="P500" s="245"/>
      <c r="Q500" s="245"/>
      <c r="R500" s="245"/>
      <c r="S500" s="245">
        <f t="shared" si="2"/>
        <v>82.6</v>
      </c>
      <c r="T500" s="278"/>
      <c r="U500" s="245"/>
    </row>
    <row r="501" spans="4:21" ht="47.25">
      <c r="D501" s="294" t="s">
        <v>804</v>
      </c>
      <c r="E501" s="261" t="s">
        <v>587</v>
      </c>
      <c r="F501" s="246">
        <v>1</v>
      </c>
      <c r="G501" s="245">
        <v>15.3</v>
      </c>
      <c r="H501" s="245"/>
      <c r="I501" s="245"/>
      <c r="J501" s="245">
        <v>4.9000000000000004</v>
      </c>
      <c r="K501" s="245">
        <v>2.6</v>
      </c>
      <c r="L501" s="245">
        <v>22.3</v>
      </c>
      <c r="M501" s="315"/>
      <c r="N501" s="245">
        <v>57</v>
      </c>
      <c r="O501" s="245"/>
      <c r="P501" s="245"/>
      <c r="Q501" s="245"/>
      <c r="R501" s="245"/>
      <c r="S501" s="245">
        <f t="shared" si="2"/>
        <v>57</v>
      </c>
      <c r="T501" s="278"/>
      <c r="U501" s="245"/>
    </row>
    <row r="502" spans="4:21" ht="47.25">
      <c r="D502" s="294" t="s">
        <v>805</v>
      </c>
      <c r="E502" s="261" t="s">
        <v>587</v>
      </c>
      <c r="F502" s="246">
        <v>1</v>
      </c>
      <c r="G502" s="245">
        <v>15.3</v>
      </c>
      <c r="H502" s="245"/>
      <c r="I502" s="245"/>
      <c r="J502" s="245">
        <v>4.9000000000000004</v>
      </c>
      <c r="K502" s="245">
        <v>2.6</v>
      </c>
      <c r="L502" s="245">
        <v>22.3</v>
      </c>
      <c r="M502" s="315"/>
      <c r="N502" s="245">
        <v>57</v>
      </c>
      <c r="O502" s="245"/>
      <c r="P502" s="245"/>
      <c r="Q502" s="245"/>
      <c r="R502" s="245"/>
      <c r="S502" s="245">
        <f t="shared" si="2"/>
        <v>57</v>
      </c>
      <c r="T502" s="278"/>
      <c r="U502" s="245"/>
    </row>
    <row r="503" spans="4:21" ht="47.25">
      <c r="D503" s="294" t="s">
        <v>806</v>
      </c>
      <c r="E503" s="261" t="s">
        <v>587</v>
      </c>
      <c r="F503" s="246">
        <v>1</v>
      </c>
      <c r="G503" s="245">
        <v>15.3</v>
      </c>
      <c r="H503" s="245"/>
      <c r="I503" s="245"/>
      <c r="J503" s="245">
        <v>4.9000000000000004</v>
      </c>
      <c r="K503" s="245">
        <v>2.6</v>
      </c>
      <c r="L503" s="245">
        <v>22.3</v>
      </c>
      <c r="M503" s="315"/>
      <c r="N503" s="245">
        <v>57</v>
      </c>
      <c r="O503" s="245"/>
      <c r="P503" s="245"/>
      <c r="Q503" s="245"/>
      <c r="R503" s="245"/>
      <c r="S503" s="245">
        <f t="shared" si="2"/>
        <v>57</v>
      </c>
      <c r="T503" s="278"/>
      <c r="U503" s="245"/>
    </row>
    <row r="504" spans="4:21" ht="30" customHeight="1">
      <c r="D504" s="294" t="s">
        <v>886</v>
      </c>
      <c r="E504" s="261" t="s">
        <v>885</v>
      </c>
      <c r="F504" s="246">
        <v>1</v>
      </c>
      <c r="G504" s="245">
        <v>312.2</v>
      </c>
      <c r="H504" s="245"/>
      <c r="I504" s="245"/>
      <c r="J504" s="245">
        <v>100.6</v>
      </c>
      <c r="K504" s="245">
        <v>52.1</v>
      </c>
      <c r="L504" s="245">
        <v>11.7</v>
      </c>
      <c r="M504" s="312"/>
      <c r="N504" s="245">
        <v>609.9</v>
      </c>
      <c r="O504" s="245"/>
      <c r="P504" s="245"/>
      <c r="Q504" s="245"/>
      <c r="R504" s="245"/>
      <c r="S504" s="245">
        <f t="shared" ref="S504" si="4">N504</f>
        <v>609.9</v>
      </c>
      <c r="T504" s="278"/>
      <c r="U504" s="245"/>
    </row>
    <row r="505" spans="4:21">
      <c r="D505" s="526" t="s">
        <v>10</v>
      </c>
      <c r="E505" s="527"/>
      <c r="F505" s="302"/>
      <c r="G505" s="303">
        <f>SUM(G281:G504)</f>
        <v>5161.0000000000127</v>
      </c>
      <c r="H505" s="303">
        <f>SUM(H281:H504)</f>
        <v>31.8</v>
      </c>
      <c r="I505" s="303"/>
      <c r="J505" s="303">
        <f>SUM(J281:J504)</f>
        <v>1667.400000000004</v>
      </c>
      <c r="K505" s="303">
        <f>SUM(K281:K504)</f>
        <v>868.30000000000098</v>
      </c>
      <c r="L505" s="303"/>
      <c r="M505" s="303"/>
      <c r="N505" s="303">
        <f>SUM(N281:N504)</f>
        <v>12993.000000000011</v>
      </c>
      <c r="O505" s="245"/>
      <c r="P505" s="302"/>
      <c r="Q505" s="245"/>
      <c r="R505" s="302"/>
      <c r="S505" s="302">
        <f>N505</f>
        <v>12993.000000000011</v>
      </c>
      <c r="T505" s="303"/>
      <c r="U505" s="245"/>
    </row>
    <row r="506" spans="4:21">
      <c r="M506" s="316"/>
    </row>
    <row r="507" spans="4:21">
      <c r="E507" s="9" t="s">
        <v>26</v>
      </c>
      <c r="F507" s="9"/>
      <c r="G507" s="293">
        <v>4504</v>
      </c>
      <c r="M507" s="316"/>
    </row>
    <row r="508" spans="4:21">
      <c r="E508" s="9" t="s">
        <v>27</v>
      </c>
      <c r="F508" s="9"/>
      <c r="G508" s="48">
        <f>(J274)*100/G507</f>
        <v>32.480709920572053</v>
      </c>
      <c r="H508" s="55" t="s">
        <v>14</v>
      </c>
      <c r="M508" s="316"/>
    </row>
    <row r="509" spans="4:21">
      <c r="G509" s="7"/>
      <c r="H509" s="55"/>
      <c r="M509" s="317"/>
      <c r="N509" s="2"/>
      <c r="O509" s="2"/>
      <c r="P509" s="2"/>
      <c r="Q509" s="2"/>
    </row>
    <row r="510" spans="4:21">
      <c r="E510" s="47" t="s">
        <v>38</v>
      </c>
      <c r="F510" s="47"/>
      <c r="I510" s="197"/>
      <c r="L510" s="7" t="s">
        <v>32</v>
      </c>
      <c r="M510" s="318"/>
      <c r="P510" s="7" t="s">
        <v>24</v>
      </c>
    </row>
    <row r="511" spans="4:21">
      <c r="E511" s="45"/>
      <c r="F511" s="45"/>
      <c r="G511" s="48"/>
      <c r="M511" s="316"/>
    </row>
    <row r="512" spans="4:21">
      <c r="E512" s="246">
        <v>2023</v>
      </c>
      <c r="F512" s="246"/>
      <c r="G512" s="278">
        <f>SUMIF(M:M,E512,J:J)</f>
        <v>321.1577267419384</v>
      </c>
      <c r="H512" s="297">
        <f>G512*100/G507</f>
        <v>7.1305001496877969</v>
      </c>
      <c r="I512" s="298"/>
      <c r="J512" s="299"/>
      <c r="K512" s="246">
        <v>2023</v>
      </c>
      <c r="L512" s="246"/>
      <c r="M512" s="278">
        <f>SUMIF(M17:M273,K512,G17:G273)</f>
        <v>996.72058304000029</v>
      </c>
      <c r="N512" s="300"/>
      <c r="O512" s="246">
        <v>2023</v>
      </c>
      <c r="P512" s="246"/>
      <c r="Q512" s="278">
        <f>SUMIF(M17:M273,O512,H17:H273)</f>
        <v>0</v>
      </c>
    </row>
    <row r="513" spans="5:17">
      <c r="E513" s="246">
        <v>2024</v>
      </c>
      <c r="F513" s="246"/>
      <c r="G513" s="301">
        <f>SUMIF(M:M,E513,J:J)</f>
        <v>311.86362911523173</v>
      </c>
      <c r="H513" s="300">
        <f>G513*100/G507</f>
        <v>6.9241480709420902</v>
      </c>
      <c r="I513" s="298"/>
      <c r="J513" s="299"/>
      <c r="K513" s="246">
        <v>2024</v>
      </c>
      <c r="L513" s="246"/>
      <c r="M513" s="278">
        <f>SUMIF(M17:M273,K513,G17:G273)</f>
        <v>918.83620086399992</v>
      </c>
      <c r="N513" s="300"/>
      <c r="O513" s="246">
        <v>2024</v>
      </c>
      <c r="P513" s="246"/>
      <c r="Q513" s="301">
        <f>SUMIF(M17:M273,O513,H17:H273)</f>
        <v>90.5</v>
      </c>
    </row>
    <row r="514" spans="5:17">
      <c r="E514" s="246">
        <v>2025</v>
      </c>
      <c r="F514" s="246"/>
      <c r="G514" s="301">
        <f>SUMIF(M:M,E514,J:J)</f>
        <v>284.12421174054913</v>
      </c>
      <c r="H514" s="300">
        <f>G514*100/G507</f>
        <v>6.3082640262111269</v>
      </c>
      <c r="I514" s="298"/>
      <c r="J514" s="299"/>
      <c r="K514" s="246">
        <v>2025</v>
      </c>
      <c r="L514" s="246"/>
      <c r="M514" s="301">
        <f>SUMIF(M17:M273,K514,G17:G273)</f>
        <v>881.96660480000003</v>
      </c>
      <c r="N514" s="300"/>
      <c r="O514" s="246">
        <v>2025</v>
      </c>
      <c r="P514" s="246"/>
      <c r="Q514" s="301">
        <f>SUMIF(M17:M273,O514,H17:H273)</f>
        <v>0</v>
      </c>
    </row>
    <row r="515" spans="5:17">
      <c r="E515" s="246">
        <v>2026</v>
      </c>
      <c r="F515" s="246"/>
      <c r="G515" s="301">
        <f>SUMIF(M:M,E515,J:J)</f>
        <v>275.87465025419795</v>
      </c>
      <c r="H515" s="300">
        <f>G515*100/G507</f>
        <v>6.1251032472068818</v>
      </c>
      <c r="I515" s="298"/>
      <c r="J515" s="299"/>
      <c r="K515" s="246">
        <v>2026</v>
      </c>
      <c r="L515" s="246"/>
      <c r="M515" s="301">
        <f>SUMIF(M17:M273,K515,G17:G273)</f>
        <v>855.68439884799989</v>
      </c>
      <c r="N515" s="300"/>
      <c r="O515" s="246">
        <v>2026</v>
      </c>
      <c r="P515" s="246"/>
      <c r="Q515" s="301">
        <f>SUMIF(M17:M273,O515,H17:H273)</f>
        <v>0</v>
      </c>
    </row>
    <row r="516" spans="5:17">
      <c r="E516" s="246">
        <v>2027</v>
      </c>
      <c r="F516" s="246"/>
      <c r="G516" s="301">
        <f>SUMIF(M:M,E516,J:J)</f>
        <v>269.910956970651</v>
      </c>
      <c r="H516" s="300">
        <f>G516*100/G507</f>
        <v>5.9926944265242224</v>
      </c>
      <c r="I516" s="298"/>
      <c r="J516" s="299"/>
      <c r="K516" s="246">
        <v>2027</v>
      </c>
      <c r="L516" s="246"/>
      <c r="M516" s="301">
        <f>SUMIF(M17:M273,K516,G17:G273)</f>
        <v>837.32252543999948</v>
      </c>
      <c r="N516" s="300"/>
      <c r="O516" s="246">
        <v>2027</v>
      </c>
      <c r="P516" s="246"/>
      <c r="Q516" s="301">
        <f>SUMIF(M17:M273,O516,H17:H273)</f>
        <v>0</v>
      </c>
    </row>
    <row r="517" spans="5:17">
      <c r="E517" s="46" t="s">
        <v>37</v>
      </c>
      <c r="F517" s="46"/>
      <c r="G517" s="56">
        <f>SUM(G512:G516)</f>
        <v>1462.9311748225682</v>
      </c>
      <c r="J517" s="173"/>
      <c r="M517" s="316"/>
    </row>
    <row r="518" spans="5:17" ht="16.5" thickBot="1">
      <c r="M518" s="316"/>
    </row>
    <row r="519" spans="5:17" ht="16.5" thickBot="1">
      <c r="M519" s="319"/>
    </row>
    <row r="520" spans="5:17" ht="16.5" thickBot="1">
      <c r="M520" s="320"/>
    </row>
    <row r="521" spans="5:17" ht="16.5" thickBot="1">
      <c r="M521" s="320"/>
    </row>
    <row r="522" spans="5:17">
      <c r="M522" s="316"/>
      <c r="O522" s="173"/>
    </row>
    <row r="523" spans="5:17">
      <c r="M523" s="316"/>
    </row>
    <row r="524" spans="5:17">
      <c r="M524" s="316"/>
    </row>
    <row r="525" spans="5:17" ht="16.5" thickBot="1">
      <c r="M525" s="316"/>
    </row>
    <row r="526" spans="5:17" ht="19.5" thickBot="1">
      <c r="G526" s="194"/>
      <c r="H526" s="173"/>
      <c r="I526" s="197"/>
      <c r="M526" s="316"/>
    </row>
    <row r="527" spans="5:17" ht="19.5" thickBot="1">
      <c r="G527" s="198"/>
      <c r="H527" s="173"/>
      <c r="I527" s="197"/>
      <c r="M527" s="316"/>
    </row>
    <row r="528" spans="5:17" ht="19.5" thickBot="1">
      <c r="G528" s="195"/>
      <c r="H528" s="173"/>
      <c r="I528" s="197"/>
      <c r="M528" s="316"/>
    </row>
    <row r="529" spans="7:13" ht="19.5" thickBot="1">
      <c r="G529" s="198"/>
      <c r="H529" s="196"/>
      <c r="I529" s="197"/>
      <c r="M529" s="316"/>
    </row>
    <row r="530" spans="7:13" ht="19.5" thickBot="1">
      <c r="G530" s="198"/>
      <c r="H530" s="173"/>
      <c r="I530" s="197"/>
      <c r="M530" s="316"/>
    </row>
    <row r="531" spans="7:13">
      <c r="G531" s="7"/>
      <c r="M531" s="316"/>
    </row>
    <row r="532" spans="7:13">
      <c r="M532" s="316"/>
    </row>
    <row r="533" spans="7:13">
      <c r="M533" s="316"/>
    </row>
    <row r="534" spans="7:13">
      <c r="M534" s="316"/>
    </row>
    <row r="535" spans="7:13">
      <c r="G535" s="21"/>
      <c r="H535" s="173"/>
      <c r="I535" s="197"/>
      <c r="M535" s="316"/>
    </row>
    <row r="536" spans="7:13">
      <c r="G536" s="21"/>
      <c r="H536" s="173"/>
      <c r="I536" s="197"/>
      <c r="M536" s="316"/>
    </row>
    <row r="537" spans="7:13">
      <c r="G537" s="21"/>
      <c r="H537" s="173"/>
      <c r="I537" s="197"/>
      <c r="M537" s="316"/>
    </row>
    <row r="538" spans="7:13">
      <c r="G538" s="21"/>
      <c r="H538" s="173"/>
      <c r="I538" s="197"/>
      <c r="M538" s="316"/>
    </row>
    <row r="539" spans="7:13">
      <c r="G539" s="21"/>
      <c r="H539" s="173"/>
      <c r="I539" s="197"/>
      <c r="M539" s="316"/>
    </row>
    <row r="540" spans="7:13">
      <c r="G540" s="21"/>
      <c r="H540" s="173"/>
      <c r="I540" s="197"/>
    </row>
    <row r="541" spans="7:13">
      <c r="G541" s="21"/>
      <c r="H541" s="173"/>
      <c r="I541" s="197"/>
    </row>
    <row r="542" spans="7:13">
      <c r="G542" s="7"/>
    </row>
    <row r="547" spans="5:5">
      <c r="E547" s="15"/>
    </row>
    <row r="548" spans="5:5">
      <c r="E548" s="15"/>
    </row>
    <row r="549" spans="5:5" ht="18.75">
      <c r="E549" s="67"/>
    </row>
    <row r="550" spans="5:5" ht="18.75">
      <c r="E550" s="67"/>
    </row>
    <row r="551" spans="5:5" ht="18.75">
      <c r="E551" s="67"/>
    </row>
    <row r="552" spans="5:5" ht="18.75">
      <c r="E552" s="67"/>
    </row>
    <row r="553" spans="5:5" ht="18.75">
      <c r="E553" s="67"/>
    </row>
  </sheetData>
  <mergeCells count="60">
    <mergeCell ref="D505:E505"/>
    <mergeCell ref="Z76:AA77"/>
    <mergeCell ref="Z17:AA42"/>
    <mergeCell ref="Z48:AA48"/>
    <mergeCell ref="Z60:AA60"/>
    <mergeCell ref="Z66:AA67"/>
    <mergeCell ref="Z69:AA74"/>
    <mergeCell ref="Z47:AA47"/>
    <mergeCell ref="O278:O279"/>
    <mergeCell ref="P278:P279"/>
    <mergeCell ref="Q278:Q279"/>
    <mergeCell ref="R278:R279"/>
    <mergeCell ref="S278:S279"/>
    <mergeCell ref="T278:T279"/>
    <mergeCell ref="U278:U279"/>
    <mergeCell ref="E280:U280"/>
    <mergeCell ref="D16:U16"/>
    <mergeCell ref="E1:U1"/>
    <mergeCell ref="D5:U5"/>
    <mergeCell ref="H3:H4"/>
    <mergeCell ref="G2:J2"/>
    <mergeCell ref="S3:S4"/>
    <mergeCell ref="U3:U4"/>
    <mergeCell ref="T3:T4"/>
    <mergeCell ref="R3:R4"/>
    <mergeCell ref="P3:P4"/>
    <mergeCell ref="O2:U2"/>
    <mergeCell ref="D13:U13"/>
    <mergeCell ref="A2:A4"/>
    <mergeCell ref="B2:B4"/>
    <mergeCell ref="Q3:Q4"/>
    <mergeCell ref="M2:M4"/>
    <mergeCell ref="D2:D4"/>
    <mergeCell ref="N2:N4"/>
    <mergeCell ref="G3:G4"/>
    <mergeCell ref="I3:I4"/>
    <mergeCell ref="J3:J4"/>
    <mergeCell ref="O3:O4"/>
    <mergeCell ref="C2:C4"/>
    <mergeCell ref="E2:E4"/>
    <mergeCell ref="L2:L4"/>
    <mergeCell ref="F2:F4"/>
    <mergeCell ref="K2:K4"/>
    <mergeCell ref="A63:A65"/>
    <mergeCell ref="B63:B65"/>
    <mergeCell ref="C63:C65"/>
    <mergeCell ref="E277:E279"/>
    <mergeCell ref="D277:D279"/>
    <mergeCell ref="D274:E274"/>
    <mergeCell ref="F277:F279"/>
    <mergeCell ref="G277:J277"/>
    <mergeCell ref="K277:K279"/>
    <mergeCell ref="L277:L279"/>
    <mergeCell ref="M277:M279"/>
    <mergeCell ref="N277:N279"/>
    <mergeCell ref="O277:U277"/>
    <mergeCell ref="G278:G279"/>
    <mergeCell ref="H278:H279"/>
    <mergeCell ref="I278:I279"/>
    <mergeCell ref="J278:J279"/>
  </mergeCells>
  <phoneticPr fontId="0" type="noConversion"/>
  <pageMargins left="0.19685039370078741" right="0.19685039370078741" top="0.11811023622047245" bottom="0" header="0" footer="0"/>
  <pageSetup paperSize="9" scale="95" orientation="portrait" horizontalDpi="300" verticalDpi="300" r:id="rId1"/>
  <headerFooter alignWithMargins="0"/>
  <rowBreaks count="2" manualBreakCount="2">
    <brk id="274" min="3" max="20" man="1"/>
    <brk id="276" min="3" max="20" man="1"/>
  </rowBreaks>
  <ignoredErrors>
    <ignoredError sqref="J274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2">
    <tabColor rgb="FF92D050"/>
  </sheetPr>
  <dimension ref="A2:AC142"/>
  <sheetViews>
    <sheetView view="pageBreakPreview" zoomScale="80" zoomScaleNormal="55" zoomScaleSheetLayoutView="80" workbookViewId="0">
      <selection activeCell="D32" sqref="D32"/>
    </sheetView>
  </sheetViews>
  <sheetFormatPr defaultRowHeight="15.75"/>
  <cols>
    <col min="1" max="2" width="4.85546875" style="30" customWidth="1"/>
    <col min="3" max="3" width="45.42578125" style="39" customWidth="1"/>
    <col min="4" max="4" width="17.140625" style="39" customWidth="1"/>
    <col min="5" max="5" width="12.5703125" style="39" bestFit="1" customWidth="1"/>
    <col min="6" max="6" width="23.28515625" style="39" customWidth="1"/>
    <col min="7" max="7" width="9.5703125" style="39" customWidth="1"/>
    <col min="8" max="8" width="8.7109375" style="39" bestFit="1" customWidth="1"/>
    <col min="9" max="17" width="8.7109375" style="39" customWidth="1"/>
    <col min="18" max="18" width="8.42578125" style="39" customWidth="1"/>
    <col min="19" max="19" width="10" style="30" bestFit="1" customWidth="1"/>
    <col min="20" max="20" width="5" style="30" customWidth="1"/>
    <col min="21" max="21" width="17.28515625" style="30" bestFit="1" customWidth="1"/>
    <col min="22" max="22" width="10" style="39" bestFit="1" customWidth="1"/>
    <col min="23" max="23" width="8.85546875" style="39" customWidth="1"/>
    <col min="24" max="24" width="3.5703125" style="39" customWidth="1"/>
    <col min="25" max="26" width="9.140625" style="39"/>
    <col min="27" max="27" width="12.85546875" style="39" bestFit="1" customWidth="1"/>
    <col min="28" max="16384" width="9.140625" style="39"/>
  </cols>
  <sheetData>
    <row r="2" spans="1:23">
      <c r="C2" s="388" t="s">
        <v>17</v>
      </c>
      <c r="D2" s="388" t="s">
        <v>18</v>
      </c>
      <c r="E2" s="388"/>
      <c r="F2" s="549" t="s">
        <v>39</v>
      </c>
      <c r="G2" s="549"/>
      <c r="H2" s="540" t="s">
        <v>19</v>
      </c>
      <c r="I2" s="540"/>
      <c r="J2" s="540"/>
      <c r="K2" s="540"/>
      <c r="L2" s="540"/>
      <c r="M2" s="540" t="s">
        <v>20</v>
      </c>
      <c r="N2" s="540"/>
      <c r="O2" s="540"/>
      <c r="P2" s="540"/>
      <c r="Q2" s="540"/>
      <c r="R2" s="40"/>
    </row>
    <row r="3" spans="1:23" ht="15.75" customHeight="1">
      <c r="C3" s="388"/>
      <c r="D3" s="388"/>
      <c r="E3" s="388"/>
      <c r="F3" s="549"/>
      <c r="G3" s="549"/>
      <c r="H3" s="541">
        <v>2023</v>
      </c>
      <c r="I3" s="541">
        <v>2024</v>
      </c>
      <c r="J3" s="541">
        <v>2025</v>
      </c>
      <c r="K3" s="541">
        <v>2026</v>
      </c>
      <c r="L3" s="541">
        <v>2027</v>
      </c>
      <c r="M3" s="541">
        <v>2023</v>
      </c>
      <c r="N3" s="541">
        <v>2024</v>
      </c>
      <c r="O3" s="541">
        <v>2025</v>
      </c>
      <c r="P3" s="541">
        <v>2026</v>
      </c>
      <c r="Q3" s="541">
        <v>2027</v>
      </c>
      <c r="R3" s="40"/>
    </row>
    <row r="4" spans="1:23" ht="28.5" customHeight="1">
      <c r="C4" s="388"/>
      <c r="D4" s="38" t="s">
        <v>21</v>
      </c>
      <c r="E4" s="37" t="s">
        <v>22</v>
      </c>
      <c r="F4" s="38" t="s">
        <v>21</v>
      </c>
      <c r="G4" s="37" t="s">
        <v>23</v>
      </c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40"/>
    </row>
    <row r="5" spans="1:23">
      <c r="A5" s="42">
        <v>4</v>
      </c>
      <c r="C5" s="546" t="s">
        <v>323</v>
      </c>
      <c r="D5" s="547"/>
      <c r="E5" s="547"/>
      <c r="F5" s="547"/>
      <c r="G5" s="547"/>
      <c r="H5" s="547"/>
      <c r="I5" s="547"/>
      <c r="J5" s="547"/>
      <c r="K5" s="547"/>
      <c r="L5" s="547"/>
      <c r="M5" s="547"/>
      <c r="N5" s="547"/>
      <c r="O5" s="547"/>
      <c r="P5" s="547"/>
      <c r="Q5" s="548"/>
      <c r="R5" s="28"/>
      <c r="S5" s="42"/>
      <c r="U5" s="42"/>
      <c r="W5" s="36"/>
    </row>
    <row r="6" spans="1:23" ht="18.75">
      <c r="A6" s="42"/>
      <c r="C6" s="286" t="s">
        <v>340</v>
      </c>
      <c r="D6" s="287" t="s">
        <v>324</v>
      </c>
      <c r="E6" s="289">
        <v>244731</v>
      </c>
      <c r="F6" s="288" t="str">
        <f t="shared" ref="F6" si="0">"Мкал/"&amp;D6</f>
        <v>Мкал/(тыс м3·сут·°С)</v>
      </c>
      <c r="G6" s="289">
        <v>9.3000000000000007</v>
      </c>
      <c r="H6" s="291">
        <v>0</v>
      </c>
      <c r="I6" s="291">
        <f>Программа!H17+Программа!H18+Программа!H19+Программа!H20+Программа!H21+Программа!H22+Программа!H23+Программа!H24</f>
        <v>90.5</v>
      </c>
      <c r="J6" s="291">
        <v>0</v>
      </c>
      <c r="K6" s="291">
        <v>0</v>
      </c>
      <c r="L6" s="291">
        <v>0</v>
      </c>
      <c r="M6" s="292">
        <f>IF(ISBLANK(E6),G6-H6*U6,(E6*G6/1000-H6*U6)/E6*1000)</f>
        <v>9.3000000000000007</v>
      </c>
      <c r="N6" s="292">
        <f>IF(ISBLANK(E6),M6-I6*U6,(E6*M6/1000-I6*U6)/E6*1000)</f>
        <v>8.9302062264282025</v>
      </c>
      <c r="O6" s="292">
        <f>IF(ISBLANK(E6),N6-J6*U6,(E6*N6/1000-J6*U6)/E6*1000)</f>
        <v>8.9302062264282025</v>
      </c>
      <c r="P6" s="292">
        <f>IF(ISBLANK(E6),O6-K6*U6,(E6*O6/1000-K6*U6)/E6*1000)</f>
        <v>8.9302062264282025</v>
      </c>
      <c r="Q6" s="292">
        <f>IF(ISBLANK(E6),P6-L6*U6,(E6*P6/1000-L6*U6)/E6*1000)</f>
        <v>8.9302062264282025</v>
      </c>
      <c r="R6" s="28"/>
      <c r="S6" s="42"/>
      <c r="U6" s="42">
        <v>1</v>
      </c>
      <c r="W6" s="36"/>
    </row>
    <row r="7" spans="1:23">
      <c r="A7" s="42"/>
      <c r="C7" s="290" t="s">
        <v>341</v>
      </c>
      <c r="D7" s="287" t="s">
        <v>342</v>
      </c>
      <c r="E7" s="289">
        <v>600</v>
      </c>
      <c r="F7" s="288" t="str">
        <f>"Мкал/"&amp;D7</f>
        <v>Мкал/чел</v>
      </c>
      <c r="G7" s="289">
        <v>141.6</v>
      </c>
      <c r="H7" s="291">
        <v>0</v>
      </c>
      <c r="I7" s="291">
        <f>(SUMIFS(Программа!$H:$H,Программа!$M:$M,I$3,Программа!$X:$X,$A33))*$S33</f>
        <v>0</v>
      </c>
      <c r="J7" s="291">
        <f>(SUMIFS(Программа!$H:$H,Программа!$M:$M,J$3,Программа!$X:$X,$A33))*$S33</f>
        <v>0</v>
      </c>
      <c r="K7" s="291">
        <f>(SUMIFS(Программа!$H:$H,Программа!$M:$M,K$3,Программа!$X:$X,$A33))*$S33</f>
        <v>0</v>
      </c>
      <c r="L7" s="291">
        <f>(SUMIFS(Программа!$H:$H,Программа!$M:$M,L$3,Программа!$X:$X,$A33))*$S33</f>
        <v>0</v>
      </c>
      <c r="M7" s="292">
        <f>IF(ISBLANK(E7),G7-H7*U38,(E7*G7/1000-H7*U38)/E7*1000)</f>
        <v>141.59999999999997</v>
      </c>
      <c r="N7" s="292">
        <f>IF(ISBLANK(E7),M7-I7*U38,(E7*M7/1000-I7*U38)/E7*1000)</f>
        <v>141.59999999999997</v>
      </c>
      <c r="O7" s="292">
        <f>IF(ISBLANK(E7),N7-J7*U38,(E7*N7/1000-J7*U38)/E7*1000)</f>
        <v>141.59999999999997</v>
      </c>
      <c r="P7" s="292">
        <f>IF(ISBLANK(E7),O7-K7*U38,(E7*O7/1000-K7*U38)/E7*1000)</f>
        <v>141.59999999999997</v>
      </c>
      <c r="Q7" s="292">
        <f>IF(ISBLANK(E7),P7-L7*U38,(E7*P7/1000-L7*U38)/E7*1000)</f>
        <v>141.59999999999997</v>
      </c>
      <c r="R7" s="28"/>
      <c r="S7" s="42"/>
      <c r="U7" s="42">
        <v>1</v>
      </c>
      <c r="W7" s="36"/>
    </row>
    <row r="8" spans="1:23">
      <c r="A8" s="42"/>
      <c r="C8" s="543" t="s">
        <v>25</v>
      </c>
      <c r="D8" s="544"/>
      <c r="E8" s="544"/>
      <c r="F8" s="544"/>
      <c r="G8" s="544"/>
      <c r="H8" s="544"/>
      <c r="I8" s="544"/>
      <c r="J8" s="544"/>
      <c r="K8" s="544"/>
      <c r="L8" s="544"/>
      <c r="M8" s="544"/>
      <c r="N8" s="544"/>
      <c r="O8" s="544"/>
      <c r="P8" s="544"/>
      <c r="Q8" s="545"/>
      <c r="R8" s="28"/>
      <c r="S8" s="42"/>
      <c r="U8" s="42">
        <v>1</v>
      </c>
      <c r="W8" s="36"/>
    </row>
    <row r="9" spans="1:23">
      <c r="A9" s="42"/>
      <c r="C9" s="290" t="s">
        <v>344</v>
      </c>
      <c r="D9" s="287" t="s">
        <v>7</v>
      </c>
      <c r="E9" s="289" t="s">
        <v>7</v>
      </c>
      <c r="F9" s="288" t="s">
        <v>343</v>
      </c>
      <c r="G9" s="289">
        <v>48811.3</v>
      </c>
      <c r="H9" s="291">
        <f>Программа!G26+Программа!G27+Программа!G28+Программа!G30+Программа!G31+Программа!G33+Программа!G35+Программа!G39+Программа!G40+Программа!G41+Программа!G43+Программа!G47+Программа!G48+Программа!G49+Программа!G51+Программа!G52+Программа!G53+Программа!G54+Программа!G55+Программа!G56+Программа!G57+Программа!G58+Программа!G59+Программа!G60+Программа!G61+Программа!G62+Программа!G63+Программа!G64+Программа!G65+Программа!G66+Программа!G67+Программа!G68+Программа!G145+Программа!G146+Программа!G147+Программа!G148+Программа!G149+Программа!G150+Программа!G151+Программа!G152+Программа!G153+Программа!G154+Программа!G155+Программа!G156+Программа!G157+Программа!G158+Программа!G159+Программа!G160+Программа!G161+Программа!G162+Программа!G163+Программа!G164</f>
        <v>996.72058304000029</v>
      </c>
      <c r="I9" s="291">
        <f>Программа!G29+Программа!G32+Программа!G34+Программа!G36+Программа!G37+Программа!G38+Программа!G42+Программа!G44+Программа!G45+Программа!G46+Программа!G50+Программа!G69+Программа!G70+Программа!G71+Программа!G72+Программа!G73+Программа!G74+Программа!G75+Программа!G76+Программа!G77+Программа!G78+Программа!G79+Программа!G80+Программа!G81+Программа!G82+Программа!G83+Программа!G165+Программа!G166+Программа!G167+Программа!G168+Программа!G169+Программа!G170+Программа!G171+Программа!G172+Программа!G173+Программа!G174+Программа!G175+Программа!G176+Программа!G177+Программа!G178+Программа!G179+Программа!G180</f>
        <v>918.75690086399993</v>
      </c>
      <c r="J9" s="291">
        <f>Программа!G25+Программа!G84+Программа!G85+Программа!G86+Программа!G87+Программа!G88+Программа!G89+Программа!G90+Программа!G91+Программа!G92+Программа!G93+Программа!G94+Программа!G95+Программа!G96+Программа!G97+Программа!G98+Программа!G99+Программа!G100+Программа!G101+Программа!G102+Программа!G103+Программа!G181+Программа!G182+Программа!G183+Программа!G184+Программа!G185+Программа!G186+Программа!G187+Программа!G188+Программа!G189+Программа!G190+Программа!G191+Программа!G192+Программа!G193+Программа!G194+Программа!G195+Программа!G196+Программа!G197+Программа!G198+Программа!G199+Программа!G200</f>
        <v>881.96660480000003</v>
      </c>
      <c r="K9" s="291">
        <f>Программа!G104+Программа!G105+Программа!G106+Программа!G107+Программа!G108+Программа!G109+Программа!G110+Программа!G111+Программа!G112+Программа!G113+Программа!G114+Программа!G115+Программа!G116+Программа!G117+Программа!G118+Программа!G119+Программа!G120+Программа!G121+Программа!G122+Программа!G123+Программа!G124+Программа!G201+Программа!G202+Программа!G203+Программа!G204+Программа!G205+Программа!G206+Программа!G207+Программа!G208+Программа!G209+Программа!G210+Программа!G211+Программа!G212+Программа!G213+Программа!G214+Программа!G215+Программа!G216+Программа!G217+Программа!G218+Программа!G219+Программа!G220+Программа!G221+Программа!G222</f>
        <v>855.68439884799989</v>
      </c>
      <c r="L9" s="291">
        <f>Программа!G125+Программа!G126+Программа!G127+Программа!G128+Программа!G129+Программа!G130+Программа!G131+Программа!G132+Программа!G133+Программа!G134+Программа!G135+Программа!G136+Программа!G137+Программа!G138+Программа!G139+Программа!G140+Программа!G141+Программа!G142+Программа!G143+Программа!G144+Программа!G223+Программа!G224+Программа!G225+Программа!G226+Программа!G227+Программа!G228+Программа!G229+Программа!G230+Программа!G231+Программа!G232+Программа!G233+Программа!G234+Программа!G235+Программа!G236+Программа!G237+Программа!G238+Программа!G239+Программа!G240+Программа!G241+Программа!G242+Программа!G243+Программа!G244+Программа!G245+Программа!G246+Программа!G247+Программа!G248+Программа!G249+Программа!G250+Программа!G251+Программа!G252+Программа!G253+Программа!G254+Программа!G255+Программа!G256+Программа!G257+Программа!G258+Программа!G259+Программа!G260+Программа!G261+Программа!G262+Программа!G263+Программа!G264+Программа!G265+Программа!G266+Программа!G267+Программа!G268+Программа!G269+Программа!G270+Программа!G271+Программа!G272+Программа!G273</f>
        <v>837.32252543999948</v>
      </c>
      <c r="M9" s="292">
        <f>G9-H9</f>
        <v>47814.579416960005</v>
      </c>
      <c r="N9" s="292">
        <f>M9-I9</f>
        <v>46895.822516096006</v>
      </c>
      <c r="O9" s="292">
        <f>N9-J9</f>
        <v>46013.855911296007</v>
      </c>
      <c r="P9" s="292">
        <f>O9-K9</f>
        <v>45158.171512448003</v>
      </c>
      <c r="Q9" s="292">
        <f>P9-L9</f>
        <v>44320.848987008001</v>
      </c>
      <c r="R9" s="28"/>
      <c r="S9" s="42"/>
      <c r="U9" s="42">
        <v>1</v>
      </c>
      <c r="W9" s="36"/>
    </row>
    <row r="10" spans="1:23" s="284" customFormat="1">
      <c r="A10" s="281"/>
      <c r="B10" s="282"/>
      <c r="C10" s="16"/>
      <c r="D10" s="17"/>
      <c r="E10" s="19"/>
      <c r="F10" s="19"/>
      <c r="G10" s="62"/>
      <c r="H10" s="24"/>
      <c r="I10" s="24"/>
      <c r="J10" s="24"/>
      <c r="K10" s="24"/>
      <c r="L10" s="24"/>
      <c r="M10" s="18"/>
      <c r="N10" s="18"/>
      <c r="O10" s="18"/>
      <c r="P10" s="18"/>
      <c r="Q10" s="18"/>
      <c r="R10" s="283"/>
      <c r="S10" s="281"/>
      <c r="T10" s="282"/>
      <c r="U10" s="42">
        <v>1</v>
      </c>
      <c r="W10" s="285"/>
    </row>
    <row r="11" spans="1:23">
      <c r="A11" s="42"/>
      <c r="C11" s="16"/>
      <c r="D11" s="17"/>
      <c r="E11" s="19"/>
      <c r="F11" s="19"/>
      <c r="G11" s="62"/>
      <c r="H11" s="24"/>
      <c r="I11" s="24"/>
      <c r="J11" s="24"/>
      <c r="K11" s="24"/>
      <c r="L11" s="24"/>
      <c r="M11" s="18"/>
      <c r="N11" s="18"/>
      <c r="O11" s="18"/>
      <c r="P11" s="18"/>
      <c r="Q11" s="18"/>
      <c r="R11" s="28"/>
      <c r="S11" s="42"/>
      <c r="U11" s="42">
        <v>1</v>
      </c>
      <c r="W11" s="36"/>
    </row>
    <row r="12" spans="1:23">
      <c r="A12" s="42">
        <v>5</v>
      </c>
      <c r="C12" s="16"/>
      <c r="D12" s="17"/>
      <c r="E12" s="62"/>
      <c r="F12" s="19"/>
      <c r="G12" s="177"/>
      <c r="H12" s="24"/>
      <c r="I12" s="24"/>
      <c r="J12" s="24"/>
      <c r="K12" s="24"/>
      <c r="L12" s="24"/>
      <c r="M12" s="235"/>
      <c r="N12" s="235"/>
      <c r="O12" s="235"/>
      <c r="P12" s="235"/>
      <c r="Q12" s="235"/>
      <c r="R12" s="28"/>
      <c r="S12" s="42"/>
      <c r="U12" s="42">
        <v>1</v>
      </c>
      <c r="W12" s="36"/>
    </row>
    <row r="13" spans="1:23">
      <c r="A13" s="42">
        <v>6</v>
      </c>
      <c r="C13" s="16"/>
      <c r="D13" s="17"/>
      <c r="E13" s="19"/>
      <c r="F13" s="19"/>
      <c r="G13" s="62"/>
      <c r="H13" s="24"/>
      <c r="I13" s="24"/>
      <c r="J13" s="24"/>
      <c r="K13" s="24"/>
      <c r="L13" s="24"/>
      <c r="M13" s="18"/>
      <c r="N13" s="18"/>
      <c r="O13" s="18"/>
      <c r="P13" s="18"/>
      <c r="Q13" s="18"/>
      <c r="R13" s="28"/>
      <c r="S13" s="42"/>
      <c r="U13" s="42">
        <v>1</v>
      </c>
      <c r="W13" s="36"/>
    </row>
    <row r="14" spans="1:23">
      <c r="A14" s="42">
        <v>7</v>
      </c>
      <c r="C14" s="229"/>
      <c r="D14" s="25"/>
      <c r="E14" s="26"/>
      <c r="F14" s="26"/>
      <c r="G14" s="63"/>
      <c r="H14" s="27"/>
      <c r="I14" s="27"/>
      <c r="J14" s="27"/>
      <c r="K14" s="27"/>
      <c r="L14" s="27"/>
      <c r="M14" s="28"/>
      <c r="N14" s="28"/>
      <c r="O14" s="28"/>
      <c r="P14" s="28"/>
      <c r="Q14" s="28"/>
      <c r="R14" s="28"/>
      <c r="S14" s="42"/>
      <c r="U14" s="42">
        <v>1</v>
      </c>
      <c r="W14" s="36"/>
    </row>
    <row r="15" spans="1:23">
      <c r="A15" s="42"/>
      <c r="D15" s="236"/>
      <c r="E15" s="236"/>
      <c r="R15" s="28"/>
      <c r="S15" s="42"/>
      <c r="U15" s="42"/>
      <c r="W15" s="36"/>
    </row>
    <row r="16" spans="1:23">
      <c r="A16" s="42"/>
      <c r="D16" s="236"/>
      <c r="E16" s="236"/>
      <c r="F16" s="307"/>
      <c r="G16" s="30"/>
      <c r="J16" s="244"/>
      <c r="R16" s="28"/>
      <c r="S16" s="42"/>
      <c r="U16" s="42">
        <v>1</v>
      </c>
      <c r="V16" s="236"/>
      <c r="W16" s="36"/>
    </row>
    <row r="17" spans="1:23">
      <c r="A17" s="42"/>
      <c r="D17" s="236"/>
      <c r="E17" s="236"/>
      <c r="F17" s="307"/>
      <c r="G17" s="30"/>
      <c r="I17" s="236"/>
      <c r="J17" s="237"/>
      <c r="K17" s="236"/>
      <c r="M17" s="236"/>
      <c r="R17" s="28"/>
      <c r="S17" s="42"/>
      <c r="U17" s="42">
        <v>1</v>
      </c>
      <c r="W17" s="36"/>
    </row>
    <row r="18" spans="1:23">
      <c r="A18" s="42"/>
      <c r="D18" s="236"/>
      <c r="E18" s="236"/>
      <c r="I18" s="236"/>
      <c r="J18" s="237"/>
      <c r="K18" s="236"/>
      <c r="M18" s="236"/>
      <c r="R18" s="28"/>
      <c r="S18" s="42"/>
      <c r="U18" s="42">
        <v>1</v>
      </c>
      <c r="W18" s="36"/>
    </row>
    <row r="19" spans="1:23">
      <c r="A19" s="42"/>
      <c r="D19" s="236"/>
      <c r="E19" s="236"/>
      <c r="I19" s="236"/>
      <c r="J19" s="237"/>
      <c r="K19" s="236"/>
      <c r="M19" s="236"/>
      <c r="R19" s="28"/>
      <c r="S19" s="42"/>
      <c r="U19" s="42">
        <v>1</v>
      </c>
      <c r="W19" s="36"/>
    </row>
    <row r="20" spans="1:23">
      <c r="A20" s="42">
        <v>12</v>
      </c>
      <c r="D20" s="236"/>
      <c r="E20" s="236"/>
      <c r="I20" s="236"/>
      <c r="J20" s="237"/>
      <c r="K20" s="236"/>
      <c r="M20" s="236"/>
      <c r="R20" s="28"/>
      <c r="S20" s="42"/>
      <c r="U20" s="42">
        <v>1</v>
      </c>
      <c r="W20" s="36"/>
    </row>
    <row r="21" spans="1:23">
      <c r="A21" s="42"/>
      <c r="D21" s="236"/>
      <c r="E21" s="236"/>
      <c r="I21" s="236"/>
      <c r="J21" s="237"/>
      <c r="K21" s="236"/>
      <c r="M21" s="236"/>
      <c r="R21" s="28"/>
      <c r="S21" s="42"/>
      <c r="U21" s="42">
        <v>1</v>
      </c>
      <c r="W21" s="36"/>
    </row>
    <row r="22" spans="1:23">
      <c r="A22" s="42"/>
      <c r="D22" s="236"/>
      <c r="E22" s="236"/>
      <c r="I22" s="236"/>
      <c r="J22" s="237"/>
      <c r="R22" s="28"/>
      <c r="S22" s="42"/>
      <c r="U22" s="42">
        <v>1</v>
      </c>
      <c r="W22" s="36"/>
    </row>
    <row r="23" spans="1:23">
      <c r="A23" s="42"/>
      <c r="I23" s="236"/>
      <c r="R23" s="28"/>
      <c r="S23" s="42"/>
      <c r="U23" s="42">
        <v>1</v>
      </c>
      <c r="W23" s="36"/>
    </row>
    <row r="24" spans="1:23">
      <c r="A24" s="42"/>
      <c r="I24" s="236"/>
      <c r="R24" s="28"/>
      <c r="S24" s="42"/>
      <c r="U24" s="42">
        <v>1</v>
      </c>
      <c r="W24" s="36"/>
    </row>
    <row r="25" spans="1:23">
      <c r="A25" s="42"/>
      <c r="I25" s="236"/>
      <c r="R25" s="28"/>
      <c r="S25" s="42"/>
      <c r="U25" s="42">
        <v>1</v>
      </c>
      <c r="W25" s="36"/>
    </row>
    <row r="26" spans="1:23">
      <c r="A26" s="42"/>
      <c r="R26" s="28"/>
      <c r="S26" s="42"/>
      <c r="U26" s="42">
        <v>1</v>
      </c>
      <c r="W26" s="36"/>
    </row>
    <row r="27" spans="1:23">
      <c r="A27" s="42"/>
      <c r="R27" s="28"/>
      <c r="S27" s="42"/>
      <c r="U27" s="42">
        <v>1</v>
      </c>
      <c r="W27" s="36"/>
    </row>
    <row r="28" spans="1:23">
      <c r="A28" s="42"/>
      <c r="R28" s="28"/>
      <c r="S28" s="42"/>
      <c r="U28" s="42">
        <v>1</v>
      </c>
      <c r="W28" s="36"/>
    </row>
    <row r="29" spans="1:23">
      <c r="A29" s="42"/>
      <c r="R29" s="28"/>
      <c r="S29" s="42"/>
      <c r="U29" s="42">
        <v>1</v>
      </c>
      <c r="W29" s="36"/>
    </row>
    <row r="30" spans="1:23">
      <c r="A30" s="42"/>
      <c r="R30" s="28"/>
      <c r="S30" s="42"/>
      <c r="U30" s="42">
        <v>1</v>
      </c>
      <c r="W30" s="36"/>
    </row>
    <row r="31" spans="1:23">
      <c r="A31" s="42"/>
      <c r="R31" s="28"/>
      <c r="S31" s="42"/>
      <c r="U31" s="42">
        <v>1</v>
      </c>
      <c r="W31" s="36"/>
    </row>
    <row r="32" spans="1:23">
      <c r="A32" s="42"/>
      <c r="R32" s="41"/>
      <c r="S32" s="42"/>
      <c r="U32" s="42">
        <v>1</v>
      </c>
      <c r="W32" s="36"/>
    </row>
    <row r="33" spans="1:29">
      <c r="A33" s="42"/>
      <c r="R33" s="41"/>
      <c r="S33" s="42"/>
      <c r="U33" s="42">
        <v>1</v>
      </c>
      <c r="W33" s="36"/>
    </row>
    <row r="34" spans="1:29">
      <c r="A34" s="42"/>
      <c r="R34" s="41"/>
      <c r="S34" s="42"/>
      <c r="U34" s="42">
        <v>1</v>
      </c>
      <c r="W34" s="36"/>
    </row>
    <row r="35" spans="1:29">
      <c r="A35" s="42"/>
      <c r="I35" s="238"/>
      <c r="L35" s="238"/>
      <c r="M35" s="238"/>
      <c r="N35" s="238"/>
      <c r="O35" s="238"/>
      <c r="P35" s="238"/>
      <c r="Q35" s="238"/>
      <c r="R35" s="41"/>
      <c r="S35" s="42"/>
      <c r="U35" s="42">
        <v>1</v>
      </c>
      <c r="W35" s="36"/>
    </row>
    <row r="36" spans="1:29" ht="15.75" customHeight="1">
      <c r="A36" s="42"/>
      <c r="I36" s="236"/>
      <c r="J36" s="236"/>
      <c r="K36" s="236"/>
      <c r="L36" s="240"/>
      <c r="M36" s="240"/>
      <c r="N36" s="238"/>
      <c r="O36" s="240"/>
      <c r="P36" s="240"/>
      <c r="Q36" s="238"/>
      <c r="R36" s="41"/>
      <c r="S36" s="42"/>
      <c r="U36" s="42">
        <v>1</v>
      </c>
      <c r="W36" s="36"/>
    </row>
    <row r="37" spans="1:29">
      <c r="A37" s="42"/>
      <c r="I37" s="236"/>
      <c r="J37" s="236"/>
      <c r="K37" s="236"/>
      <c r="L37" s="240"/>
      <c r="M37" s="240"/>
      <c r="N37" s="238"/>
      <c r="O37" s="240"/>
      <c r="P37" s="240"/>
      <c r="Q37" s="238"/>
      <c r="R37" s="41"/>
      <c r="S37" s="42"/>
      <c r="U37" s="42">
        <v>1</v>
      </c>
      <c r="W37" s="36"/>
    </row>
    <row r="38" spans="1:29">
      <c r="A38" s="42"/>
      <c r="I38" s="236"/>
      <c r="J38" s="236"/>
      <c r="K38" s="236"/>
      <c r="L38" s="240"/>
      <c r="M38" s="240"/>
      <c r="N38" s="238"/>
      <c r="O38" s="240"/>
      <c r="P38" s="240"/>
      <c r="Q38" s="238"/>
      <c r="R38" s="41"/>
      <c r="S38" s="42"/>
      <c r="U38" s="42">
        <v>1</v>
      </c>
      <c r="W38" s="36"/>
    </row>
    <row r="39" spans="1:29">
      <c r="A39" s="42"/>
      <c r="I39" s="236"/>
      <c r="J39" s="236"/>
      <c r="K39" s="236"/>
      <c r="L39" s="240"/>
      <c r="M39" s="240"/>
      <c r="N39" s="238"/>
      <c r="O39" s="240"/>
      <c r="P39" s="240"/>
      <c r="Q39" s="238"/>
      <c r="R39" s="41"/>
      <c r="S39" s="42"/>
      <c r="U39" s="42">
        <v>1</v>
      </c>
      <c r="W39" s="36"/>
    </row>
    <row r="40" spans="1:29">
      <c r="A40" s="42"/>
      <c r="I40" s="236"/>
      <c r="J40" s="236"/>
      <c r="K40" s="236"/>
      <c r="L40" s="240"/>
      <c r="M40" s="240"/>
      <c r="N40" s="238"/>
      <c r="O40" s="240"/>
      <c r="P40" s="240"/>
      <c r="Q40" s="238"/>
      <c r="R40" s="41"/>
      <c r="S40" s="42"/>
      <c r="U40" s="42">
        <v>1</v>
      </c>
      <c r="W40" s="36"/>
    </row>
    <row r="41" spans="1:29">
      <c r="A41" s="42"/>
      <c r="I41" s="236"/>
      <c r="J41" s="236"/>
      <c r="K41" s="236"/>
      <c r="L41" s="240"/>
      <c r="M41" s="240"/>
      <c r="N41" s="238"/>
      <c r="O41" s="240"/>
      <c r="P41" s="240"/>
      <c r="Q41" s="238"/>
      <c r="R41" s="41"/>
      <c r="S41" s="42"/>
      <c r="U41" s="42">
        <v>1</v>
      </c>
      <c r="W41" s="36"/>
    </row>
    <row r="42" spans="1:29">
      <c r="A42" s="42"/>
      <c r="I42" s="236"/>
      <c r="J42" s="236"/>
      <c r="L42" s="240"/>
      <c r="M42" s="238"/>
      <c r="N42" s="238"/>
      <c r="O42" s="240"/>
      <c r="P42" s="238"/>
      <c r="Q42" s="238"/>
      <c r="R42" s="41"/>
      <c r="S42" s="42"/>
      <c r="U42" s="42">
        <v>1</v>
      </c>
      <c r="W42" s="36"/>
    </row>
    <row r="43" spans="1:29">
      <c r="A43" s="42">
        <v>9</v>
      </c>
      <c r="I43" s="236"/>
      <c r="J43" s="236"/>
      <c r="L43" s="238"/>
      <c r="M43" s="238"/>
      <c r="N43" s="238"/>
      <c r="O43" s="238"/>
      <c r="P43" s="238"/>
      <c r="Q43" s="238"/>
      <c r="R43" s="28"/>
      <c r="S43" s="42"/>
      <c r="U43" s="42">
        <v>1</v>
      </c>
      <c r="W43" s="36"/>
    </row>
    <row r="44" spans="1:29">
      <c r="A44" s="42">
        <v>10</v>
      </c>
      <c r="I44" s="236"/>
      <c r="J44" s="236"/>
      <c r="L44" s="240"/>
      <c r="M44" s="241"/>
      <c r="N44" s="238"/>
      <c r="O44" s="240"/>
      <c r="P44" s="238"/>
      <c r="Q44" s="238"/>
      <c r="R44" s="28"/>
      <c r="S44" s="42"/>
      <c r="U44" s="42">
        <v>1</v>
      </c>
      <c r="W44" s="36"/>
    </row>
    <row r="45" spans="1:29">
      <c r="A45" s="42">
        <v>13</v>
      </c>
      <c r="L45" s="238"/>
      <c r="M45" s="238"/>
      <c r="N45" s="238"/>
      <c r="O45" s="238"/>
      <c r="P45" s="238"/>
      <c r="Q45" s="238"/>
      <c r="R45" s="41"/>
      <c r="S45" s="42"/>
      <c r="U45" s="42">
        <v>1</v>
      </c>
      <c r="W45" s="36"/>
    </row>
    <row r="46" spans="1:29" s="30" customFormat="1">
      <c r="A46" s="42">
        <v>14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28"/>
      <c r="S46" s="42"/>
      <c r="U46" s="42">
        <v>1</v>
      </c>
      <c r="W46" s="36"/>
      <c r="X46" s="39"/>
      <c r="Z46" s="17"/>
      <c r="AA46" s="53"/>
      <c r="AB46" s="53"/>
      <c r="AC46" s="53"/>
    </row>
    <row r="47" spans="1:29" s="30" customFormat="1">
      <c r="A47" s="42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28"/>
      <c r="S47" s="42"/>
      <c r="U47" s="42"/>
      <c r="W47" s="36"/>
      <c r="X47" s="39"/>
      <c r="Z47" s="17"/>
      <c r="AA47" s="53"/>
      <c r="AB47" s="53"/>
      <c r="AC47" s="53"/>
    </row>
    <row r="48" spans="1:29" s="30" customFormat="1">
      <c r="A48" s="42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28"/>
      <c r="S48" s="42"/>
      <c r="U48" s="42"/>
      <c r="W48" s="36"/>
      <c r="X48" s="39"/>
      <c r="Z48" s="17"/>
      <c r="AA48" s="53"/>
      <c r="AB48" s="53"/>
      <c r="AC48" s="53"/>
    </row>
    <row r="49" spans="1:29" s="30" customFormat="1">
      <c r="A49" s="42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28"/>
      <c r="S49" s="42"/>
      <c r="U49" s="42"/>
      <c r="W49" s="36"/>
      <c r="X49" s="39"/>
      <c r="Z49" s="17"/>
      <c r="AA49" s="53"/>
      <c r="AB49" s="53"/>
      <c r="AC49" s="53"/>
    </row>
    <row r="50" spans="1:29" s="30" customFormat="1">
      <c r="A50" s="42"/>
      <c r="C50" s="39"/>
      <c r="D50" s="39"/>
      <c r="E50" s="39"/>
      <c r="F50" s="39"/>
      <c r="G50" s="39"/>
      <c r="H50" s="39"/>
      <c r="I50" s="39"/>
      <c r="J50" s="39"/>
      <c r="K50" s="237"/>
      <c r="L50" s="39"/>
      <c r="M50" s="39"/>
      <c r="N50" s="39"/>
      <c r="O50" s="39"/>
      <c r="P50" s="39"/>
      <c r="Q50" s="39"/>
      <c r="R50" s="28"/>
      <c r="S50" s="42"/>
      <c r="U50" s="42"/>
      <c r="W50" s="36"/>
      <c r="X50" s="39"/>
      <c r="Z50" s="17"/>
      <c r="AA50" s="53"/>
      <c r="AB50" s="53"/>
      <c r="AC50" s="53"/>
    </row>
    <row r="51" spans="1:29" s="30" customFormat="1">
      <c r="A51" s="42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28"/>
      <c r="S51" s="42"/>
      <c r="U51" s="42"/>
      <c r="W51" s="36"/>
      <c r="X51" s="39"/>
      <c r="Z51" s="17"/>
      <c r="AA51" s="53"/>
      <c r="AB51" s="53"/>
      <c r="AC51" s="53"/>
    </row>
    <row r="52" spans="1:29" s="30" customFormat="1">
      <c r="A52" s="42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28"/>
      <c r="S52" s="42"/>
      <c r="U52" s="42"/>
      <c r="W52" s="36"/>
      <c r="X52" s="39"/>
      <c r="Z52" s="17"/>
      <c r="AA52" s="53"/>
      <c r="AB52" s="53"/>
      <c r="AC52" s="53"/>
    </row>
    <row r="53" spans="1:29" s="30" customFormat="1">
      <c r="A53" s="42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28"/>
      <c r="S53" s="42"/>
      <c r="U53" s="42"/>
      <c r="W53" s="36"/>
      <c r="X53" s="39"/>
      <c r="Z53" s="17"/>
      <c r="AA53" s="53"/>
      <c r="AB53" s="53"/>
      <c r="AC53" s="53"/>
    </row>
    <row r="54" spans="1:29" s="30" customFormat="1">
      <c r="A54" s="42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28"/>
      <c r="S54" s="42"/>
      <c r="U54" s="42"/>
      <c r="W54" s="36"/>
      <c r="X54" s="39"/>
      <c r="Z54" s="17"/>
      <c r="AA54" s="53"/>
      <c r="AB54" s="53"/>
      <c r="AC54" s="53"/>
    </row>
    <row r="55" spans="1:29" s="30" customFormat="1">
      <c r="A55" s="42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28"/>
      <c r="S55" s="42"/>
      <c r="U55" s="42"/>
      <c r="W55" s="36"/>
      <c r="X55" s="39"/>
      <c r="Z55" s="17"/>
      <c r="AA55" s="53"/>
      <c r="AB55" s="53"/>
      <c r="AC55" s="53"/>
    </row>
    <row r="56" spans="1:29" s="30" customFormat="1">
      <c r="A56" s="42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28"/>
      <c r="S56" s="42"/>
      <c r="U56" s="42"/>
      <c r="W56" s="36"/>
      <c r="X56" s="39"/>
      <c r="Z56" s="17"/>
      <c r="AA56" s="53"/>
      <c r="AB56" s="53"/>
      <c r="AC56" s="53"/>
    </row>
    <row r="57" spans="1:29" s="30" customFormat="1">
      <c r="A57" s="42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28"/>
      <c r="S57" s="42"/>
      <c r="U57" s="42"/>
      <c r="W57" s="36"/>
      <c r="X57" s="39"/>
      <c r="Z57" s="17"/>
      <c r="AA57" s="53"/>
      <c r="AB57" s="53"/>
      <c r="AC57" s="53"/>
    </row>
    <row r="58" spans="1:29" s="30" customFormat="1">
      <c r="A58" s="42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28"/>
      <c r="S58" s="42"/>
      <c r="U58" s="42"/>
      <c r="W58" s="36"/>
      <c r="X58" s="39"/>
      <c r="Z58" s="17"/>
      <c r="AA58" s="53"/>
      <c r="AB58" s="53"/>
      <c r="AC58" s="53"/>
    </row>
    <row r="59" spans="1:29" s="30" customFormat="1">
      <c r="A59" s="42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28"/>
      <c r="S59" s="42"/>
      <c r="U59" s="42"/>
      <c r="W59" s="36"/>
      <c r="X59" s="39"/>
      <c r="Z59" s="17"/>
      <c r="AA59" s="53"/>
      <c r="AB59" s="53"/>
      <c r="AC59" s="53"/>
    </row>
    <row r="60" spans="1:29" s="30" customFormat="1">
      <c r="A60" s="42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28"/>
      <c r="S60" s="42"/>
      <c r="U60" s="42"/>
      <c r="W60" s="36"/>
      <c r="X60" s="39"/>
      <c r="Z60" s="17"/>
      <c r="AA60" s="53"/>
      <c r="AB60" s="53"/>
      <c r="AC60" s="53"/>
    </row>
    <row r="61" spans="1:29" s="30" customFormat="1">
      <c r="A61" s="42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28"/>
      <c r="S61" s="42"/>
      <c r="U61" s="42"/>
      <c r="W61" s="36"/>
      <c r="X61" s="39"/>
      <c r="Z61" s="17"/>
      <c r="AA61" s="53"/>
      <c r="AB61" s="53"/>
      <c r="AC61" s="53"/>
    </row>
    <row r="62" spans="1:29" s="30" customFormat="1">
      <c r="A62" s="42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28"/>
      <c r="S62" s="42"/>
      <c r="U62" s="42"/>
      <c r="W62" s="36"/>
      <c r="X62" s="39"/>
      <c r="Z62" s="17"/>
      <c r="AA62" s="53"/>
      <c r="AB62" s="53"/>
      <c r="AC62" s="53"/>
    </row>
    <row r="63" spans="1:29" s="30" customFormat="1">
      <c r="A63" s="42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28"/>
      <c r="S63" s="42"/>
      <c r="U63" s="42"/>
      <c r="W63" s="36"/>
      <c r="X63" s="39"/>
      <c r="Z63" s="17"/>
      <c r="AA63" s="53"/>
      <c r="AB63" s="53"/>
      <c r="AC63" s="53"/>
    </row>
    <row r="64" spans="1:29" s="30" customFormat="1">
      <c r="A64" s="42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28"/>
      <c r="S64" s="42"/>
      <c r="U64" s="42"/>
      <c r="W64" s="36"/>
      <c r="X64" s="39"/>
      <c r="Z64" s="17"/>
      <c r="AA64" s="53"/>
      <c r="AB64" s="53"/>
      <c r="AC64" s="53"/>
    </row>
    <row r="65" spans="1:29" s="30" customFormat="1">
      <c r="A65" s="42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28"/>
      <c r="S65" s="42"/>
      <c r="U65" s="42"/>
      <c r="W65" s="36"/>
      <c r="X65" s="39"/>
      <c r="Z65" s="17"/>
      <c r="AA65" s="53"/>
      <c r="AB65" s="53"/>
      <c r="AC65" s="53"/>
    </row>
    <row r="66" spans="1:29" s="30" customFormat="1">
      <c r="A66" s="42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8"/>
      <c r="S66" s="42"/>
      <c r="U66" s="42"/>
      <c r="W66" s="36"/>
      <c r="X66" s="39"/>
      <c r="Z66" s="17"/>
      <c r="AA66" s="53"/>
      <c r="AB66" s="53"/>
      <c r="AC66" s="53"/>
    </row>
    <row r="67" spans="1:29" s="30" customFormat="1">
      <c r="A67" s="42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28"/>
      <c r="S67" s="42"/>
      <c r="U67" s="42"/>
      <c r="W67" s="36"/>
      <c r="X67" s="39"/>
      <c r="Z67" s="17"/>
      <c r="AA67" s="53"/>
      <c r="AB67" s="53"/>
      <c r="AC67" s="53"/>
    </row>
    <row r="68" spans="1:29" s="30" customFormat="1">
      <c r="A68" s="42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28"/>
      <c r="S68" s="42"/>
      <c r="U68" s="42"/>
      <c r="W68" s="36"/>
      <c r="X68" s="39"/>
      <c r="Z68" s="17"/>
      <c r="AA68" s="53"/>
      <c r="AB68" s="53"/>
      <c r="AC68" s="53"/>
    </row>
    <row r="69" spans="1:29" s="30" customFormat="1">
      <c r="A69" s="42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28"/>
      <c r="S69" s="42"/>
      <c r="U69" s="42"/>
      <c r="W69" s="36"/>
      <c r="X69" s="39"/>
      <c r="Z69" s="17"/>
      <c r="AA69" s="53"/>
      <c r="AB69" s="53"/>
      <c r="AC69" s="53"/>
    </row>
    <row r="70" spans="1:29" s="30" customFormat="1">
      <c r="A70" s="42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28"/>
      <c r="S70" s="42"/>
      <c r="U70" s="42"/>
      <c r="W70" s="36"/>
      <c r="X70" s="39"/>
      <c r="Z70" s="17"/>
      <c r="AA70" s="53"/>
      <c r="AB70" s="53"/>
      <c r="AC70" s="53"/>
    </row>
    <row r="71" spans="1:29" s="30" customFormat="1">
      <c r="A71" s="42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28"/>
      <c r="S71" s="42"/>
      <c r="U71" s="42"/>
      <c r="W71" s="36"/>
      <c r="X71" s="39"/>
      <c r="Z71" s="17"/>
      <c r="AA71" s="53"/>
      <c r="AB71" s="53"/>
      <c r="AC71" s="53"/>
    </row>
    <row r="72" spans="1:29" s="30" customFormat="1" ht="35.25" customHeight="1">
      <c r="A72" s="42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28"/>
      <c r="S72" s="42"/>
      <c r="U72" s="42"/>
      <c r="W72" s="36"/>
      <c r="X72" s="39"/>
      <c r="Z72" s="17"/>
      <c r="AA72" s="53"/>
      <c r="AB72" s="53"/>
      <c r="AC72" s="53"/>
    </row>
    <row r="73" spans="1:29" s="30" customFormat="1">
      <c r="A73" s="42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28"/>
      <c r="S73" s="42"/>
      <c r="U73" s="42"/>
      <c r="W73" s="36"/>
      <c r="X73" s="39"/>
      <c r="Z73" s="17"/>
      <c r="AA73" s="53"/>
      <c r="AB73" s="53"/>
      <c r="AC73" s="53"/>
    </row>
    <row r="74" spans="1:29" s="30" customFormat="1">
      <c r="A74" s="42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28"/>
      <c r="S74" s="42"/>
      <c r="U74" s="42"/>
      <c r="W74" s="36"/>
      <c r="X74" s="39"/>
      <c r="Z74" s="17"/>
      <c r="AA74" s="53"/>
      <c r="AB74" s="53"/>
      <c r="AC74" s="53"/>
    </row>
    <row r="75" spans="1:29" s="30" customFormat="1">
      <c r="A75" s="42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28"/>
      <c r="S75" s="42"/>
      <c r="U75" s="42"/>
      <c r="W75" s="36"/>
      <c r="X75" s="39"/>
      <c r="Z75" s="17"/>
      <c r="AA75" s="53"/>
      <c r="AB75" s="53"/>
      <c r="AC75" s="53"/>
    </row>
    <row r="76" spans="1:29" s="30" customFormat="1">
      <c r="A76" s="42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28"/>
      <c r="S76" s="42"/>
      <c r="U76" s="42"/>
      <c r="W76" s="36"/>
      <c r="X76" s="39"/>
      <c r="Z76" s="17"/>
      <c r="AA76" s="53"/>
      <c r="AB76" s="53"/>
      <c r="AC76" s="53"/>
    </row>
    <row r="77" spans="1:29" s="30" customFormat="1">
      <c r="A77" s="42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28"/>
      <c r="S77" s="42"/>
      <c r="U77" s="42"/>
      <c r="W77" s="36"/>
      <c r="X77" s="39"/>
      <c r="Z77" s="17"/>
      <c r="AA77" s="53"/>
      <c r="AB77" s="53"/>
      <c r="AC77" s="53"/>
    </row>
    <row r="78" spans="1:29" s="30" customFormat="1">
      <c r="A78" s="42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28"/>
      <c r="S78" s="42"/>
      <c r="U78" s="42"/>
      <c r="W78" s="36"/>
      <c r="X78" s="39"/>
      <c r="Z78" s="17"/>
      <c r="AA78" s="53"/>
      <c r="AB78" s="53"/>
      <c r="AC78" s="53"/>
    </row>
    <row r="79" spans="1:29" s="30" customFormat="1">
      <c r="A79" s="42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28"/>
      <c r="S79" s="42"/>
      <c r="U79" s="42"/>
      <c r="W79" s="36"/>
      <c r="X79" s="39"/>
      <c r="Z79" s="17"/>
      <c r="AA79" s="53"/>
      <c r="AB79" s="53"/>
      <c r="AC79" s="53"/>
    </row>
    <row r="80" spans="1:29" s="30" customFormat="1">
      <c r="A80" s="42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28"/>
      <c r="S80" s="42"/>
      <c r="U80" s="42"/>
      <c r="W80" s="36"/>
      <c r="X80" s="39"/>
      <c r="Z80" s="17"/>
      <c r="AA80" s="53"/>
      <c r="AB80" s="53"/>
      <c r="AC80" s="53"/>
    </row>
    <row r="81" spans="1:29" s="30" customFormat="1">
      <c r="A81" s="42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28"/>
      <c r="S81" s="42"/>
      <c r="U81" s="42"/>
      <c r="W81" s="36"/>
      <c r="X81" s="39"/>
      <c r="Z81" s="17"/>
      <c r="AA81" s="53"/>
      <c r="AB81" s="53"/>
      <c r="AC81" s="53"/>
    </row>
    <row r="82" spans="1:29" s="30" customFormat="1">
      <c r="A82" s="42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28"/>
      <c r="S82" s="42"/>
      <c r="U82" s="42"/>
      <c r="W82" s="36"/>
      <c r="X82" s="39"/>
      <c r="Z82" s="17"/>
      <c r="AA82" s="53"/>
      <c r="AB82" s="53"/>
      <c r="AC82" s="53"/>
    </row>
    <row r="83" spans="1:29" s="30" customFormat="1">
      <c r="A83" s="42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28"/>
      <c r="S83" s="42"/>
      <c r="U83" s="42"/>
      <c r="W83" s="36"/>
      <c r="X83" s="39"/>
      <c r="Z83" s="17"/>
      <c r="AA83" s="53"/>
      <c r="AB83" s="53"/>
      <c r="AC83" s="53"/>
    </row>
    <row r="84" spans="1:29" s="30" customFormat="1">
      <c r="A84" s="42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28"/>
      <c r="S84" s="42"/>
      <c r="U84" s="42"/>
      <c r="W84" s="36"/>
      <c r="X84" s="39"/>
      <c r="Z84" s="17"/>
      <c r="AA84" s="53"/>
      <c r="AB84" s="53"/>
      <c r="AC84" s="53"/>
    </row>
    <row r="85" spans="1:29" s="30" customFormat="1">
      <c r="A85" s="42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28"/>
      <c r="S85" s="42"/>
      <c r="U85" s="42"/>
      <c r="W85" s="36"/>
      <c r="X85" s="39"/>
      <c r="Z85" s="17"/>
      <c r="AA85" s="53"/>
      <c r="AB85" s="53"/>
      <c r="AC85" s="53"/>
    </row>
    <row r="86" spans="1:29" s="30" customFormat="1" hidden="1">
      <c r="A86" s="42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28"/>
      <c r="S86" s="42"/>
      <c r="U86" s="42"/>
      <c r="W86" s="36"/>
      <c r="X86" s="39"/>
      <c r="Z86" s="17"/>
      <c r="AA86" s="53"/>
      <c r="AB86" s="53"/>
      <c r="AC86" s="53"/>
    </row>
    <row r="87" spans="1:29" s="30" customFormat="1" hidden="1">
      <c r="A87" s="42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28"/>
      <c r="S87" s="42"/>
      <c r="U87" s="42"/>
      <c r="W87" s="36"/>
      <c r="X87" s="39"/>
      <c r="Z87" s="17"/>
      <c r="AA87" s="53"/>
      <c r="AB87" s="53"/>
      <c r="AC87" s="53"/>
    </row>
    <row r="88" spans="1:29" s="30" customFormat="1" hidden="1">
      <c r="A88" s="42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28"/>
      <c r="S88" s="42"/>
      <c r="U88" s="42"/>
      <c r="W88" s="36"/>
      <c r="X88" s="39"/>
      <c r="Z88" s="17"/>
      <c r="AA88" s="53"/>
      <c r="AB88" s="53"/>
      <c r="AC88" s="53"/>
    </row>
    <row r="89" spans="1:29" s="30" customFormat="1" hidden="1">
      <c r="A89" s="42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28"/>
      <c r="S89" s="42"/>
      <c r="U89" s="42"/>
      <c r="W89" s="36"/>
      <c r="X89" s="39"/>
      <c r="Z89" s="17"/>
      <c r="AA89" s="53"/>
      <c r="AB89" s="53"/>
      <c r="AC89" s="53"/>
    </row>
    <row r="90" spans="1:29" s="30" customFormat="1" hidden="1">
      <c r="A90" s="42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28"/>
      <c r="S90" s="42"/>
      <c r="U90" s="42"/>
      <c r="W90" s="36"/>
      <c r="X90" s="39"/>
      <c r="Z90" s="17"/>
      <c r="AA90" s="53"/>
      <c r="AB90" s="53"/>
      <c r="AC90" s="53"/>
    </row>
    <row r="91" spans="1:29" s="30" customFormat="1" hidden="1">
      <c r="A91" s="42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28"/>
      <c r="S91" s="42"/>
      <c r="U91" s="42"/>
      <c r="W91" s="36"/>
      <c r="X91" s="39"/>
      <c r="Z91" s="17"/>
      <c r="AA91" s="53"/>
      <c r="AB91" s="53"/>
      <c r="AC91" s="53"/>
    </row>
    <row r="92" spans="1:29" s="30" customFormat="1" hidden="1">
      <c r="A92" s="42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28"/>
      <c r="S92" s="42"/>
      <c r="U92" s="42"/>
      <c r="W92" s="36"/>
      <c r="X92" s="39"/>
      <c r="Z92" s="17"/>
      <c r="AA92" s="53"/>
      <c r="AB92" s="53"/>
      <c r="AC92" s="53"/>
    </row>
    <row r="93" spans="1:29" s="30" customFormat="1" ht="34.5" hidden="1" customHeight="1">
      <c r="A93" s="42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28"/>
      <c r="S93" s="42"/>
      <c r="U93" s="42"/>
      <c r="W93" s="36"/>
      <c r="X93" s="39"/>
      <c r="Z93" s="17"/>
      <c r="AA93" s="53"/>
      <c r="AB93" s="53"/>
      <c r="AC93" s="53"/>
    </row>
    <row r="94" spans="1:29" s="30" customFormat="1" hidden="1">
      <c r="A94" s="42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28"/>
      <c r="S94" s="42"/>
      <c r="U94" s="42"/>
      <c r="W94" s="36"/>
      <c r="X94" s="39"/>
      <c r="Z94" s="17"/>
      <c r="AA94" s="53"/>
      <c r="AB94" s="53"/>
      <c r="AC94" s="53"/>
    </row>
    <row r="95" spans="1:29" s="30" customFormat="1" hidden="1">
      <c r="A95" s="42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28"/>
      <c r="S95" s="42"/>
      <c r="U95" s="42"/>
      <c r="W95" s="36"/>
      <c r="X95" s="39"/>
      <c r="Z95" s="17"/>
      <c r="AA95" s="53"/>
      <c r="AB95" s="53"/>
      <c r="AC95" s="53"/>
    </row>
    <row r="96" spans="1:29" s="30" customFormat="1" hidden="1">
      <c r="A96" s="42">
        <v>15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28"/>
      <c r="S96" s="42"/>
      <c r="U96" s="42"/>
      <c r="W96" s="36"/>
      <c r="X96" s="39"/>
      <c r="Z96" s="17"/>
      <c r="AA96" s="53"/>
      <c r="AB96" s="53"/>
      <c r="AC96" s="53"/>
    </row>
    <row r="97" spans="1:29" s="30" customFormat="1" hidden="1">
      <c r="A97" s="42">
        <v>17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28"/>
      <c r="S97" s="42"/>
      <c r="U97" s="42"/>
      <c r="W97" s="36"/>
      <c r="X97" s="39"/>
      <c r="Z97" s="17"/>
      <c r="AA97" s="53"/>
      <c r="AB97" s="53"/>
      <c r="AC97" s="53"/>
    </row>
    <row r="121" spans="18:21">
      <c r="R121" s="238"/>
      <c r="S121" s="239"/>
      <c r="T121" s="239"/>
      <c r="U121" s="239"/>
    </row>
    <row r="122" spans="18:21">
      <c r="R122" s="238"/>
      <c r="S122" s="239"/>
      <c r="T122" s="239"/>
      <c r="U122" s="239"/>
    </row>
    <row r="123" spans="18:21">
      <c r="R123" s="238"/>
      <c r="S123" s="239"/>
      <c r="T123" s="239"/>
      <c r="U123" s="239"/>
    </row>
    <row r="124" spans="18:21">
      <c r="R124" s="238"/>
      <c r="S124" s="239"/>
      <c r="T124" s="239"/>
      <c r="U124" s="239"/>
    </row>
    <row r="125" spans="18:21">
      <c r="R125" s="238"/>
      <c r="S125" s="239"/>
      <c r="T125" s="239"/>
      <c r="U125" s="239"/>
    </row>
    <row r="126" spans="18:21">
      <c r="R126" s="238"/>
      <c r="S126" s="239"/>
      <c r="T126" s="239"/>
      <c r="U126" s="239"/>
    </row>
    <row r="127" spans="18:21">
      <c r="R127" s="238"/>
      <c r="S127" s="239"/>
      <c r="T127" s="239"/>
      <c r="U127" s="239"/>
    </row>
    <row r="128" spans="18:21">
      <c r="R128" s="238"/>
      <c r="S128" s="239"/>
      <c r="T128" s="239"/>
      <c r="U128" s="239"/>
    </row>
    <row r="129" spans="18:22">
      <c r="R129" s="238"/>
      <c r="S129" s="239"/>
      <c r="T129" s="239"/>
      <c r="U129" s="239"/>
    </row>
    <row r="130" spans="18:22">
      <c r="R130" s="238"/>
      <c r="S130" s="238"/>
      <c r="T130" s="239"/>
      <c r="U130" s="238"/>
    </row>
    <row r="131" spans="18:22">
      <c r="R131" s="240"/>
      <c r="S131" s="240"/>
      <c r="T131" s="239"/>
      <c r="U131" s="240"/>
      <c r="V131" s="236"/>
    </row>
    <row r="132" spans="18:22">
      <c r="R132" s="236"/>
      <c r="S132" s="236"/>
      <c r="U132" s="236"/>
      <c r="V132" s="236"/>
    </row>
    <row r="133" spans="18:22">
      <c r="R133" s="236"/>
      <c r="S133" s="236"/>
      <c r="U133" s="236"/>
      <c r="V133" s="236"/>
    </row>
    <row r="134" spans="18:22">
      <c r="R134" s="236"/>
      <c r="S134" s="236"/>
      <c r="U134" s="236"/>
      <c r="V134" s="236"/>
    </row>
    <row r="135" spans="18:22">
      <c r="R135" s="236"/>
      <c r="S135" s="236"/>
      <c r="U135" s="236"/>
      <c r="V135" s="236"/>
    </row>
    <row r="136" spans="18:22">
      <c r="R136" s="236"/>
      <c r="S136" s="236"/>
      <c r="U136" s="236"/>
      <c r="V136" s="236"/>
    </row>
    <row r="137" spans="18:22">
      <c r="R137" s="236"/>
      <c r="S137" s="39"/>
      <c r="U137" s="236"/>
    </row>
    <row r="138" spans="18:22">
      <c r="S138" s="39"/>
      <c r="U138" s="39"/>
    </row>
    <row r="139" spans="18:22">
      <c r="R139" s="236"/>
      <c r="S139" s="236"/>
      <c r="U139" s="236"/>
      <c r="V139" s="236"/>
    </row>
    <row r="140" spans="18:22">
      <c r="S140" s="39"/>
      <c r="U140" s="39"/>
    </row>
    <row r="141" spans="18:22">
      <c r="S141" s="39"/>
      <c r="U141" s="39"/>
    </row>
    <row r="142" spans="18:22">
      <c r="S142" s="39"/>
      <c r="U142" s="39"/>
    </row>
  </sheetData>
  <mergeCells count="17">
    <mergeCell ref="C8:Q8"/>
    <mergeCell ref="C5:Q5"/>
    <mergeCell ref="L3:L4"/>
    <mergeCell ref="M3:M4"/>
    <mergeCell ref="N3:N4"/>
    <mergeCell ref="O3:O4"/>
    <mergeCell ref="P3:P4"/>
    <mergeCell ref="Q3:Q4"/>
    <mergeCell ref="C2:C4"/>
    <mergeCell ref="D2:E3"/>
    <mergeCell ref="F2:G3"/>
    <mergeCell ref="H2:L2"/>
    <mergeCell ref="M2:Q2"/>
    <mergeCell ref="H3:H4"/>
    <mergeCell ref="I3:I4"/>
    <mergeCell ref="J3:J4"/>
    <mergeCell ref="K3:K4"/>
  </mergeCells>
  <conditionalFormatting sqref="W1:W1048576">
    <cfRule type="cellIs" dxfId="0" priority="1" operator="lessThan">
      <formula>-15</formula>
    </cfRule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C8:U32"/>
  <sheetViews>
    <sheetView topLeftCell="A7" workbookViewId="0">
      <selection activeCell="R28" sqref="R28"/>
    </sheetView>
  </sheetViews>
  <sheetFormatPr defaultRowHeight="12.75"/>
  <cols>
    <col min="1" max="1" width="3.85546875" customWidth="1"/>
    <col min="2" max="2" width="3.7109375" customWidth="1"/>
    <col min="3" max="3" width="9.140625" hidden="1" customWidth="1"/>
    <col min="4" max="4" width="19.28515625" customWidth="1"/>
    <col min="6" max="6" width="8.28515625" customWidth="1"/>
    <col min="7" max="7" width="7.140625" customWidth="1"/>
    <col min="8" max="8" width="7.5703125" customWidth="1"/>
    <col min="9" max="9" width="4.28515625" customWidth="1"/>
    <col min="10" max="10" width="23.42578125" customWidth="1"/>
    <col min="12" max="14" width="7.7109375" customWidth="1"/>
    <col min="15" max="15" width="7.140625" customWidth="1"/>
    <col min="16" max="16" width="9.140625" hidden="1" customWidth="1"/>
    <col min="17" max="17" width="25.140625" customWidth="1"/>
    <col min="19" max="19" width="9.28515625" customWidth="1"/>
    <col min="20" max="20" width="6.85546875" customWidth="1"/>
    <col min="21" max="21" width="7.5703125" customWidth="1"/>
  </cols>
  <sheetData>
    <row r="8" spans="4:21" ht="48.75" customHeight="1">
      <c r="D8" s="350" t="s">
        <v>888</v>
      </c>
      <c r="E8" s="42" t="s">
        <v>889</v>
      </c>
      <c r="F8" s="344" t="s">
        <v>49</v>
      </c>
      <c r="G8" s="42" t="s">
        <v>24</v>
      </c>
      <c r="H8" s="42" t="s">
        <v>30</v>
      </c>
      <c r="I8" s="30"/>
      <c r="J8" s="348" t="s">
        <v>892</v>
      </c>
      <c r="K8" s="42" t="s">
        <v>889</v>
      </c>
      <c r="L8" s="344" t="s">
        <v>49</v>
      </c>
      <c r="M8" s="42" t="s">
        <v>24</v>
      </c>
      <c r="N8" s="42" t="s">
        <v>30</v>
      </c>
      <c r="Q8" s="348" t="s">
        <v>893</v>
      </c>
      <c r="R8" s="42" t="s">
        <v>889</v>
      </c>
      <c r="S8" s="344" t="s">
        <v>49</v>
      </c>
      <c r="T8" s="42" t="s">
        <v>24</v>
      </c>
      <c r="U8" s="42" t="s">
        <v>30</v>
      </c>
    </row>
    <row r="9" spans="4:21" ht="15.75" customHeight="1">
      <c r="D9" s="332">
        <f>Программа!M26</f>
        <v>2023</v>
      </c>
      <c r="E9" s="42" t="s">
        <v>7</v>
      </c>
      <c r="F9" s="42" t="s">
        <v>7</v>
      </c>
      <c r="G9" s="42" t="s">
        <v>7</v>
      </c>
      <c r="H9" s="42"/>
      <c r="I9" s="30"/>
      <c r="J9" s="332">
        <f>Программа!M26</f>
        <v>2023</v>
      </c>
      <c r="K9" s="42" t="s">
        <v>7</v>
      </c>
      <c r="L9" s="42" t="s">
        <v>7</v>
      </c>
      <c r="M9" s="42" t="s">
        <v>7</v>
      </c>
      <c r="N9" s="42"/>
      <c r="Q9" s="332">
        <f>Программа!M26</f>
        <v>2023</v>
      </c>
      <c r="R9" s="42" t="s">
        <v>7</v>
      </c>
      <c r="S9" s="42" t="s">
        <v>7</v>
      </c>
      <c r="T9" s="42" t="s">
        <v>7</v>
      </c>
      <c r="U9" s="42"/>
    </row>
    <row r="10" spans="4:21" ht="15.75" customHeight="1">
      <c r="D10" s="332">
        <f>Программа!M17</f>
        <v>2024</v>
      </c>
      <c r="E10" s="42" t="s">
        <v>890</v>
      </c>
      <c r="F10" s="42">
        <f>Программа!G21</f>
        <v>7.9299999999999995E-2</v>
      </c>
      <c r="G10" s="42">
        <f>Программа!H17+Программа!H18+Программа!H19+Программа!H20+Программа!H21</f>
        <v>38.5</v>
      </c>
      <c r="H10" s="42">
        <f>Программа!J17+Программа!J18+Программа!J19+Программа!J20+Программа!J21</f>
        <v>6.9</v>
      </c>
      <c r="I10" s="30"/>
      <c r="J10" s="332">
        <f>Программа!M17</f>
        <v>2024</v>
      </c>
      <c r="K10" s="42" t="s">
        <v>891</v>
      </c>
      <c r="L10" s="42" t="s">
        <v>7</v>
      </c>
      <c r="M10" s="74">
        <f>Программа!H22+Программа!H23+Программа!H24</f>
        <v>52</v>
      </c>
      <c r="N10" s="42">
        <f>Программа!J22+Программа!J23+Программа!J24</f>
        <v>9.3000000000000007</v>
      </c>
      <c r="Q10" s="332">
        <f>Программа!M17</f>
        <v>2024</v>
      </c>
      <c r="R10" s="42" t="s">
        <v>7</v>
      </c>
      <c r="S10" s="42" t="s">
        <v>7</v>
      </c>
      <c r="T10" s="42" t="s">
        <v>7</v>
      </c>
      <c r="U10" s="42"/>
    </row>
    <row r="11" spans="4:21" ht="15.75" customHeight="1">
      <c r="D11" s="332">
        <f>Программа!M25</f>
        <v>2025</v>
      </c>
      <c r="E11" s="42" t="s">
        <v>7</v>
      </c>
      <c r="F11" s="42" t="s">
        <v>7</v>
      </c>
      <c r="G11" s="42" t="s">
        <v>7</v>
      </c>
      <c r="H11" s="42"/>
      <c r="I11" s="30"/>
      <c r="J11" s="332">
        <f>Программа!M25</f>
        <v>2025</v>
      </c>
      <c r="K11" s="42" t="s">
        <v>7</v>
      </c>
      <c r="L11" s="42" t="s">
        <v>7</v>
      </c>
      <c r="M11" s="42" t="s">
        <v>7</v>
      </c>
      <c r="N11" s="42"/>
      <c r="Q11" s="332">
        <f>Программа!M25</f>
        <v>2025</v>
      </c>
      <c r="R11" s="332">
        <v>1</v>
      </c>
      <c r="S11" s="74">
        <f>Программа!G25</f>
        <v>21</v>
      </c>
      <c r="T11" s="42" t="s">
        <v>7</v>
      </c>
      <c r="U11" s="42">
        <f>Программа!J25</f>
        <v>6.8</v>
      </c>
    </row>
    <row r="12" spans="4:21" ht="15.75" customHeight="1">
      <c r="D12" s="332">
        <f>Программа!M123</f>
        <v>2026</v>
      </c>
      <c r="E12" s="42" t="s">
        <v>7</v>
      </c>
      <c r="F12" s="42" t="s">
        <v>7</v>
      </c>
      <c r="G12" s="42" t="s">
        <v>7</v>
      </c>
      <c r="H12" s="42"/>
      <c r="I12" s="30"/>
      <c r="J12" s="332">
        <f>Программа!M123</f>
        <v>2026</v>
      </c>
      <c r="K12" s="42" t="s">
        <v>7</v>
      </c>
      <c r="L12" s="42" t="s">
        <v>7</v>
      </c>
      <c r="M12" s="42" t="s">
        <v>7</v>
      </c>
      <c r="N12" s="42"/>
      <c r="Q12" s="332">
        <f>Программа!M123</f>
        <v>2026</v>
      </c>
      <c r="R12" s="42" t="s">
        <v>7</v>
      </c>
      <c r="S12" s="42" t="s">
        <v>7</v>
      </c>
      <c r="T12" s="42" t="s">
        <v>7</v>
      </c>
      <c r="U12" s="42"/>
    </row>
    <row r="13" spans="4:21" ht="15.75" customHeight="1">
      <c r="D13" s="332">
        <f>Программа!M125</f>
        <v>2027</v>
      </c>
      <c r="E13" s="42" t="s">
        <v>7</v>
      </c>
      <c r="F13" s="42" t="s">
        <v>7</v>
      </c>
      <c r="G13" s="42" t="s">
        <v>7</v>
      </c>
      <c r="H13" s="42"/>
      <c r="I13" s="30"/>
      <c r="J13" s="332">
        <f>Программа!M125</f>
        <v>2027</v>
      </c>
      <c r="K13" s="42" t="s">
        <v>7</v>
      </c>
      <c r="L13" s="42" t="s">
        <v>7</v>
      </c>
      <c r="M13" s="42" t="s">
        <v>7</v>
      </c>
      <c r="N13" s="42"/>
      <c r="Q13" s="332">
        <f>Программа!M125</f>
        <v>2027</v>
      </c>
      <c r="R13" s="42" t="s">
        <v>7</v>
      </c>
      <c r="S13" s="42" t="s">
        <v>7</v>
      </c>
      <c r="T13" s="42" t="s">
        <v>7</v>
      </c>
      <c r="U13" s="42"/>
    </row>
    <row r="14" spans="4:21" ht="15.75" customHeight="1">
      <c r="D14" s="30"/>
      <c r="E14" s="30"/>
      <c r="F14" s="30"/>
      <c r="G14" s="30"/>
      <c r="H14" s="351">
        <f>SUM(H9:H13)</f>
        <v>6.9</v>
      </c>
      <c r="I14" s="30"/>
      <c r="N14" s="351">
        <f>SUM(N9:N13)</f>
        <v>9.3000000000000007</v>
      </c>
      <c r="U14" s="351">
        <f>SUM(U9:U13)</f>
        <v>6.8</v>
      </c>
    </row>
    <row r="15" spans="4:21" ht="15.75" customHeight="1">
      <c r="D15" s="30"/>
      <c r="E15" s="30"/>
      <c r="F15" s="30"/>
      <c r="G15" s="30"/>
      <c r="H15" s="30"/>
      <c r="I15" s="30"/>
    </row>
    <row r="16" spans="4:21" ht="58.5" customHeight="1">
      <c r="D16" s="348" t="s">
        <v>896</v>
      </c>
      <c r="E16" s="42" t="s">
        <v>889</v>
      </c>
      <c r="F16" s="344" t="s">
        <v>49</v>
      </c>
      <c r="G16" s="42" t="s">
        <v>24</v>
      </c>
      <c r="H16" s="42" t="s">
        <v>30</v>
      </c>
      <c r="I16" s="30"/>
      <c r="J16" s="331" t="s">
        <v>894</v>
      </c>
      <c r="K16" s="42" t="s">
        <v>889</v>
      </c>
      <c r="L16" s="42" t="s">
        <v>49</v>
      </c>
      <c r="M16" s="42" t="s">
        <v>24</v>
      </c>
      <c r="N16" s="42" t="s">
        <v>30</v>
      </c>
      <c r="Q16" s="331" t="s">
        <v>895</v>
      </c>
      <c r="R16" s="42" t="s">
        <v>889</v>
      </c>
      <c r="S16" s="344" t="s">
        <v>49</v>
      </c>
      <c r="T16" s="42" t="s">
        <v>24</v>
      </c>
      <c r="U16" s="42" t="s">
        <v>30</v>
      </c>
    </row>
    <row r="17" spans="4:21" ht="15.75" customHeight="1">
      <c r="D17" s="332">
        <f>D9</f>
        <v>2023</v>
      </c>
      <c r="E17" s="42">
        <f>Программа!F26+Программа!F27+Программа!F28+Программа!F30+Программа!F31+Программа!F33+Программа!F35+Программа!F39+Программа!F40+Программа!F41+Программа!F43+Программа!F47+Программа!F48+Программа!F49</f>
        <v>14</v>
      </c>
      <c r="F17" s="42">
        <f>Программа!G26+Программа!G27+Программа!G28+Программа!G30+Программа!G31+Программа!G33+Программа!G35+Программа!G39+Программа!G40+Программа!G41+Программа!G43+Программа!G47+Программа!G48+Программа!G49</f>
        <v>246.09999999999997</v>
      </c>
      <c r="G17" s="42" t="s">
        <v>7</v>
      </c>
      <c r="H17" s="74">
        <f>Программа!J26+Программа!J27+Программа!J28+Программа!J30+Программа!J31+Программа!J33+Программа!J35+Программа!J39+Программа!J40+Программа!J41+Программа!J43+Программа!J47+Программа!J48+Программа!J49</f>
        <v>79.000000000000014</v>
      </c>
      <c r="I17" s="30"/>
      <c r="J17" s="332">
        <f>J9</f>
        <v>2023</v>
      </c>
      <c r="K17" s="42">
        <f>SUM(Программа!F51:'Программа'!F68)</f>
        <v>18</v>
      </c>
      <c r="L17" s="42">
        <f>SUM(Программа!G51:'Программа'!G68)</f>
        <v>644.80000000000018</v>
      </c>
      <c r="M17" s="42" t="s">
        <v>7</v>
      </c>
      <c r="N17" s="74">
        <f>SUM(Программа!J51:'Программа'!J68)</f>
        <v>208.00000000000006</v>
      </c>
      <c r="Q17" s="332">
        <f>Q9</f>
        <v>2023</v>
      </c>
      <c r="R17" s="42">
        <f>SUM(Программа!F145:'Программа'!F164)</f>
        <v>1641</v>
      </c>
      <c r="S17" s="74">
        <f>SUM(Программа!G145:'Программа'!G164)</f>
        <v>105.82058304000003</v>
      </c>
      <c r="T17" s="42" t="s">
        <v>7</v>
      </c>
      <c r="U17" s="74">
        <f>SUM(Программа!J145:'Программа'!J164)</f>
        <v>34.15772674193817</v>
      </c>
    </row>
    <row r="18" spans="4:21" ht="15.75" customHeight="1">
      <c r="D18" s="332">
        <f t="shared" ref="D18:D21" si="0">D10</f>
        <v>2024</v>
      </c>
      <c r="E18" s="42">
        <f>Программа!F29+Программа!F32+Программа!F34+Программа!F36+Программа!F37+Программа!F38+Программа!F42+Программа!F44+Программа!F45+Программа!F46+Программа!F50</f>
        <v>11</v>
      </c>
      <c r="F18" s="74">
        <f>Программа!G29+Программа!G32+Программа!G34+Программа!G36+Программа!G37+Программа!G38+Программа!G42+Программа!G44+Программа!G45+Программа!G46+Программа!G50</f>
        <v>262</v>
      </c>
      <c r="G18" s="42" t="s">
        <v>7</v>
      </c>
      <c r="H18" s="74">
        <f>Программа!J29+Программа!J32+Программа!J34+Программа!J36+Программа!J37+Программа!J38+Программа!J42+Программа!J44+Программа!J45+Программа!J46+Программа!J50</f>
        <v>84.1</v>
      </c>
      <c r="I18" s="30"/>
      <c r="J18" s="332">
        <f t="shared" ref="J18:J21" si="1">J10</f>
        <v>2024</v>
      </c>
      <c r="K18" s="42">
        <f>SUM(Программа!F69:'Программа'!F83)</f>
        <v>15</v>
      </c>
      <c r="L18" s="42">
        <f>SUM(Программа!G69:'Программа'!G83)</f>
        <v>648.80000000000007</v>
      </c>
      <c r="M18" s="42" t="s">
        <v>7</v>
      </c>
      <c r="N18" s="74">
        <f>SUM(Программа!J69:'Программа'!J83)</f>
        <v>209.00000000000003</v>
      </c>
      <c r="Q18" s="332">
        <f t="shared" ref="Q18:Q21" si="2">Q10</f>
        <v>2024</v>
      </c>
      <c r="R18" s="42">
        <f>SUM(Программа!F165:'Программа'!F180)</f>
        <v>164</v>
      </c>
      <c r="S18" s="74">
        <f>SUM(Программа!G165:'Программа'!G180)</f>
        <v>7.9569008640000005</v>
      </c>
      <c r="T18" s="42" t="s">
        <v>7</v>
      </c>
      <c r="U18" s="74">
        <f>SUM(Программа!J165:'Программа'!J180)</f>
        <v>2.5636291152316417</v>
      </c>
    </row>
    <row r="19" spans="4:21" ht="15.75" customHeight="1">
      <c r="D19" s="332">
        <f t="shared" si="0"/>
        <v>2025</v>
      </c>
      <c r="E19" s="42" t="s">
        <v>7</v>
      </c>
      <c r="F19" s="42" t="s">
        <v>7</v>
      </c>
      <c r="G19" s="42" t="s">
        <v>7</v>
      </c>
      <c r="H19" s="42"/>
      <c r="I19" s="30"/>
      <c r="J19" s="332">
        <f t="shared" si="1"/>
        <v>2025</v>
      </c>
      <c r="K19" s="42">
        <f>SUM(Программа!F84:'Программа'!F103)</f>
        <v>20</v>
      </c>
      <c r="L19" s="42">
        <f>SUM(Программа!G84:'Программа'!G103)</f>
        <v>843.20000000000016</v>
      </c>
      <c r="M19" s="42" t="s">
        <v>7</v>
      </c>
      <c r="N19" s="74">
        <f>SUM(Программа!J84:'Программа'!J103)</f>
        <v>271.60000000000008</v>
      </c>
      <c r="Q19" s="332">
        <f t="shared" si="2"/>
        <v>2025</v>
      </c>
      <c r="R19" s="42">
        <f>SUM(Программа!F181:'Программа'!F200)</f>
        <v>311</v>
      </c>
      <c r="S19" s="74">
        <f>SUM(Программа!G181:'Программа'!G200)</f>
        <v>17.766604800000003</v>
      </c>
      <c r="T19" s="42" t="s">
        <v>7</v>
      </c>
      <c r="U19" s="74">
        <f>SUM(Программа!J181:'Программа'!J200)</f>
        <v>5.7242117405491193</v>
      </c>
    </row>
    <row r="20" spans="4:21" ht="15.75" customHeight="1">
      <c r="D20" s="332">
        <f t="shared" si="0"/>
        <v>2026</v>
      </c>
      <c r="E20" s="42" t="s">
        <v>7</v>
      </c>
      <c r="F20" s="42" t="s">
        <v>7</v>
      </c>
      <c r="G20" s="42" t="s">
        <v>7</v>
      </c>
      <c r="H20" s="42"/>
      <c r="I20" s="30"/>
      <c r="J20" s="332">
        <f t="shared" si="1"/>
        <v>2026</v>
      </c>
      <c r="K20" s="42">
        <f>SUM(Программа!F104:'Программа'!F124)</f>
        <v>21</v>
      </c>
      <c r="L20" s="74">
        <f>SUM(Программа!G104:'Программа'!G124)</f>
        <v>812.00000000000023</v>
      </c>
      <c r="M20" s="42" t="s">
        <v>7</v>
      </c>
      <c r="N20" s="74">
        <f>SUM(Программа!J104:'Программа'!J124)</f>
        <v>261.80000000000007</v>
      </c>
      <c r="Q20" s="332">
        <f t="shared" si="2"/>
        <v>2026</v>
      </c>
      <c r="R20" s="42">
        <f>SUM(Программа!F201:'Программа'!F222)</f>
        <v>909</v>
      </c>
      <c r="S20" s="74">
        <f>SUM(Программа!G201:'Программа'!G222)</f>
        <v>43.684398847999994</v>
      </c>
      <c r="T20" s="42" t="s">
        <v>7</v>
      </c>
      <c r="U20" s="74">
        <f>SUM(Программа!J201:'Программа'!J222)</f>
        <v>14.074650254197811</v>
      </c>
    </row>
    <row r="21" spans="4:21" ht="15.75" customHeight="1">
      <c r="D21" s="332">
        <f t="shared" si="0"/>
        <v>2027</v>
      </c>
      <c r="E21" s="42" t="s">
        <v>7</v>
      </c>
      <c r="F21" s="42" t="s">
        <v>7</v>
      </c>
      <c r="G21" s="42" t="s">
        <v>7</v>
      </c>
      <c r="H21" s="42"/>
      <c r="I21" s="30"/>
      <c r="J21" s="332">
        <f t="shared" si="1"/>
        <v>2027</v>
      </c>
      <c r="K21" s="42">
        <f>SUM(Программа!F125:'Программа'!F144)</f>
        <v>20</v>
      </c>
      <c r="L21" s="42">
        <f>SUM(Программа!G125:'Программа'!G144)</f>
        <v>784.8000000000003</v>
      </c>
      <c r="M21" s="42" t="s">
        <v>7</v>
      </c>
      <c r="N21" s="74">
        <f>SUM(Программа!J125:'Программа'!J144)</f>
        <v>253.00000000000009</v>
      </c>
      <c r="Q21" s="332">
        <f t="shared" si="2"/>
        <v>2027</v>
      </c>
      <c r="R21" s="42">
        <f>SUM(Программа!F223:'Программа'!F273)</f>
        <v>1302</v>
      </c>
      <c r="S21" s="74">
        <f>SUM(Программа!G223:'Программа'!G273)</f>
        <v>52.522525440000052</v>
      </c>
      <c r="T21" s="42" t="s">
        <v>7</v>
      </c>
      <c r="U21" s="74">
        <f>SUM(Программа!J223:'Программа'!J273)</f>
        <v>16.91095697065083</v>
      </c>
    </row>
    <row r="22" spans="4:21" ht="15.75" customHeight="1">
      <c r="D22" s="30"/>
      <c r="E22" s="333">
        <f>SUM(E17:E21)</f>
        <v>25</v>
      </c>
      <c r="F22" s="30"/>
      <c r="G22" s="30"/>
      <c r="H22" s="351">
        <f>SUM(H17:H21)</f>
        <v>163.10000000000002</v>
      </c>
      <c r="I22" s="30"/>
      <c r="K22" s="333">
        <f>SUM(K17:K21)</f>
        <v>94</v>
      </c>
      <c r="R22" s="333">
        <f>SUM(R17:R21)</f>
        <v>4327</v>
      </c>
      <c r="U22" s="347">
        <f>SUM(U17:U21)</f>
        <v>73.431174822567584</v>
      </c>
    </row>
    <row r="23" spans="4:21" ht="15.75" customHeight="1">
      <c r="D23" s="30"/>
      <c r="E23" s="30"/>
      <c r="F23" s="30"/>
      <c r="G23" s="30"/>
      <c r="H23" s="30"/>
      <c r="I23" s="30"/>
    </row>
    <row r="24" spans="4:21" ht="65.25" customHeight="1">
      <c r="D24" s="81" t="s">
        <v>897</v>
      </c>
      <c r="E24" s="42" t="s">
        <v>30</v>
      </c>
      <c r="F24" s="30"/>
      <c r="G24" s="357" t="s">
        <v>897</v>
      </c>
      <c r="H24" s="350" t="s">
        <v>30</v>
      </c>
      <c r="I24" s="30"/>
      <c r="J24" s="349" t="s">
        <v>894</v>
      </c>
      <c r="K24" s="42" t="s">
        <v>889</v>
      </c>
      <c r="L24" s="344" t="s">
        <v>49</v>
      </c>
      <c r="M24" s="42" t="s">
        <v>24</v>
      </c>
      <c r="N24" s="42" t="s">
        <v>30</v>
      </c>
      <c r="Q24" s="348" t="s">
        <v>895</v>
      </c>
      <c r="R24" s="42" t="s">
        <v>889</v>
      </c>
      <c r="S24" s="344" t="s">
        <v>49</v>
      </c>
      <c r="T24" s="42" t="s">
        <v>24</v>
      </c>
      <c r="U24" s="42" t="s">
        <v>30</v>
      </c>
    </row>
    <row r="25" spans="4:21" ht="15.75" customHeight="1">
      <c r="D25" s="42">
        <v>2023</v>
      </c>
      <c r="E25" s="75">
        <f>H17+N17+U17</f>
        <v>321.15772674193823</v>
      </c>
      <c r="G25" s="42">
        <v>2023</v>
      </c>
      <c r="H25" s="352">
        <f>H9+N9+U9+H17+N25+U25</f>
        <v>108.35395332304672</v>
      </c>
      <c r="I25" s="30"/>
      <c r="J25" s="345">
        <v>2023</v>
      </c>
      <c r="K25" s="42" t="s">
        <v>7</v>
      </c>
      <c r="L25" s="42" t="s">
        <v>7</v>
      </c>
      <c r="M25" s="42" t="s">
        <v>7</v>
      </c>
      <c r="N25" s="42"/>
      <c r="Q25" s="332">
        <v>2023</v>
      </c>
      <c r="R25" s="42">
        <f>SUM('1'!F76:'1'!F88)</f>
        <v>1195</v>
      </c>
      <c r="S25" s="74">
        <f>SUM('1'!G76:'1'!G88)</f>
        <v>90.811250688000001</v>
      </c>
      <c r="T25" s="42" t="s">
        <v>7</v>
      </c>
      <c r="U25" s="74">
        <f>SUM('1'!J76:'1'!J88)</f>
        <v>29.353953323046706</v>
      </c>
    </row>
    <row r="26" spans="4:21" ht="15.75" customHeight="1">
      <c r="D26" s="42">
        <v>2024</v>
      </c>
      <c r="E26" s="75">
        <f>H10+N10+H18+N18+U18</f>
        <v>311.86362911523167</v>
      </c>
      <c r="G26" s="354">
        <v>2024</v>
      </c>
      <c r="H26" s="352">
        <f>H10+N10+U10+H18+N26+U26</f>
        <v>102.13288351327344</v>
      </c>
      <c r="I26" s="30"/>
      <c r="J26" s="332">
        <v>2024</v>
      </c>
      <c r="K26" s="42" t="s">
        <v>7</v>
      </c>
      <c r="L26" s="42" t="s">
        <v>7</v>
      </c>
      <c r="M26" s="42" t="s">
        <v>7</v>
      </c>
      <c r="N26" s="42"/>
      <c r="Q26" s="332">
        <v>2024</v>
      </c>
      <c r="R26" s="42">
        <f>SUM('1'!F89:'1'!F101)</f>
        <v>75</v>
      </c>
      <c r="S26" s="74">
        <f>SUM('1'!G89:'1'!G101)</f>
        <v>5.6888386560000006</v>
      </c>
      <c r="T26" s="42" t="s">
        <v>7</v>
      </c>
      <c r="U26" s="74">
        <f>SUM('1'!J89:'1'!J101)</f>
        <v>1.8328835132734465</v>
      </c>
    </row>
    <row r="27" spans="4:21" ht="15.75" customHeight="1">
      <c r="D27" s="42">
        <v>2025</v>
      </c>
      <c r="E27" s="356">
        <f>U11+N19+U19</f>
        <v>284.12421174054919</v>
      </c>
      <c r="G27" s="354">
        <v>2025</v>
      </c>
      <c r="H27" s="352">
        <f>H11+N11+U11+H19+N27+U27</f>
        <v>167.38777815972435</v>
      </c>
      <c r="I27" s="30"/>
      <c r="J27" s="332">
        <v>2025</v>
      </c>
      <c r="K27" s="74">
        <f>SUM('1'!F51:'1'!F58)</f>
        <v>8</v>
      </c>
      <c r="L27" s="74">
        <f>SUM('1'!G51:'1'!G58)</f>
        <v>476.00000000000006</v>
      </c>
      <c r="M27" s="42" t="s">
        <v>7</v>
      </c>
      <c r="N27" s="74">
        <f>SUM('1'!J51:'1'!J58)</f>
        <v>153</v>
      </c>
      <c r="Q27" s="332">
        <v>2025</v>
      </c>
      <c r="R27" s="42">
        <f>SUM('1'!F102:'1'!F114)</f>
        <v>212</v>
      </c>
      <c r="S27" s="74">
        <f>SUM('1'!G102:'1'!G114)</f>
        <v>23.550675967999997</v>
      </c>
      <c r="T27" s="42" t="s">
        <v>7</v>
      </c>
      <c r="U27" s="74">
        <f>SUM('1'!J102:'1'!J114)</f>
        <v>7.5877781597243388</v>
      </c>
    </row>
    <row r="28" spans="4:21" ht="15.75" customHeight="1">
      <c r="D28" s="42">
        <v>2026</v>
      </c>
      <c r="E28" s="356">
        <f>N20+U20</f>
        <v>275.87465025419789</v>
      </c>
      <c r="G28" s="354">
        <v>2026</v>
      </c>
      <c r="H28" s="352">
        <f>H12+N12+U12+H20+N28+U28</f>
        <v>155.52989715318915</v>
      </c>
      <c r="I28" s="30"/>
      <c r="J28" s="332">
        <v>2026</v>
      </c>
      <c r="K28" s="74">
        <f>SUM('1'!F59:'1'!F66)</f>
        <v>8</v>
      </c>
      <c r="L28" s="74">
        <f>SUM('1'!G59:'1'!G66)</f>
        <v>476.00000000000006</v>
      </c>
      <c r="M28" s="42" t="s">
        <v>7</v>
      </c>
      <c r="N28" s="74">
        <f>SUM('1'!J59:'1'!J66)</f>
        <v>153.00000000000003</v>
      </c>
      <c r="Q28" s="332">
        <v>2026</v>
      </c>
      <c r="R28" s="42">
        <f>SUM('1'!F115:'1'!F127)</f>
        <v>119</v>
      </c>
      <c r="S28" s="74">
        <f>SUM('1'!G115:'1'!G127)</f>
        <v>7.8522048000000009</v>
      </c>
      <c r="T28" s="42" t="s">
        <v>7</v>
      </c>
      <c r="U28" s="74">
        <f>SUM('1'!J115:'1'!J127)</f>
        <v>2.5298971531891201</v>
      </c>
    </row>
    <row r="29" spans="4:21" ht="15.75" customHeight="1">
      <c r="D29" s="42">
        <v>2027</v>
      </c>
      <c r="E29" s="356">
        <f>N21+U21</f>
        <v>269.91095697065089</v>
      </c>
      <c r="G29" s="354">
        <v>2027</v>
      </c>
      <c r="H29" s="352">
        <f>H13+N13+U13+H21+N29+U29</f>
        <v>181.12343671035188</v>
      </c>
      <c r="J29" s="332">
        <v>2027</v>
      </c>
      <c r="K29" s="74">
        <f>SUM('1'!F67:'1'!F75)</f>
        <v>9</v>
      </c>
      <c r="L29" s="74">
        <f>SUM('1'!G67:'1'!G75)</f>
        <v>554.40000000000009</v>
      </c>
      <c r="M29" s="42" t="s">
        <v>7</v>
      </c>
      <c r="N29" s="74">
        <f>SUM('1'!J67:'1'!J75)</f>
        <v>178.20000000000002</v>
      </c>
      <c r="Q29" s="332">
        <v>2027</v>
      </c>
      <c r="R29" s="42">
        <f>SUM('1'!F128:'1'!F140)</f>
        <v>130</v>
      </c>
      <c r="S29" s="74">
        <f>SUM('1'!G128:'1'!G140)</f>
        <v>9.0736588800000018</v>
      </c>
      <c r="T29" s="42" t="s">
        <v>7</v>
      </c>
      <c r="U29" s="74">
        <f>SUM('1'!J128:'1'!J140)</f>
        <v>2.9234367103518721</v>
      </c>
    </row>
    <row r="30" spans="4:21" ht="15.75" customHeight="1">
      <c r="D30" s="353"/>
      <c r="E30" s="356">
        <f>SUM(E25:E29)</f>
        <v>1462.931174822568</v>
      </c>
      <c r="G30" s="355"/>
      <c r="H30" s="358">
        <f>SUM(H25:H29)</f>
        <v>714.52794885958542</v>
      </c>
      <c r="K30" s="346">
        <f>SUM(K27:K29)</f>
        <v>25</v>
      </c>
      <c r="L30" s="346">
        <f t="shared" ref="L30:N30" si="3">SUM(L27:L29)</f>
        <v>1506.4</v>
      </c>
      <c r="M30" s="346"/>
      <c r="N30" s="351">
        <f t="shared" si="3"/>
        <v>484.20000000000005</v>
      </c>
      <c r="R30" s="333">
        <f>SUM(R25:R29)</f>
        <v>1731</v>
      </c>
      <c r="S30" s="346">
        <f t="shared" ref="S30:U30" si="4">SUM(S25:S29)</f>
        <v>136.976628992</v>
      </c>
      <c r="T30" s="333"/>
      <c r="U30" s="351">
        <f t="shared" si="4"/>
        <v>44.227948859585482</v>
      </c>
    </row>
    <row r="31" spans="4:21" ht="15.75" customHeight="1"/>
    <row r="32" spans="4:21" ht="15.75" customHeight="1"/>
  </sheetData>
  <pageMargins left="0" right="0" top="0.74803149606299213" bottom="0" header="0.31496062992125984" footer="0.31496062992125984"/>
  <pageSetup paperSize="9"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420"/>
  <sheetViews>
    <sheetView tabSelected="1" topLeftCell="D109" workbookViewId="0">
      <selection activeCell="E149" sqref="E149"/>
    </sheetView>
  </sheetViews>
  <sheetFormatPr defaultRowHeight="15.75"/>
  <cols>
    <col min="1" max="1" width="3.85546875" style="2" hidden="1" customWidth="1"/>
    <col min="2" max="2" width="4.42578125" style="3" hidden="1" customWidth="1"/>
    <col min="3" max="3" width="22" style="5" hidden="1" customWidth="1"/>
    <col min="4" max="4" width="4.28515625" style="275" bestFit="1" customWidth="1"/>
    <col min="5" max="5" width="59.140625" style="6" customWidth="1"/>
    <col min="6" max="6" width="12.42578125" style="6" customWidth="1"/>
    <col min="7" max="8" width="9.85546875" style="2" customWidth="1"/>
    <col min="9" max="9" width="9.85546875" style="54" customWidth="1"/>
    <col min="10" max="10" width="9.85546875" style="2" customWidth="1"/>
    <col min="11" max="11" width="8.85546875" style="7" customWidth="1"/>
    <col min="12" max="12" width="7.42578125" style="7" customWidth="1"/>
    <col min="13" max="13" width="9.5703125" style="309" customWidth="1"/>
    <col min="14" max="14" width="10.5703125" style="7" customWidth="1"/>
    <col min="15" max="15" width="12.28515625" style="7" customWidth="1"/>
    <col min="16" max="16" width="8.85546875" style="7" customWidth="1"/>
    <col min="17" max="17" width="10.7109375" style="7" customWidth="1"/>
    <col min="18" max="18" width="7.85546875" style="300" customWidth="1"/>
    <col min="19" max="19" width="8.7109375" style="7" customWidth="1"/>
    <col min="20" max="20" width="7.7109375" style="7" customWidth="1"/>
    <col min="21" max="21" width="5.85546875" style="7" customWidth="1"/>
    <col min="22" max="22" width="4.85546875" style="7" customWidth="1"/>
    <col min="23" max="25" width="5.28515625" style="29" customWidth="1"/>
    <col min="26" max="26" width="12.140625" style="4" customWidth="1"/>
    <col min="27" max="27" width="25" style="4" customWidth="1"/>
    <col min="28" max="28" width="13.28515625" style="4" customWidth="1"/>
    <col min="29" max="16384" width="9.140625" style="4"/>
  </cols>
  <sheetData>
    <row r="1" spans="1:38" s="8" customFormat="1" ht="31.5" customHeight="1">
      <c r="A1" s="13"/>
      <c r="B1" s="14"/>
      <c r="C1" s="1"/>
      <c r="D1" s="277"/>
      <c r="E1" s="517" t="s">
        <v>339</v>
      </c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  <c r="S1" s="517"/>
      <c r="T1" s="517"/>
      <c r="U1" s="517"/>
      <c r="V1" s="20"/>
      <c r="W1" s="22"/>
      <c r="X1" s="22"/>
      <c r="Y1" s="22"/>
    </row>
    <row r="2" spans="1:38">
      <c r="A2" s="489" t="s">
        <v>0</v>
      </c>
      <c r="B2" s="492" t="s">
        <v>1</v>
      </c>
      <c r="C2" s="495" t="s">
        <v>2</v>
      </c>
      <c r="D2" s="508" t="s">
        <v>8</v>
      </c>
      <c r="E2" s="513" t="s">
        <v>3</v>
      </c>
      <c r="F2" s="514" t="s">
        <v>40</v>
      </c>
      <c r="G2" s="518" t="s">
        <v>4</v>
      </c>
      <c r="H2" s="519"/>
      <c r="I2" s="519"/>
      <c r="J2" s="520"/>
      <c r="K2" s="515" t="s">
        <v>16</v>
      </c>
      <c r="L2" s="506" t="s">
        <v>9</v>
      </c>
      <c r="M2" s="486" t="s">
        <v>28</v>
      </c>
      <c r="N2" s="506" t="s">
        <v>15</v>
      </c>
      <c r="O2" s="522" t="s">
        <v>29</v>
      </c>
      <c r="P2" s="523"/>
      <c r="Q2" s="523"/>
      <c r="R2" s="523"/>
      <c r="S2" s="523"/>
      <c r="T2" s="523"/>
      <c r="U2" s="524"/>
      <c r="V2" s="30"/>
      <c r="W2" s="23"/>
      <c r="X2" s="23"/>
      <c r="Y2" s="23"/>
      <c r="AC2" s="23"/>
      <c r="AD2" s="23"/>
      <c r="AE2" s="23"/>
      <c r="AF2" s="23"/>
      <c r="AI2" s="23"/>
      <c r="AJ2" s="23"/>
      <c r="AK2" s="23"/>
      <c r="AL2" s="23"/>
    </row>
    <row r="3" spans="1:38" ht="75.75" customHeight="1">
      <c r="A3" s="490"/>
      <c r="B3" s="493"/>
      <c r="C3" s="496"/>
      <c r="D3" s="499"/>
      <c r="E3" s="496"/>
      <c r="F3" s="511"/>
      <c r="G3" s="490" t="s">
        <v>11</v>
      </c>
      <c r="H3" s="490" t="s">
        <v>12</v>
      </c>
      <c r="I3" s="490" t="s">
        <v>13</v>
      </c>
      <c r="J3" s="511" t="s">
        <v>5</v>
      </c>
      <c r="K3" s="509"/>
      <c r="L3" s="509"/>
      <c r="M3" s="487"/>
      <c r="N3" s="509"/>
      <c r="O3" s="506" t="s">
        <v>333</v>
      </c>
      <c r="P3" s="506" t="s">
        <v>332</v>
      </c>
      <c r="Q3" s="506" t="s">
        <v>334</v>
      </c>
      <c r="R3" s="471" t="s">
        <v>335</v>
      </c>
      <c r="S3" s="506" t="s">
        <v>338</v>
      </c>
      <c r="T3" s="506" t="s">
        <v>336</v>
      </c>
      <c r="U3" s="506" t="s">
        <v>337</v>
      </c>
      <c r="V3" s="31"/>
      <c r="W3" s="23"/>
      <c r="X3" s="23"/>
      <c r="Y3" s="23"/>
      <c r="AC3" s="170"/>
      <c r="AD3" s="170"/>
      <c r="AE3" s="170"/>
      <c r="AF3" s="170"/>
      <c r="AH3" s="171"/>
      <c r="AI3" s="171"/>
      <c r="AJ3" s="171"/>
      <c r="AK3" s="171"/>
      <c r="AL3" s="171"/>
    </row>
    <row r="4" spans="1:38" ht="52.5" customHeight="1">
      <c r="A4" s="491"/>
      <c r="B4" s="494"/>
      <c r="C4" s="497"/>
      <c r="D4" s="500"/>
      <c r="E4" s="497"/>
      <c r="F4" s="512"/>
      <c r="G4" s="491"/>
      <c r="H4" s="491"/>
      <c r="I4" s="491"/>
      <c r="J4" s="512"/>
      <c r="K4" s="510"/>
      <c r="L4" s="510"/>
      <c r="M4" s="488"/>
      <c r="N4" s="510"/>
      <c r="O4" s="507"/>
      <c r="P4" s="507"/>
      <c r="Q4" s="507"/>
      <c r="R4" s="521"/>
      <c r="S4" s="507"/>
      <c r="T4" s="507"/>
      <c r="U4" s="507"/>
      <c r="V4" s="32"/>
      <c r="W4" s="35" t="s">
        <v>32</v>
      </c>
      <c r="X4" s="35" t="s">
        <v>33</v>
      </c>
      <c r="Y4" s="35" t="s">
        <v>34</v>
      </c>
      <c r="Z4" s="44" t="s">
        <v>35</v>
      </c>
      <c r="AA4" s="169" t="s">
        <v>36</v>
      </c>
      <c r="AC4" s="172"/>
      <c r="AD4" s="172"/>
      <c r="AE4" s="172"/>
      <c r="AF4" s="172"/>
      <c r="AG4" s="172"/>
      <c r="AH4" s="172"/>
      <c r="AI4" s="172"/>
      <c r="AJ4" s="172"/>
      <c r="AK4" s="172"/>
      <c r="AL4" s="172"/>
    </row>
    <row r="5" spans="1:38" ht="15.75" hidden="1" customHeight="1">
      <c r="A5" s="340"/>
      <c r="B5" s="341"/>
      <c r="C5" s="343"/>
      <c r="D5" s="516" t="s">
        <v>247</v>
      </c>
      <c r="E5" s="516"/>
      <c r="F5" s="516"/>
      <c r="G5" s="516"/>
      <c r="H5" s="516"/>
      <c r="I5" s="516"/>
      <c r="J5" s="516"/>
      <c r="K5" s="516"/>
      <c r="L5" s="516"/>
      <c r="M5" s="516"/>
      <c r="N5" s="516"/>
      <c r="O5" s="516"/>
      <c r="P5" s="516"/>
      <c r="Q5" s="516"/>
      <c r="R5" s="516"/>
      <c r="S5" s="516"/>
      <c r="T5" s="516"/>
      <c r="U5" s="516"/>
      <c r="V5" s="32"/>
      <c r="Z5" s="202"/>
      <c r="AA5" s="202"/>
      <c r="AC5" s="172"/>
      <c r="AD5" s="172"/>
      <c r="AE5" s="172"/>
      <c r="AF5" s="172"/>
      <c r="AG5" s="172"/>
      <c r="AH5" s="172"/>
      <c r="AI5" s="172"/>
      <c r="AJ5" s="172"/>
      <c r="AK5" s="172"/>
      <c r="AL5" s="172"/>
    </row>
    <row r="6" spans="1:38" hidden="1">
      <c r="A6" s="340"/>
      <c r="B6" s="341"/>
      <c r="C6" s="343"/>
      <c r="D6" s="342">
        <v>1</v>
      </c>
      <c r="E6" s="15" t="s">
        <v>248</v>
      </c>
      <c r="F6" s="203" t="s">
        <v>7</v>
      </c>
      <c r="G6" s="203" t="s">
        <v>7</v>
      </c>
      <c r="H6" s="203" t="s">
        <v>7</v>
      </c>
      <c r="I6" s="203" t="s">
        <v>7</v>
      </c>
      <c r="J6" s="203" t="s">
        <v>7</v>
      </c>
      <c r="K6" s="203" t="s">
        <v>7</v>
      </c>
      <c r="L6" s="203" t="s">
        <v>7</v>
      </c>
      <c r="M6" s="308">
        <v>2021</v>
      </c>
      <c r="N6" s="203" t="s">
        <v>7</v>
      </c>
      <c r="O6" s="203" t="s">
        <v>7</v>
      </c>
      <c r="P6" s="203" t="s">
        <v>7</v>
      </c>
      <c r="Q6" s="203" t="s">
        <v>7</v>
      </c>
      <c r="R6" s="304" t="s">
        <v>7</v>
      </c>
      <c r="S6" s="203" t="s">
        <v>7</v>
      </c>
      <c r="T6" s="203" t="s">
        <v>7</v>
      </c>
      <c r="U6" s="203" t="s">
        <v>7</v>
      </c>
      <c r="V6" s="32"/>
      <c r="Z6" s="202"/>
      <c r="AA6" s="202"/>
      <c r="AC6" s="172"/>
      <c r="AD6" s="172"/>
      <c r="AE6" s="172"/>
      <c r="AF6" s="172"/>
      <c r="AG6" s="172"/>
      <c r="AH6" s="172"/>
      <c r="AI6" s="172"/>
      <c r="AJ6" s="172"/>
      <c r="AK6" s="172"/>
      <c r="AL6" s="172"/>
    </row>
    <row r="7" spans="1:38" ht="31.5" hidden="1">
      <c r="A7" s="340"/>
      <c r="B7" s="341"/>
      <c r="C7" s="343"/>
      <c r="D7" s="342">
        <v>2</v>
      </c>
      <c r="E7" s="15" t="s">
        <v>249</v>
      </c>
      <c r="F7" s="203" t="s">
        <v>7</v>
      </c>
      <c r="G7" s="203" t="s">
        <v>7</v>
      </c>
      <c r="H7" s="203" t="s">
        <v>7</v>
      </c>
      <c r="I7" s="203" t="s">
        <v>7</v>
      </c>
      <c r="J7" s="203" t="s">
        <v>7</v>
      </c>
      <c r="K7" s="203" t="s">
        <v>7</v>
      </c>
      <c r="L7" s="203" t="s">
        <v>7</v>
      </c>
      <c r="M7" s="308">
        <v>2022</v>
      </c>
      <c r="N7" s="203" t="s">
        <v>7</v>
      </c>
      <c r="O7" s="203" t="s">
        <v>7</v>
      </c>
      <c r="P7" s="203" t="s">
        <v>7</v>
      </c>
      <c r="Q7" s="203" t="s">
        <v>7</v>
      </c>
      <c r="R7" s="304" t="s">
        <v>7</v>
      </c>
      <c r="S7" s="203" t="s">
        <v>7</v>
      </c>
      <c r="T7" s="203" t="s">
        <v>7</v>
      </c>
      <c r="U7" s="203" t="s">
        <v>7</v>
      </c>
      <c r="V7" s="32"/>
      <c r="Z7" s="202"/>
      <c r="AA7" s="202"/>
      <c r="AC7" s="172"/>
      <c r="AD7" s="172"/>
      <c r="AE7" s="172"/>
      <c r="AF7" s="172"/>
      <c r="AG7" s="172"/>
      <c r="AH7" s="172"/>
      <c r="AI7" s="172"/>
      <c r="AJ7" s="172"/>
      <c r="AK7" s="172"/>
      <c r="AL7" s="172"/>
    </row>
    <row r="8" spans="1:38" ht="31.5" hidden="1">
      <c r="A8" s="340"/>
      <c r="B8" s="341"/>
      <c r="C8" s="343"/>
      <c r="D8" s="342">
        <v>3</v>
      </c>
      <c r="E8" s="15" t="s">
        <v>250</v>
      </c>
      <c r="F8" s="203" t="s">
        <v>7</v>
      </c>
      <c r="G8" s="203" t="s">
        <v>7</v>
      </c>
      <c r="H8" s="203" t="s">
        <v>7</v>
      </c>
      <c r="I8" s="203" t="s">
        <v>7</v>
      </c>
      <c r="J8" s="203" t="s">
        <v>7</v>
      </c>
      <c r="K8" s="203" t="s">
        <v>7</v>
      </c>
      <c r="L8" s="203" t="s">
        <v>7</v>
      </c>
      <c r="M8" s="308">
        <v>2023</v>
      </c>
      <c r="N8" s="203" t="s">
        <v>7</v>
      </c>
      <c r="O8" s="203" t="s">
        <v>7</v>
      </c>
      <c r="P8" s="203" t="s">
        <v>7</v>
      </c>
      <c r="Q8" s="203" t="s">
        <v>7</v>
      </c>
      <c r="R8" s="304" t="s">
        <v>7</v>
      </c>
      <c r="S8" s="203" t="s">
        <v>7</v>
      </c>
      <c r="T8" s="203" t="s">
        <v>7</v>
      </c>
      <c r="U8" s="203" t="s">
        <v>7</v>
      </c>
      <c r="V8" s="32"/>
      <c r="Z8" s="202"/>
      <c r="AA8" s="202"/>
      <c r="AC8" s="172"/>
      <c r="AD8" s="172"/>
      <c r="AE8" s="172"/>
      <c r="AF8" s="172"/>
      <c r="AG8" s="172"/>
      <c r="AH8" s="172"/>
      <c r="AI8" s="172"/>
      <c r="AJ8" s="172"/>
      <c r="AK8" s="172"/>
      <c r="AL8" s="172"/>
    </row>
    <row r="9" spans="1:38" ht="31.5" hidden="1">
      <c r="A9" s="340"/>
      <c r="B9" s="341"/>
      <c r="C9" s="343"/>
      <c r="D9" s="342">
        <v>4</v>
      </c>
      <c r="E9" s="15" t="s">
        <v>251</v>
      </c>
      <c r="F9" s="203" t="s">
        <v>7</v>
      </c>
      <c r="G9" s="203" t="s">
        <v>7</v>
      </c>
      <c r="H9" s="203" t="s">
        <v>7</v>
      </c>
      <c r="I9" s="203" t="s">
        <v>7</v>
      </c>
      <c r="J9" s="203" t="s">
        <v>7</v>
      </c>
      <c r="K9" s="203" t="s">
        <v>7</v>
      </c>
      <c r="L9" s="203" t="s">
        <v>7</v>
      </c>
      <c r="M9" s="308">
        <v>2021</v>
      </c>
      <c r="N9" s="203" t="s">
        <v>7</v>
      </c>
      <c r="O9" s="203" t="s">
        <v>7</v>
      </c>
      <c r="P9" s="203" t="s">
        <v>7</v>
      </c>
      <c r="Q9" s="203" t="s">
        <v>7</v>
      </c>
      <c r="R9" s="304" t="s">
        <v>7</v>
      </c>
      <c r="S9" s="203" t="s">
        <v>7</v>
      </c>
      <c r="T9" s="203" t="s">
        <v>7</v>
      </c>
      <c r="U9" s="203" t="s">
        <v>7</v>
      </c>
      <c r="V9" s="32"/>
      <c r="Z9" s="202"/>
      <c r="AA9" s="202"/>
      <c r="AC9" s="172"/>
      <c r="AD9" s="172"/>
      <c r="AE9" s="172"/>
      <c r="AF9" s="172"/>
      <c r="AG9" s="172"/>
      <c r="AH9" s="172"/>
      <c r="AI9" s="172"/>
      <c r="AJ9" s="172"/>
      <c r="AK9" s="172"/>
      <c r="AL9" s="172"/>
    </row>
    <row r="10" spans="1:38" ht="31.5" hidden="1">
      <c r="A10" s="340"/>
      <c r="B10" s="341"/>
      <c r="C10" s="343"/>
      <c r="D10" s="342">
        <v>5</v>
      </c>
      <c r="E10" s="15" t="s">
        <v>252</v>
      </c>
      <c r="F10" s="203" t="s">
        <v>7</v>
      </c>
      <c r="G10" s="203" t="s">
        <v>7</v>
      </c>
      <c r="H10" s="203" t="s">
        <v>7</v>
      </c>
      <c r="I10" s="203" t="s">
        <v>7</v>
      </c>
      <c r="J10" s="203" t="s">
        <v>7</v>
      </c>
      <c r="K10" s="203" t="s">
        <v>7</v>
      </c>
      <c r="L10" s="203" t="s">
        <v>7</v>
      </c>
      <c r="M10" s="308">
        <v>2024</v>
      </c>
      <c r="N10" s="203" t="s">
        <v>7</v>
      </c>
      <c r="O10" s="203" t="s">
        <v>7</v>
      </c>
      <c r="P10" s="203" t="s">
        <v>7</v>
      </c>
      <c r="Q10" s="203" t="s">
        <v>7</v>
      </c>
      <c r="R10" s="304" t="s">
        <v>7</v>
      </c>
      <c r="S10" s="203" t="s">
        <v>7</v>
      </c>
      <c r="T10" s="203" t="s">
        <v>7</v>
      </c>
      <c r="U10" s="203" t="s">
        <v>7</v>
      </c>
      <c r="V10" s="32"/>
      <c r="Z10" s="202"/>
      <c r="AA10" s="20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</row>
    <row r="11" spans="1:38" hidden="1">
      <c r="A11" s="340"/>
      <c r="B11" s="341"/>
      <c r="C11" s="343"/>
      <c r="D11" s="342">
        <v>6</v>
      </c>
      <c r="E11" s="15" t="s">
        <v>253</v>
      </c>
      <c r="F11" s="203" t="s">
        <v>7</v>
      </c>
      <c r="G11" s="203" t="s">
        <v>7</v>
      </c>
      <c r="H11" s="203" t="s">
        <v>7</v>
      </c>
      <c r="I11" s="203" t="s">
        <v>7</v>
      </c>
      <c r="J11" s="203" t="s">
        <v>7</v>
      </c>
      <c r="K11" s="203" t="s">
        <v>7</v>
      </c>
      <c r="L11" s="203" t="s">
        <v>7</v>
      </c>
      <c r="M11" s="308" t="s">
        <v>254</v>
      </c>
      <c r="N11" s="203" t="s">
        <v>7</v>
      </c>
      <c r="O11" s="203" t="s">
        <v>7</v>
      </c>
      <c r="P11" s="203" t="s">
        <v>7</v>
      </c>
      <c r="Q11" s="203" t="s">
        <v>7</v>
      </c>
      <c r="R11" s="304" t="s">
        <v>7</v>
      </c>
      <c r="S11" s="203" t="s">
        <v>7</v>
      </c>
      <c r="T11" s="203" t="s">
        <v>7</v>
      </c>
      <c r="U11" s="203" t="s">
        <v>7</v>
      </c>
      <c r="V11" s="32"/>
      <c r="Z11" s="202"/>
      <c r="AA11" s="20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</row>
    <row r="12" spans="1:38" ht="31.5" hidden="1">
      <c r="A12" s="340"/>
      <c r="B12" s="341"/>
      <c r="C12" s="343"/>
      <c r="D12" s="342">
        <v>7</v>
      </c>
      <c r="E12" s="15" t="s">
        <v>255</v>
      </c>
      <c r="F12" s="203" t="s">
        <v>7</v>
      </c>
      <c r="G12" s="203" t="s">
        <v>7</v>
      </c>
      <c r="H12" s="203" t="s">
        <v>7</v>
      </c>
      <c r="I12" s="203" t="s">
        <v>7</v>
      </c>
      <c r="J12" s="203" t="s">
        <v>7</v>
      </c>
      <c r="K12" s="203" t="s">
        <v>7</v>
      </c>
      <c r="L12" s="203" t="s">
        <v>7</v>
      </c>
      <c r="M12" s="308">
        <v>2021</v>
      </c>
      <c r="N12" s="203" t="s">
        <v>7</v>
      </c>
      <c r="O12" s="203" t="s">
        <v>7</v>
      </c>
      <c r="P12" s="203" t="s">
        <v>7</v>
      </c>
      <c r="Q12" s="203" t="s">
        <v>7</v>
      </c>
      <c r="R12" s="304" t="s">
        <v>7</v>
      </c>
      <c r="S12" s="203" t="s">
        <v>7</v>
      </c>
      <c r="T12" s="203" t="s">
        <v>7</v>
      </c>
      <c r="U12" s="203" t="s">
        <v>7</v>
      </c>
      <c r="V12" s="32"/>
      <c r="Z12" s="202"/>
      <c r="AA12" s="20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</row>
    <row r="13" spans="1:38">
      <c r="A13" s="340"/>
      <c r="B13" s="341"/>
      <c r="C13" s="343"/>
      <c r="D13" s="525" t="s">
        <v>247</v>
      </c>
      <c r="E13" s="525"/>
      <c r="F13" s="525"/>
      <c r="G13" s="525"/>
      <c r="H13" s="525"/>
      <c r="I13" s="525"/>
      <c r="J13" s="525"/>
      <c r="K13" s="525"/>
      <c r="L13" s="525"/>
      <c r="M13" s="525"/>
      <c r="N13" s="525"/>
      <c r="O13" s="525"/>
      <c r="P13" s="525"/>
      <c r="Q13" s="525"/>
      <c r="R13" s="525"/>
      <c r="S13" s="525"/>
      <c r="T13" s="525"/>
      <c r="U13" s="525"/>
      <c r="V13" s="32"/>
      <c r="Z13" s="202"/>
      <c r="AA13" s="20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</row>
    <row r="14" spans="1:38" ht="47.25">
      <c r="A14" s="340"/>
      <c r="B14" s="341"/>
      <c r="C14" s="343"/>
      <c r="D14" s="342">
        <v>1</v>
      </c>
      <c r="E14" s="311" t="s">
        <v>887</v>
      </c>
      <c r="F14" s="304"/>
      <c r="G14" s="304"/>
      <c r="H14" s="304"/>
      <c r="I14" s="304"/>
      <c r="J14" s="304"/>
      <c r="K14" s="304"/>
      <c r="L14" s="304"/>
      <c r="M14" s="312"/>
      <c r="N14" s="304"/>
      <c r="O14" s="304"/>
      <c r="P14" s="304"/>
      <c r="Q14" s="304"/>
      <c r="R14" s="304"/>
      <c r="S14" s="304"/>
      <c r="T14" s="304"/>
      <c r="U14" s="304"/>
      <c r="V14" s="32"/>
      <c r="Z14" s="202"/>
      <c r="AA14" s="20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</row>
    <row r="15" spans="1:38" ht="47.25" hidden="1">
      <c r="A15" s="340"/>
      <c r="B15" s="341"/>
      <c r="C15" s="343"/>
      <c r="D15" s="342">
        <v>8</v>
      </c>
      <c r="E15" s="15" t="s">
        <v>256</v>
      </c>
      <c r="F15" s="203" t="s">
        <v>7</v>
      </c>
      <c r="G15" s="203" t="s">
        <v>7</v>
      </c>
      <c r="H15" s="203" t="s">
        <v>7</v>
      </c>
      <c r="I15" s="203" t="s">
        <v>7</v>
      </c>
      <c r="J15" s="203" t="s">
        <v>7</v>
      </c>
      <c r="K15" s="203" t="s">
        <v>7</v>
      </c>
      <c r="L15" s="203" t="s">
        <v>7</v>
      </c>
      <c r="M15" s="308">
        <v>2022</v>
      </c>
      <c r="N15" s="203" t="s">
        <v>7</v>
      </c>
      <c r="O15" s="203" t="s">
        <v>7</v>
      </c>
      <c r="P15" s="203" t="s">
        <v>7</v>
      </c>
      <c r="Q15" s="203" t="s">
        <v>7</v>
      </c>
      <c r="R15" s="304" t="s">
        <v>7</v>
      </c>
      <c r="S15" s="203" t="s">
        <v>7</v>
      </c>
      <c r="T15" s="203" t="s">
        <v>7</v>
      </c>
      <c r="U15" s="203" t="s">
        <v>7</v>
      </c>
      <c r="V15" s="32"/>
      <c r="Z15" s="202"/>
      <c r="AA15" s="20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</row>
    <row r="16" spans="1:38" ht="15.75" customHeight="1">
      <c r="A16" s="11"/>
      <c r="B16" s="9"/>
      <c r="C16" s="10"/>
      <c r="D16" s="516" t="s">
        <v>6</v>
      </c>
      <c r="E16" s="516"/>
      <c r="F16" s="516"/>
      <c r="G16" s="516"/>
      <c r="H16" s="516"/>
      <c r="I16" s="516"/>
      <c r="J16" s="516"/>
      <c r="K16" s="516"/>
      <c r="L16" s="516"/>
      <c r="M16" s="516"/>
      <c r="N16" s="516"/>
      <c r="O16" s="516"/>
      <c r="P16" s="516"/>
      <c r="Q16" s="516"/>
      <c r="R16" s="516"/>
      <c r="S16" s="516"/>
      <c r="T16" s="516"/>
      <c r="U16" s="516"/>
      <c r="V16" s="33"/>
      <c r="W16" s="23"/>
      <c r="X16" s="23"/>
      <c r="Y16" s="23"/>
    </row>
    <row r="17" spans="1:30" s="269" customFormat="1" ht="31.5">
      <c r="A17" s="265"/>
      <c r="B17" s="265"/>
      <c r="C17" s="266"/>
      <c r="D17" s="274">
        <v>1</v>
      </c>
      <c r="E17" s="261" t="s">
        <v>345</v>
      </c>
      <c r="F17" s="246" t="s">
        <v>346</v>
      </c>
      <c r="G17" s="245"/>
      <c r="H17" s="245">
        <v>6</v>
      </c>
      <c r="I17" s="245"/>
      <c r="J17" s="245">
        <v>1.1000000000000001</v>
      </c>
      <c r="K17" s="245">
        <v>0.6</v>
      </c>
      <c r="L17" s="245">
        <v>7.7</v>
      </c>
      <c r="M17" s="312">
        <v>2024</v>
      </c>
      <c r="N17" s="245">
        <v>4.3</v>
      </c>
      <c r="O17" s="245"/>
      <c r="P17" s="245"/>
      <c r="Q17" s="245"/>
      <c r="R17" s="245"/>
      <c r="S17" s="245">
        <f>N17</f>
        <v>4.3</v>
      </c>
      <c r="T17" s="278"/>
      <c r="U17" s="245"/>
      <c r="V17" s="267"/>
      <c r="W17" s="268"/>
      <c r="X17" s="268"/>
      <c r="Y17" s="268"/>
      <c r="Z17" s="528"/>
      <c r="AA17" s="529"/>
      <c r="AC17" s="270"/>
    </row>
    <row r="18" spans="1:30" s="269" customFormat="1" ht="31.5">
      <c r="A18" s="265"/>
      <c r="B18" s="265"/>
      <c r="C18" s="266"/>
      <c r="D18" s="274">
        <v>2</v>
      </c>
      <c r="E18" s="261" t="s">
        <v>347</v>
      </c>
      <c r="F18" s="246" t="s">
        <v>351</v>
      </c>
      <c r="G18" s="245"/>
      <c r="H18" s="245">
        <v>2.2999999999999998</v>
      </c>
      <c r="I18" s="245"/>
      <c r="J18" s="245">
        <v>0.4</v>
      </c>
      <c r="K18" s="245">
        <v>0.2</v>
      </c>
      <c r="L18" s="245">
        <v>6.1</v>
      </c>
      <c r="M18" s="312">
        <v>2024</v>
      </c>
      <c r="N18" s="245">
        <v>1.3</v>
      </c>
      <c r="O18" s="245"/>
      <c r="P18" s="245"/>
      <c r="Q18" s="245"/>
      <c r="R18" s="245"/>
      <c r="S18" s="245">
        <f t="shared" ref="S18:S134" si="0">N18</f>
        <v>1.3</v>
      </c>
      <c r="T18" s="278"/>
      <c r="U18" s="245"/>
      <c r="V18" s="267"/>
      <c r="W18" s="268"/>
      <c r="X18" s="268"/>
      <c r="Y18" s="268"/>
      <c r="Z18" s="532"/>
      <c r="AA18" s="533"/>
      <c r="AC18" s="270"/>
    </row>
    <row r="19" spans="1:30" s="269" customFormat="1" ht="31.5">
      <c r="A19" s="265"/>
      <c r="B19" s="265"/>
      <c r="C19" s="266"/>
      <c r="D19" s="274">
        <v>3</v>
      </c>
      <c r="E19" s="261" t="s">
        <v>348</v>
      </c>
      <c r="F19" s="246" t="s">
        <v>352</v>
      </c>
      <c r="G19" s="245"/>
      <c r="H19" s="245">
        <v>5.4</v>
      </c>
      <c r="I19" s="245"/>
      <c r="J19" s="245">
        <v>1</v>
      </c>
      <c r="K19" s="245">
        <v>0.5</v>
      </c>
      <c r="L19" s="245">
        <v>6.6</v>
      </c>
      <c r="M19" s="312">
        <v>2024</v>
      </c>
      <c r="N19" s="245">
        <v>3.3</v>
      </c>
      <c r="O19" s="245"/>
      <c r="P19" s="245"/>
      <c r="Q19" s="245"/>
      <c r="R19" s="245"/>
      <c r="S19" s="245">
        <f t="shared" si="0"/>
        <v>3.3</v>
      </c>
      <c r="T19" s="278"/>
      <c r="U19" s="245"/>
      <c r="V19" s="267"/>
      <c r="W19" s="268"/>
      <c r="X19" s="268"/>
      <c r="Y19" s="268"/>
      <c r="Z19" s="532"/>
      <c r="AA19" s="533"/>
      <c r="AC19" s="270"/>
    </row>
    <row r="20" spans="1:30" s="269" customFormat="1" ht="31.5">
      <c r="A20" s="265"/>
      <c r="B20" s="265"/>
      <c r="C20" s="266"/>
      <c r="D20" s="274">
        <v>4</v>
      </c>
      <c r="E20" s="261" t="s">
        <v>349</v>
      </c>
      <c r="F20" s="246" t="s">
        <v>353</v>
      </c>
      <c r="G20" s="245"/>
      <c r="H20" s="245">
        <v>20.7</v>
      </c>
      <c r="I20" s="245"/>
      <c r="J20" s="245">
        <v>3.7</v>
      </c>
      <c r="K20" s="245">
        <v>1.9</v>
      </c>
      <c r="L20" s="245">
        <v>5.7</v>
      </c>
      <c r="M20" s="312">
        <v>2024</v>
      </c>
      <c r="N20" s="245">
        <v>10.9</v>
      </c>
      <c r="O20" s="245"/>
      <c r="P20" s="245"/>
      <c r="Q20" s="245"/>
      <c r="R20" s="245"/>
      <c r="S20" s="245">
        <f t="shared" si="0"/>
        <v>10.9</v>
      </c>
      <c r="T20" s="278"/>
      <c r="U20" s="245"/>
      <c r="V20" s="267"/>
      <c r="W20" s="268"/>
      <c r="X20" s="268"/>
      <c r="Y20" s="268"/>
      <c r="Z20" s="532"/>
      <c r="AA20" s="533"/>
      <c r="AC20" s="270"/>
    </row>
    <row r="21" spans="1:30" s="269" customFormat="1" ht="31.5">
      <c r="A21" s="265"/>
      <c r="B21" s="265"/>
      <c r="C21" s="266"/>
      <c r="D21" s="274">
        <v>5</v>
      </c>
      <c r="E21" s="261" t="s">
        <v>350</v>
      </c>
      <c r="F21" s="246" t="s">
        <v>354</v>
      </c>
      <c r="G21" s="310">
        <f>79.3/1000</f>
        <v>7.9299999999999995E-2</v>
      </c>
      <c r="H21" s="245">
        <v>4.0999999999999996</v>
      </c>
      <c r="I21" s="245"/>
      <c r="J21" s="245">
        <v>0.7</v>
      </c>
      <c r="K21" s="245">
        <v>0.3</v>
      </c>
      <c r="L21" s="245">
        <v>7.7</v>
      </c>
      <c r="M21" s="312">
        <v>2024</v>
      </c>
      <c r="N21" s="245">
        <v>2.6</v>
      </c>
      <c r="O21" s="245"/>
      <c r="P21" s="245"/>
      <c r="Q21" s="245"/>
      <c r="R21" s="245"/>
      <c r="S21" s="245">
        <f t="shared" si="0"/>
        <v>2.6</v>
      </c>
      <c r="T21" s="278"/>
      <c r="U21" s="245"/>
      <c r="V21" s="267"/>
      <c r="W21" s="268"/>
      <c r="X21" s="268"/>
      <c r="Y21" s="268"/>
      <c r="Z21" s="532"/>
      <c r="AA21" s="533"/>
      <c r="AC21" s="270"/>
    </row>
    <row r="22" spans="1:30" s="269" customFormat="1" ht="31.5">
      <c r="A22" s="265"/>
      <c r="B22" s="265"/>
      <c r="C22" s="266"/>
      <c r="D22" s="274">
        <v>6</v>
      </c>
      <c r="E22" s="261" t="s">
        <v>358</v>
      </c>
      <c r="F22" s="246" t="s">
        <v>361</v>
      </c>
      <c r="G22" s="245"/>
      <c r="H22" s="245">
        <v>11.6</v>
      </c>
      <c r="I22" s="245"/>
      <c r="J22" s="245">
        <v>2.1</v>
      </c>
      <c r="K22" s="245">
        <v>1.1000000000000001</v>
      </c>
      <c r="L22" s="245">
        <v>6.5</v>
      </c>
      <c r="M22" s="312">
        <v>2024</v>
      </c>
      <c r="N22" s="245">
        <v>7</v>
      </c>
      <c r="O22" s="245"/>
      <c r="P22" s="245"/>
      <c r="Q22" s="245"/>
      <c r="R22" s="245"/>
      <c r="S22" s="245">
        <f t="shared" si="0"/>
        <v>7</v>
      </c>
      <c r="T22" s="278"/>
      <c r="U22" s="245"/>
      <c r="V22" s="267"/>
      <c r="W22" s="268"/>
      <c r="X22" s="268"/>
      <c r="Y22" s="268"/>
      <c r="Z22" s="532"/>
      <c r="AA22" s="533"/>
      <c r="AC22" s="270"/>
    </row>
    <row r="23" spans="1:30" s="269" customFormat="1" ht="31.5">
      <c r="A23" s="265"/>
      <c r="B23" s="265"/>
      <c r="C23" s="266"/>
      <c r="D23" s="274">
        <v>7</v>
      </c>
      <c r="E23" s="261" t="s">
        <v>359</v>
      </c>
      <c r="F23" s="246" t="s">
        <v>362</v>
      </c>
      <c r="G23" s="245"/>
      <c r="H23" s="245">
        <v>9.6999999999999993</v>
      </c>
      <c r="I23" s="245"/>
      <c r="J23" s="245">
        <v>1.7</v>
      </c>
      <c r="K23" s="245">
        <v>0.9</v>
      </c>
      <c r="L23" s="245">
        <v>5.4</v>
      </c>
      <c r="M23" s="312">
        <v>2024</v>
      </c>
      <c r="N23" s="245">
        <v>4.9000000000000004</v>
      </c>
      <c r="O23" s="245"/>
      <c r="P23" s="245"/>
      <c r="Q23" s="245"/>
      <c r="R23" s="245"/>
      <c r="S23" s="245">
        <f t="shared" si="0"/>
        <v>4.9000000000000004</v>
      </c>
      <c r="T23" s="278"/>
      <c r="U23" s="245"/>
      <c r="V23" s="267"/>
      <c r="W23" s="268"/>
      <c r="X23" s="268"/>
      <c r="Y23" s="268"/>
      <c r="Z23" s="532"/>
      <c r="AA23" s="533"/>
      <c r="AC23" s="270"/>
    </row>
    <row r="24" spans="1:30" s="269" customFormat="1" ht="18.75">
      <c r="A24" s="265"/>
      <c r="B24" s="265"/>
      <c r="C24" s="266"/>
      <c r="D24" s="274">
        <v>8</v>
      </c>
      <c r="E24" s="261" t="s">
        <v>360</v>
      </c>
      <c r="F24" s="246" t="s">
        <v>363</v>
      </c>
      <c r="G24" s="245"/>
      <c r="H24" s="245">
        <v>30.7</v>
      </c>
      <c r="I24" s="245"/>
      <c r="J24" s="245">
        <v>5.5</v>
      </c>
      <c r="K24" s="245">
        <v>2.9</v>
      </c>
      <c r="L24" s="245">
        <v>5.4</v>
      </c>
      <c r="M24" s="312">
        <v>2024</v>
      </c>
      <c r="N24" s="245">
        <v>15.5</v>
      </c>
      <c r="O24" s="245"/>
      <c r="P24" s="245"/>
      <c r="Q24" s="245"/>
      <c r="R24" s="245"/>
      <c r="S24" s="245">
        <f t="shared" si="0"/>
        <v>15.5</v>
      </c>
      <c r="T24" s="278"/>
      <c r="U24" s="245"/>
      <c r="V24" s="267"/>
      <c r="W24" s="268"/>
      <c r="X24" s="268"/>
      <c r="Y24" s="268"/>
      <c r="Z24" s="532"/>
      <c r="AA24" s="533"/>
      <c r="AC24" s="270"/>
    </row>
    <row r="25" spans="1:30" s="269" customFormat="1" ht="31.5">
      <c r="A25" s="265"/>
      <c r="B25" s="265"/>
      <c r="C25" s="266"/>
      <c r="D25" s="274">
        <v>9</v>
      </c>
      <c r="E25" s="261" t="s">
        <v>365</v>
      </c>
      <c r="F25" s="246">
        <v>1</v>
      </c>
      <c r="G25" s="245">
        <v>21</v>
      </c>
      <c r="H25" s="245"/>
      <c r="I25" s="245"/>
      <c r="J25" s="245">
        <v>6.8</v>
      </c>
      <c r="K25" s="245">
        <v>3.5</v>
      </c>
      <c r="L25" s="245">
        <v>5.8</v>
      </c>
      <c r="M25" s="312">
        <v>2025</v>
      </c>
      <c r="N25" s="245">
        <v>20.5</v>
      </c>
      <c r="O25" s="245"/>
      <c r="P25" s="245"/>
      <c r="Q25" s="245"/>
      <c r="R25" s="245"/>
      <c r="S25" s="245">
        <f t="shared" si="0"/>
        <v>20.5</v>
      </c>
      <c r="T25" s="278"/>
      <c r="U25" s="245"/>
      <c r="V25" s="267"/>
      <c r="W25" s="268"/>
      <c r="X25" s="268"/>
      <c r="Y25" s="268"/>
      <c r="Z25" s="532"/>
      <c r="AA25" s="533"/>
      <c r="AC25" s="270"/>
    </row>
    <row r="26" spans="1:30" s="269" customFormat="1">
      <c r="A26" s="265"/>
      <c r="B26" s="265"/>
      <c r="C26" s="266"/>
      <c r="D26" s="274">
        <v>10</v>
      </c>
      <c r="E26" s="261" t="s">
        <v>366</v>
      </c>
      <c r="F26" s="246">
        <v>1</v>
      </c>
      <c r="G26" s="245">
        <v>11.9</v>
      </c>
      <c r="H26" s="245"/>
      <c r="I26" s="245"/>
      <c r="J26" s="245">
        <v>3.8</v>
      </c>
      <c r="K26" s="245">
        <v>2</v>
      </c>
      <c r="L26" s="245">
        <v>8.1</v>
      </c>
      <c r="M26" s="312">
        <v>2023</v>
      </c>
      <c r="N26" s="245">
        <v>16.100000000000001</v>
      </c>
      <c r="O26" s="245"/>
      <c r="P26" s="245"/>
      <c r="Q26" s="245"/>
      <c r="R26" s="245"/>
      <c r="S26" s="245">
        <f t="shared" si="0"/>
        <v>16.100000000000001</v>
      </c>
      <c r="T26" s="278"/>
      <c r="U26" s="245"/>
      <c r="V26" s="267"/>
      <c r="W26" s="268"/>
      <c r="X26" s="268"/>
      <c r="Y26" s="268"/>
      <c r="Z26" s="532"/>
      <c r="AA26" s="533"/>
      <c r="AC26" s="270"/>
    </row>
    <row r="27" spans="1:30" s="269" customFormat="1">
      <c r="A27" s="265"/>
      <c r="B27" s="265"/>
      <c r="C27" s="266"/>
      <c r="D27" s="274">
        <v>11</v>
      </c>
      <c r="E27" s="261" t="s">
        <v>367</v>
      </c>
      <c r="F27" s="246">
        <v>1</v>
      </c>
      <c r="G27" s="245">
        <v>10</v>
      </c>
      <c r="H27" s="245"/>
      <c r="I27" s="245"/>
      <c r="J27" s="245">
        <v>3.2</v>
      </c>
      <c r="K27" s="245">
        <v>1.7</v>
      </c>
      <c r="L27" s="245">
        <v>8.4</v>
      </c>
      <c r="M27" s="312">
        <v>2023</v>
      </c>
      <c r="N27" s="245">
        <v>14.1</v>
      </c>
      <c r="O27" s="245"/>
      <c r="P27" s="245"/>
      <c r="Q27" s="245"/>
      <c r="R27" s="245"/>
      <c r="S27" s="245">
        <f t="shared" si="0"/>
        <v>14.1</v>
      </c>
      <c r="T27" s="278"/>
      <c r="U27" s="245"/>
      <c r="V27" s="267"/>
      <c r="W27" s="268"/>
      <c r="X27" s="268"/>
      <c r="Y27" s="268"/>
      <c r="Z27" s="532"/>
      <c r="AA27" s="533"/>
      <c r="AC27" s="270"/>
      <c r="AD27" s="306"/>
    </row>
    <row r="28" spans="1:30" s="269" customFormat="1">
      <c r="A28" s="265"/>
      <c r="B28" s="265"/>
      <c r="C28" s="266"/>
      <c r="D28" s="274">
        <v>12</v>
      </c>
      <c r="E28" s="261" t="s">
        <v>368</v>
      </c>
      <c r="F28" s="246">
        <v>1</v>
      </c>
      <c r="G28" s="245">
        <v>15.3</v>
      </c>
      <c r="H28" s="245"/>
      <c r="I28" s="245"/>
      <c r="J28" s="245">
        <v>4.9000000000000004</v>
      </c>
      <c r="K28" s="245">
        <v>2.6</v>
      </c>
      <c r="L28" s="245">
        <v>8.9</v>
      </c>
      <c r="M28" s="312">
        <v>2023</v>
      </c>
      <c r="N28" s="245">
        <v>22.7</v>
      </c>
      <c r="O28" s="245"/>
      <c r="P28" s="245"/>
      <c r="Q28" s="245"/>
      <c r="R28" s="245"/>
      <c r="S28" s="245">
        <f t="shared" si="0"/>
        <v>22.7</v>
      </c>
      <c r="T28" s="278"/>
      <c r="U28" s="245"/>
      <c r="V28" s="267"/>
      <c r="W28" s="268"/>
      <c r="X28" s="268"/>
      <c r="Y28" s="268"/>
      <c r="Z28" s="532"/>
      <c r="AA28" s="533"/>
      <c r="AC28" s="270"/>
    </row>
    <row r="29" spans="1:30" s="269" customFormat="1">
      <c r="A29" s="265"/>
      <c r="B29" s="265"/>
      <c r="C29" s="266"/>
      <c r="D29" s="274">
        <v>13</v>
      </c>
      <c r="E29" s="261" t="s">
        <v>369</v>
      </c>
      <c r="F29" s="246">
        <v>1</v>
      </c>
      <c r="G29" s="245">
        <v>54.2</v>
      </c>
      <c r="H29" s="245"/>
      <c r="I29" s="245"/>
      <c r="J29" s="245">
        <v>17.399999999999999</v>
      </c>
      <c r="K29" s="245">
        <v>9</v>
      </c>
      <c r="L29" s="245">
        <v>7.8</v>
      </c>
      <c r="M29" s="312">
        <v>2024</v>
      </c>
      <c r="N29" s="245">
        <v>70.900000000000006</v>
      </c>
      <c r="O29" s="245"/>
      <c r="P29" s="245"/>
      <c r="Q29" s="245"/>
      <c r="R29" s="245"/>
      <c r="S29" s="245">
        <f t="shared" si="0"/>
        <v>70.900000000000006</v>
      </c>
      <c r="T29" s="278"/>
      <c r="U29" s="245"/>
      <c r="V29" s="267"/>
      <c r="W29" s="268"/>
      <c r="X29" s="268"/>
      <c r="Y29" s="268"/>
      <c r="Z29" s="532"/>
      <c r="AA29" s="533"/>
      <c r="AC29" s="270"/>
    </row>
    <row r="30" spans="1:30" s="269" customFormat="1">
      <c r="A30" s="265"/>
      <c r="B30" s="265"/>
      <c r="C30" s="266"/>
      <c r="D30" s="274">
        <v>14</v>
      </c>
      <c r="E30" s="261" t="s">
        <v>370</v>
      </c>
      <c r="F30" s="246">
        <v>1</v>
      </c>
      <c r="G30" s="245">
        <v>15.6</v>
      </c>
      <c r="H30" s="245"/>
      <c r="I30" s="245"/>
      <c r="J30" s="245">
        <v>5</v>
      </c>
      <c r="K30" s="245">
        <v>2.6</v>
      </c>
      <c r="L30" s="245">
        <v>8.4</v>
      </c>
      <c r="M30" s="312">
        <v>2023</v>
      </c>
      <c r="N30" s="245">
        <v>21.9</v>
      </c>
      <c r="O30" s="245"/>
      <c r="P30" s="245"/>
      <c r="Q30" s="245"/>
      <c r="R30" s="245"/>
      <c r="S30" s="245">
        <f t="shared" si="0"/>
        <v>21.9</v>
      </c>
      <c r="T30" s="278"/>
      <c r="U30" s="245"/>
      <c r="V30" s="267"/>
      <c r="W30" s="268"/>
      <c r="X30" s="268"/>
      <c r="Y30" s="268"/>
      <c r="Z30" s="532"/>
      <c r="AA30" s="533"/>
      <c r="AC30" s="270"/>
    </row>
    <row r="31" spans="1:30" s="269" customFormat="1">
      <c r="A31" s="265"/>
      <c r="B31" s="265"/>
      <c r="C31" s="266"/>
      <c r="D31" s="274">
        <v>15</v>
      </c>
      <c r="E31" s="261" t="s">
        <v>371</v>
      </c>
      <c r="F31" s="246">
        <v>1</v>
      </c>
      <c r="G31" s="245">
        <v>16.600000000000001</v>
      </c>
      <c r="H31" s="245"/>
      <c r="I31" s="245"/>
      <c r="J31" s="245">
        <v>5.3</v>
      </c>
      <c r="K31" s="245">
        <v>2.8</v>
      </c>
      <c r="L31" s="245">
        <v>7.7</v>
      </c>
      <c r="M31" s="312">
        <v>2023</v>
      </c>
      <c r="N31" s="245">
        <v>21.4</v>
      </c>
      <c r="O31" s="245"/>
      <c r="P31" s="245"/>
      <c r="Q31" s="245"/>
      <c r="R31" s="245"/>
      <c r="S31" s="245">
        <f t="shared" si="0"/>
        <v>21.4</v>
      </c>
      <c r="T31" s="278"/>
      <c r="U31" s="245"/>
      <c r="V31" s="267"/>
      <c r="W31" s="268"/>
      <c r="X31" s="268"/>
      <c r="Y31" s="268"/>
      <c r="Z31" s="532"/>
      <c r="AA31" s="533"/>
      <c r="AC31" s="270"/>
    </row>
    <row r="32" spans="1:30" s="269" customFormat="1">
      <c r="A32" s="265"/>
      <c r="B32" s="265"/>
      <c r="C32" s="266"/>
      <c r="D32" s="274">
        <v>16</v>
      </c>
      <c r="E32" s="261" t="s">
        <v>372</v>
      </c>
      <c r="F32" s="246">
        <v>1</v>
      </c>
      <c r="G32" s="245">
        <v>15.9</v>
      </c>
      <c r="H32" s="245"/>
      <c r="I32" s="245"/>
      <c r="J32" s="245">
        <v>5.0999999999999996</v>
      </c>
      <c r="K32" s="245">
        <v>2.7</v>
      </c>
      <c r="L32" s="245">
        <v>8.1</v>
      </c>
      <c r="M32" s="312">
        <v>2024</v>
      </c>
      <c r="N32" s="245">
        <v>21.7</v>
      </c>
      <c r="O32" s="245"/>
      <c r="P32" s="245"/>
      <c r="Q32" s="245"/>
      <c r="R32" s="245"/>
      <c r="S32" s="245">
        <f t="shared" si="0"/>
        <v>21.7</v>
      </c>
      <c r="T32" s="278"/>
      <c r="U32" s="245"/>
      <c r="V32" s="267"/>
      <c r="W32" s="268"/>
      <c r="X32" s="268"/>
      <c r="Y32" s="268"/>
      <c r="Z32" s="532"/>
      <c r="AA32" s="533"/>
      <c r="AC32" s="270"/>
    </row>
    <row r="33" spans="1:29" s="269" customFormat="1">
      <c r="A33" s="265"/>
      <c r="B33" s="265"/>
      <c r="C33" s="266"/>
      <c r="D33" s="274">
        <v>17</v>
      </c>
      <c r="E33" s="261" t="s">
        <v>373</v>
      </c>
      <c r="F33" s="246">
        <v>1</v>
      </c>
      <c r="G33" s="245">
        <v>12.2</v>
      </c>
      <c r="H33" s="245"/>
      <c r="I33" s="245"/>
      <c r="J33" s="245">
        <v>3.9</v>
      </c>
      <c r="K33" s="245">
        <v>2</v>
      </c>
      <c r="L33" s="245">
        <v>9.1999999999999993</v>
      </c>
      <c r="M33" s="312">
        <v>2023</v>
      </c>
      <c r="N33" s="245">
        <v>18.8</v>
      </c>
      <c r="O33" s="245"/>
      <c r="P33" s="245"/>
      <c r="Q33" s="245"/>
      <c r="R33" s="245"/>
      <c r="S33" s="245">
        <f t="shared" si="0"/>
        <v>18.8</v>
      </c>
      <c r="T33" s="278"/>
      <c r="U33" s="245"/>
      <c r="V33" s="267"/>
      <c r="W33" s="268"/>
      <c r="X33" s="268"/>
      <c r="Y33" s="268"/>
      <c r="Z33" s="532"/>
      <c r="AA33" s="533"/>
      <c r="AC33" s="270"/>
    </row>
    <row r="34" spans="1:29" s="269" customFormat="1">
      <c r="A34" s="265"/>
      <c r="B34" s="265"/>
      <c r="C34" s="266"/>
      <c r="D34" s="274">
        <v>18</v>
      </c>
      <c r="E34" s="261" t="s">
        <v>374</v>
      </c>
      <c r="F34" s="246">
        <v>1</v>
      </c>
      <c r="G34" s="245">
        <v>16.899999999999999</v>
      </c>
      <c r="H34" s="245"/>
      <c r="I34" s="245"/>
      <c r="J34" s="245">
        <v>5.4</v>
      </c>
      <c r="K34" s="245">
        <v>2.8</v>
      </c>
      <c r="L34" s="245">
        <v>7</v>
      </c>
      <c r="M34" s="312">
        <v>2024</v>
      </c>
      <c r="N34" s="245">
        <v>19.7</v>
      </c>
      <c r="O34" s="245"/>
      <c r="P34" s="245"/>
      <c r="Q34" s="245"/>
      <c r="R34" s="245"/>
      <c r="S34" s="245">
        <f t="shared" si="0"/>
        <v>19.7</v>
      </c>
      <c r="T34" s="278"/>
      <c r="U34" s="245"/>
      <c r="V34" s="267"/>
      <c r="W34" s="268"/>
      <c r="X34" s="268"/>
      <c r="Y34" s="268"/>
      <c r="Z34" s="532"/>
      <c r="AA34" s="533"/>
      <c r="AC34" s="270"/>
    </row>
    <row r="35" spans="1:29" s="269" customFormat="1">
      <c r="A35" s="265"/>
      <c r="B35" s="265"/>
      <c r="C35" s="266"/>
      <c r="D35" s="274">
        <v>19</v>
      </c>
      <c r="E35" s="261" t="s">
        <v>375</v>
      </c>
      <c r="F35" s="246">
        <v>1</v>
      </c>
      <c r="G35" s="245">
        <v>53.1</v>
      </c>
      <c r="H35" s="245"/>
      <c r="I35" s="245"/>
      <c r="J35" s="245">
        <v>17.100000000000001</v>
      </c>
      <c r="K35" s="245">
        <v>8.9</v>
      </c>
      <c r="L35" s="245">
        <v>8.5</v>
      </c>
      <c r="M35" s="312">
        <v>2023</v>
      </c>
      <c r="N35" s="245">
        <v>75.7</v>
      </c>
      <c r="O35" s="245"/>
      <c r="P35" s="245"/>
      <c r="Q35" s="245"/>
      <c r="R35" s="245"/>
      <c r="S35" s="245">
        <f t="shared" si="0"/>
        <v>75.7</v>
      </c>
      <c r="T35" s="278"/>
      <c r="U35" s="245"/>
      <c r="V35" s="267"/>
      <c r="W35" s="268"/>
      <c r="X35" s="268"/>
      <c r="Y35" s="268"/>
      <c r="Z35" s="532"/>
      <c r="AA35" s="533"/>
      <c r="AC35" s="270"/>
    </row>
    <row r="36" spans="1:29" s="269" customFormat="1">
      <c r="A36" s="265"/>
      <c r="B36" s="265"/>
      <c r="C36" s="266"/>
      <c r="D36" s="274">
        <v>20</v>
      </c>
      <c r="E36" s="261" t="s">
        <v>376</v>
      </c>
      <c r="F36" s="246">
        <v>1</v>
      </c>
      <c r="G36" s="245">
        <v>27.8</v>
      </c>
      <c r="H36" s="245"/>
      <c r="I36" s="245"/>
      <c r="J36" s="245">
        <v>9</v>
      </c>
      <c r="K36" s="245">
        <v>4.5999999999999996</v>
      </c>
      <c r="L36" s="245">
        <v>7.5</v>
      </c>
      <c r="M36" s="312">
        <v>2024</v>
      </c>
      <c r="N36" s="245">
        <v>34.6</v>
      </c>
      <c r="O36" s="245"/>
      <c r="P36" s="245"/>
      <c r="Q36" s="245"/>
      <c r="R36" s="245"/>
      <c r="S36" s="245">
        <f t="shared" si="0"/>
        <v>34.6</v>
      </c>
      <c r="T36" s="278"/>
      <c r="U36" s="245"/>
      <c r="V36" s="267"/>
      <c r="W36" s="268"/>
      <c r="X36" s="268"/>
      <c r="Y36" s="268"/>
      <c r="Z36" s="532"/>
      <c r="AA36" s="533"/>
      <c r="AC36" s="270"/>
    </row>
    <row r="37" spans="1:29" s="269" customFormat="1">
      <c r="A37" s="265"/>
      <c r="B37" s="265"/>
      <c r="C37" s="266"/>
      <c r="D37" s="274">
        <v>21</v>
      </c>
      <c r="E37" s="261" t="s">
        <v>377</v>
      </c>
      <c r="F37" s="246">
        <v>1</v>
      </c>
      <c r="G37" s="245">
        <v>18.399999999999999</v>
      </c>
      <c r="H37" s="245"/>
      <c r="I37" s="245"/>
      <c r="J37" s="245">
        <v>5.9</v>
      </c>
      <c r="K37" s="245">
        <v>3.1</v>
      </c>
      <c r="L37" s="245">
        <v>8</v>
      </c>
      <c r="M37" s="312">
        <v>2024</v>
      </c>
      <c r="N37" s="245">
        <v>24.5</v>
      </c>
      <c r="O37" s="245"/>
      <c r="P37" s="245"/>
      <c r="Q37" s="245"/>
      <c r="R37" s="245"/>
      <c r="S37" s="245">
        <f t="shared" si="0"/>
        <v>24.5</v>
      </c>
      <c r="T37" s="278"/>
      <c r="U37" s="245"/>
      <c r="V37" s="267"/>
      <c r="W37" s="268"/>
      <c r="X37" s="268"/>
      <c r="Y37" s="268"/>
      <c r="Z37" s="532"/>
      <c r="AA37" s="533"/>
      <c r="AC37" s="270"/>
    </row>
    <row r="38" spans="1:29" s="269" customFormat="1">
      <c r="A38" s="265"/>
      <c r="B38" s="265"/>
      <c r="C38" s="266"/>
      <c r="D38" s="274">
        <v>22</v>
      </c>
      <c r="E38" s="261" t="s">
        <v>378</v>
      </c>
      <c r="F38" s="246">
        <v>1</v>
      </c>
      <c r="G38" s="245">
        <v>10</v>
      </c>
      <c r="H38" s="245"/>
      <c r="I38" s="245"/>
      <c r="J38" s="245">
        <v>3.2</v>
      </c>
      <c r="K38" s="245">
        <v>1.7</v>
      </c>
      <c r="L38" s="245">
        <v>9.4</v>
      </c>
      <c r="M38" s="312">
        <v>2024</v>
      </c>
      <c r="N38" s="245">
        <v>15.7</v>
      </c>
      <c r="O38" s="245"/>
      <c r="P38" s="245"/>
      <c r="Q38" s="245"/>
      <c r="R38" s="245"/>
      <c r="S38" s="245">
        <f t="shared" si="0"/>
        <v>15.7</v>
      </c>
      <c r="T38" s="278"/>
      <c r="U38" s="245"/>
      <c r="V38" s="267"/>
      <c r="W38" s="268"/>
      <c r="X38" s="268"/>
      <c r="Y38" s="268"/>
      <c r="Z38" s="532"/>
      <c r="AA38" s="533"/>
      <c r="AC38" s="270"/>
    </row>
    <row r="39" spans="1:29" s="269" customFormat="1">
      <c r="A39" s="265"/>
      <c r="B39" s="265"/>
      <c r="C39" s="266"/>
      <c r="D39" s="274">
        <v>23</v>
      </c>
      <c r="E39" s="261" t="s">
        <v>379</v>
      </c>
      <c r="F39" s="246">
        <v>1</v>
      </c>
      <c r="G39" s="245">
        <v>8.4</v>
      </c>
      <c r="H39" s="245"/>
      <c r="I39" s="245"/>
      <c r="J39" s="245">
        <v>2.7</v>
      </c>
      <c r="K39" s="245">
        <v>1.4</v>
      </c>
      <c r="L39" s="245">
        <v>8.5</v>
      </c>
      <c r="M39" s="312">
        <v>2023</v>
      </c>
      <c r="N39" s="245">
        <v>11.9</v>
      </c>
      <c r="O39" s="245"/>
      <c r="P39" s="245"/>
      <c r="Q39" s="245"/>
      <c r="R39" s="245"/>
      <c r="S39" s="245">
        <f t="shared" si="0"/>
        <v>11.9</v>
      </c>
      <c r="T39" s="278"/>
      <c r="U39" s="245"/>
      <c r="V39" s="280"/>
      <c r="W39" s="268"/>
      <c r="X39" s="268"/>
      <c r="Y39" s="268"/>
      <c r="Z39" s="532"/>
      <c r="AA39" s="533"/>
      <c r="AC39" s="270"/>
    </row>
    <row r="40" spans="1:29" s="269" customFormat="1">
      <c r="A40" s="265"/>
      <c r="B40" s="265"/>
      <c r="C40" s="266"/>
      <c r="D40" s="274">
        <v>24</v>
      </c>
      <c r="E40" s="261" t="s">
        <v>380</v>
      </c>
      <c r="F40" s="246">
        <v>1</v>
      </c>
      <c r="G40" s="245">
        <v>19.100000000000001</v>
      </c>
      <c r="H40" s="245"/>
      <c r="I40" s="245"/>
      <c r="J40" s="245">
        <v>6.1</v>
      </c>
      <c r="K40" s="245">
        <v>3.2</v>
      </c>
      <c r="L40" s="245">
        <v>8.8000000000000007</v>
      </c>
      <c r="M40" s="312">
        <v>2023</v>
      </c>
      <c r="N40" s="245">
        <v>27.9</v>
      </c>
      <c r="O40" s="245"/>
      <c r="P40" s="245"/>
      <c r="Q40" s="245"/>
      <c r="R40" s="245"/>
      <c r="S40" s="245">
        <f t="shared" si="0"/>
        <v>27.9</v>
      </c>
      <c r="T40" s="278"/>
      <c r="U40" s="245"/>
      <c r="V40" s="267"/>
      <c r="W40" s="268"/>
      <c r="X40" s="268"/>
      <c r="Y40" s="268"/>
      <c r="Z40" s="532"/>
      <c r="AA40" s="533"/>
      <c r="AC40" s="270"/>
    </row>
    <row r="41" spans="1:29" s="269" customFormat="1">
      <c r="A41" s="265"/>
      <c r="B41" s="265"/>
      <c r="C41" s="266"/>
      <c r="D41" s="274">
        <v>25</v>
      </c>
      <c r="E41" s="261" t="s">
        <v>381</v>
      </c>
      <c r="F41" s="246">
        <v>1</v>
      </c>
      <c r="G41" s="245">
        <v>16.2</v>
      </c>
      <c r="H41" s="245"/>
      <c r="I41" s="245"/>
      <c r="J41" s="245">
        <v>5.2</v>
      </c>
      <c r="K41" s="245">
        <v>2.7</v>
      </c>
      <c r="L41" s="245">
        <v>7.8</v>
      </c>
      <c r="M41" s="312">
        <v>2023</v>
      </c>
      <c r="N41" s="245">
        <v>21.2</v>
      </c>
      <c r="O41" s="245"/>
      <c r="P41" s="245"/>
      <c r="Q41" s="245"/>
      <c r="R41" s="245"/>
      <c r="S41" s="245">
        <f t="shared" si="0"/>
        <v>21.2</v>
      </c>
      <c r="T41" s="278"/>
      <c r="U41" s="245"/>
      <c r="V41" s="267"/>
      <c r="W41" s="268"/>
      <c r="X41" s="268"/>
      <c r="Y41" s="268"/>
      <c r="Z41" s="532"/>
      <c r="AA41" s="533"/>
      <c r="AC41" s="270"/>
    </row>
    <row r="42" spans="1:29" s="269" customFormat="1">
      <c r="A42" s="265"/>
      <c r="B42" s="265"/>
      <c r="C42" s="266"/>
      <c r="D42" s="274">
        <v>26</v>
      </c>
      <c r="E42" s="261" t="s">
        <v>382</v>
      </c>
      <c r="F42" s="246">
        <v>1</v>
      </c>
      <c r="G42" s="245">
        <v>50.3</v>
      </c>
      <c r="H42" s="245"/>
      <c r="I42" s="245"/>
      <c r="J42" s="245">
        <v>16.2</v>
      </c>
      <c r="K42" s="245">
        <v>8.4</v>
      </c>
      <c r="L42" s="245">
        <v>8.3000000000000007</v>
      </c>
      <c r="M42" s="312">
        <v>2024</v>
      </c>
      <c r="N42" s="245">
        <v>69.7</v>
      </c>
      <c r="O42" s="245"/>
      <c r="P42" s="245"/>
      <c r="Q42" s="245"/>
      <c r="R42" s="245"/>
      <c r="S42" s="245">
        <f t="shared" si="0"/>
        <v>69.7</v>
      </c>
      <c r="T42" s="278"/>
      <c r="U42" s="245"/>
      <c r="V42" s="267"/>
      <c r="W42" s="271"/>
      <c r="X42" s="268"/>
      <c r="Y42" s="268"/>
      <c r="Z42" s="530"/>
      <c r="AA42" s="531"/>
      <c r="AC42" s="270"/>
    </row>
    <row r="43" spans="1:29" s="269" customFormat="1">
      <c r="A43" s="265"/>
      <c r="B43" s="265"/>
      <c r="C43" s="266"/>
      <c r="D43" s="274">
        <v>27</v>
      </c>
      <c r="E43" s="261" t="s">
        <v>383</v>
      </c>
      <c r="F43" s="246">
        <v>1</v>
      </c>
      <c r="G43" s="245">
        <v>33.1</v>
      </c>
      <c r="H43" s="245"/>
      <c r="I43" s="245"/>
      <c r="J43" s="245">
        <v>10.7</v>
      </c>
      <c r="K43" s="245">
        <v>5.5</v>
      </c>
      <c r="L43" s="245">
        <v>9.1999999999999993</v>
      </c>
      <c r="M43" s="312">
        <v>2023</v>
      </c>
      <c r="N43" s="245">
        <v>50.7</v>
      </c>
      <c r="O43" s="245"/>
      <c r="P43" s="245"/>
      <c r="Q43" s="245"/>
      <c r="R43" s="245"/>
      <c r="S43" s="245">
        <f t="shared" si="0"/>
        <v>50.7</v>
      </c>
      <c r="T43" s="278"/>
      <c r="U43" s="245"/>
      <c r="V43" s="267"/>
      <c r="W43" s="271"/>
      <c r="X43" s="268"/>
      <c r="Y43" s="268"/>
      <c r="Z43" s="272"/>
      <c r="AA43" s="273"/>
      <c r="AC43" s="270"/>
    </row>
    <row r="44" spans="1:29">
      <c r="A44" s="51"/>
      <c r="B44" s="51"/>
      <c r="C44" s="52"/>
      <c r="D44" s="274">
        <v>28</v>
      </c>
      <c r="E44" s="261" t="s">
        <v>384</v>
      </c>
      <c r="F44" s="246">
        <v>1</v>
      </c>
      <c r="G44" s="245">
        <v>12.8</v>
      </c>
      <c r="H44" s="245"/>
      <c r="I44" s="245"/>
      <c r="J44" s="245">
        <v>4.0999999999999996</v>
      </c>
      <c r="K44" s="245">
        <v>2.1</v>
      </c>
      <c r="L44" s="245">
        <v>9.1999999999999993</v>
      </c>
      <c r="M44" s="312">
        <v>2024</v>
      </c>
      <c r="N44" s="245">
        <v>19.7</v>
      </c>
      <c r="O44" s="245"/>
      <c r="P44" s="245"/>
      <c r="Q44" s="245"/>
      <c r="R44" s="245"/>
      <c r="S44" s="245">
        <f t="shared" si="0"/>
        <v>19.7</v>
      </c>
      <c r="T44" s="278"/>
      <c r="U44" s="245"/>
      <c r="V44" s="34"/>
      <c r="W44" s="50"/>
      <c r="X44" s="43"/>
      <c r="Y44" s="43"/>
      <c r="Z44" s="336"/>
      <c r="AA44" s="337"/>
      <c r="AC44" s="49"/>
    </row>
    <row r="45" spans="1:29">
      <c r="A45" s="51"/>
      <c r="B45" s="51"/>
      <c r="C45" s="52"/>
      <c r="D45" s="274">
        <v>29</v>
      </c>
      <c r="E45" s="261" t="s">
        <v>385</v>
      </c>
      <c r="F45" s="246">
        <v>1</v>
      </c>
      <c r="G45" s="245">
        <v>14.7</v>
      </c>
      <c r="H45" s="245"/>
      <c r="I45" s="245"/>
      <c r="J45" s="245">
        <v>4.7</v>
      </c>
      <c r="K45" s="245">
        <v>2.5</v>
      </c>
      <c r="L45" s="245">
        <v>8.6</v>
      </c>
      <c r="M45" s="312">
        <v>2024</v>
      </c>
      <c r="N45" s="245">
        <v>21.2</v>
      </c>
      <c r="O45" s="245"/>
      <c r="P45" s="245"/>
      <c r="Q45" s="245"/>
      <c r="R45" s="245"/>
      <c r="S45" s="245">
        <f t="shared" si="0"/>
        <v>21.2</v>
      </c>
      <c r="T45" s="278"/>
      <c r="U45" s="245"/>
      <c r="V45" s="34"/>
      <c r="W45" s="50"/>
      <c r="X45" s="43"/>
      <c r="Y45" s="43"/>
      <c r="Z45" s="336"/>
      <c r="AA45" s="337"/>
      <c r="AC45" s="49"/>
    </row>
    <row r="46" spans="1:29">
      <c r="A46" s="51"/>
      <c r="B46" s="51"/>
      <c r="C46" s="52"/>
      <c r="D46" s="274">
        <v>30</v>
      </c>
      <c r="E46" s="261" t="s">
        <v>386</v>
      </c>
      <c r="F46" s="246">
        <v>1</v>
      </c>
      <c r="G46" s="245">
        <v>21.9</v>
      </c>
      <c r="H46" s="245"/>
      <c r="I46" s="245"/>
      <c r="J46" s="245">
        <v>7</v>
      </c>
      <c r="K46" s="245">
        <v>3.7</v>
      </c>
      <c r="L46" s="245">
        <v>8.1</v>
      </c>
      <c r="M46" s="312">
        <v>2024</v>
      </c>
      <c r="N46" s="245">
        <v>29.4</v>
      </c>
      <c r="O46" s="245"/>
      <c r="P46" s="245"/>
      <c r="Q46" s="245"/>
      <c r="R46" s="245"/>
      <c r="S46" s="245">
        <f t="shared" si="0"/>
        <v>29.4</v>
      </c>
      <c r="T46" s="278"/>
      <c r="U46" s="245"/>
      <c r="V46" s="34"/>
      <c r="W46" s="50"/>
      <c r="X46" s="43"/>
      <c r="Y46" s="43"/>
      <c r="Z46" s="336"/>
      <c r="AA46" s="337"/>
      <c r="AC46" s="49"/>
    </row>
    <row r="47" spans="1:29">
      <c r="A47" s="51"/>
      <c r="B47" s="51"/>
      <c r="C47" s="52"/>
      <c r="D47" s="274">
        <v>31</v>
      </c>
      <c r="E47" s="261" t="s">
        <v>387</v>
      </c>
      <c r="F47" s="246">
        <v>1</v>
      </c>
      <c r="G47" s="245">
        <v>13.7</v>
      </c>
      <c r="H47" s="245"/>
      <c r="I47" s="245"/>
      <c r="J47" s="245">
        <v>4.4000000000000004</v>
      </c>
      <c r="K47" s="245">
        <v>2.2999999999999998</v>
      </c>
      <c r="L47" s="245">
        <v>8.4</v>
      </c>
      <c r="M47" s="312">
        <v>2023</v>
      </c>
      <c r="N47" s="245">
        <v>19.3</v>
      </c>
      <c r="O47" s="245"/>
      <c r="P47" s="245"/>
      <c r="Q47" s="245"/>
      <c r="R47" s="245"/>
      <c r="S47" s="245">
        <f t="shared" si="0"/>
        <v>19.3</v>
      </c>
      <c r="T47" s="278"/>
      <c r="U47" s="245"/>
      <c r="V47" s="34"/>
      <c r="W47" s="50"/>
      <c r="X47" s="43"/>
      <c r="Y47" s="43"/>
      <c r="Z47" s="534"/>
      <c r="AA47" s="535"/>
      <c r="AC47" s="49"/>
    </row>
    <row r="48" spans="1:29">
      <c r="A48" s="51"/>
      <c r="B48" s="51"/>
      <c r="C48" s="52"/>
      <c r="D48" s="274">
        <v>32</v>
      </c>
      <c r="E48" s="261" t="s">
        <v>388</v>
      </c>
      <c r="F48" s="246">
        <v>1</v>
      </c>
      <c r="G48" s="245">
        <v>8.6999999999999993</v>
      </c>
      <c r="H48" s="245"/>
      <c r="I48" s="245"/>
      <c r="J48" s="245">
        <v>2.8</v>
      </c>
      <c r="K48" s="245">
        <v>1.5</v>
      </c>
      <c r="L48" s="245">
        <v>9.1999999999999993</v>
      </c>
      <c r="M48" s="312">
        <v>2023</v>
      </c>
      <c r="N48" s="245">
        <v>13.4</v>
      </c>
      <c r="O48" s="245"/>
      <c r="P48" s="245"/>
      <c r="Q48" s="245"/>
      <c r="R48" s="245"/>
      <c r="S48" s="245">
        <f t="shared" si="0"/>
        <v>13.4</v>
      </c>
      <c r="T48" s="278"/>
      <c r="U48" s="245"/>
      <c r="V48" s="34"/>
      <c r="W48" s="50"/>
      <c r="X48" s="43"/>
      <c r="Y48" s="43"/>
      <c r="Z48" s="534"/>
      <c r="AA48" s="535"/>
      <c r="AC48" s="49"/>
    </row>
    <row r="49" spans="1:29" ht="15.75" customHeight="1">
      <c r="A49" s="51"/>
      <c r="B49" s="51"/>
      <c r="C49" s="52"/>
      <c r="D49" s="274">
        <v>33</v>
      </c>
      <c r="E49" s="261" t="s">
        <v>389</v>
      </c>
      <c r="F49" s="246">
        <v>1</v>
      </c>
      <c r="G49" s="245">
        <v>12.2</v>
      </c>
      <c r="H49" s="245"/>
      <c r="I49" s="245"/>
      <c r="J49" s="245">
        <v>3.9</v>
      </c>
      <c r="K49" s="245">
        <v>2</v>
      </c>
      <c r="L49" s="245">
        <v>9</v>
      </c>
      <c r="M49" s="312">
        <v>2023</v>
      </c>
      <c r="N49" s="245">
        <v>18.399999999999999</v>
      </c>
      <c r="O49" s="245"/>
      <c r="P49" s="245"/>
      <c r="Q49" s="245"/>
      <c r="R49" s="245"/>
      <c r="S49" s="245">
        <f t="shared" si="0"/>
        <v>18.399999999999999</v>
      </c>
      <c r="T49" s="278"/>
      <c r="U49" s="245"/>
      <c r="V49" s="34"/>
      <c r="W49" s="50"/>
      <c r="X49" s="43"/>
      <c r="Y49" s="43"/>
      <c r="Z49" s="338"/>
      <c r="AA49" s="339"/>
      <c r="AC49" s="49"/>
    </row>
    <row r="50" spans="1:29" ht="15.75" customHeight="1">
      <c r="A50" s="51"/>
      <c r="B50" s="51"/>
      <c r="C50" s="52"/>
      <c r="D50" s="274">
        <v>34</v>
      </c>
      <c r="E50" s="261" t="s">
        <v>390</v>
      </c>
      <c r="F50" s="246">
        <v>1</v>
      </c>
      <c r="G50" s="245">
        <v>19.100000000000001</v>
      </c>
      <c r="H50" s="245"/>
      <c r="I50" s="245"/>
      <c r="J50" s="245">
        <v>6.1</v>
      </c>
      <c r="K50" s="245">
        <v>3.2</v>
      </c>
      <c r="L50" s="245">
        <v>8.1</v>
      </c>
      <c r="M50" s="312">
        <v>2024</v>
      </c>
      <c r="N50" s="245">
        <v>25.9</v>
      </c>
      <c r="O50" s="245"/>
      <c r="P50" s="245"/>
      <c r="Q50" s="245"/>
      <c r="R50" s="245"/>
      <c r="S50" s="245">
        <f t="shared" si="0"/>
        <v>25.9</v>
      </c>
      <c r="T50" s="278"/>
      <c r="U50" s="245"/>
      <c r="V50" s="34"/>
      <c r="W50" s="50"/>
      <c r="X50" s="43"/>
      <c r="Y50" s="43"/>
      <c r="Z50" s="338"/>
      <c r="AA50" s="339"/>
      <c r="AC50" s="49"/>
    </row>
    <row r="51" spans="1:29" ht="48" customHeight="1">
      <c r="A51" s="51"/>
      <c r="B51" s="51"/>
      <c r="C51" s="52"/>
      <c r="D51" s="274">
        <v>35</v>
      </c>
      <c r="E51" s="359" t="s">
        <v>401</v>
      </c>
      <c r="F51" s="246">
        <v>1</v>
      </c>
      <c r="G51" s="245">
        <v>61.6</v>
      </c>
      <c r="H51" s="245"/>
      <c r="I51" s="245"/>
      <c r="J51" s="245">
        <v>19.8</v>
      </c>
      <c r="K51" s="245">
        <v>10.3</v>
      </c>
      <c r="L51" s="245">
        <v>6.9</v>
      </c>
      <c r="M51" s="312">
        <v>2025</v>
      </c>
      <c r="N51" s="245">
        <v>71.3</v>
      </c>
      <c r="O51" s="245"/>
      <c r="P51" s="245"/>
      <c r="Q51" s="245"/>
      <c r="R51" s="245"/>
      <c r="S51" s="245">
        <f t="shared" si="0"/>
        <v>71.3</v>
      </c>
      <c r="T51" s="278"/>
      <c r="U51" s="245"/>
      <c r="V51" s="34"/>
      <c r="W51" s="50"/>
      <c r="X51" s="43"/>
      <c r="Y51" s="43"/>
      <c r="Z51" s="338"/>
      <c r="AA51" s="339"/>
      <c r="AC51" s="49"/>
    </row>
    <row r="52" spans="1:29" ht="47.25">
      <c r="A52" s="252"/>
      <c r="B52" s="252"/>
      <c r="C52" s="253"/>
      <c r="D52" s="274">
        <v>36</v>
      </c>
      <c r="E52" s="359" t="s">
        <v>413</v>
      </c>
      <c r="F52" s="246">
        <v>1</v>
      </c>
      <c r="G52" s="245">
        <v>61.6</v>
      </c>
      <c r="H52" s="245"/>
      <c r="I52" s="245"/>
      <c r="J52" s="245">
        <v>19.8</v>
      </c>
      <c r="K52" s="245">
        <v>10.3</v>
      </c>
      <c r="L52" s="245">
        <v>6.9</v>
      </c>
      <c r="M52" s="312">
        <v>2025</v>
      </c>
      <c r="N52" s="245">
        <v>71.3</v>
      </c>
      <c r="O52" s="245"/>
      <c r="P52" s="245"/>
      <c r="Q52" s="245"/>
      <c r="R52" s="245"/>
      <c r="S52" s="245">
        <f t="shared" si="0"/>
        <v>71.3</v>
      </c>
      <c r="T52" s="278"/>
      <c r="U52" s="245"/>
      <c r="V52" s="34"/>
      <c r="W52" s="260"/>
      <c r="X52" s="234"/>
      <c r="Y52" s="234"/>
      <c r="Z52" s="234"/>
      <c r="AA52" s="234"/>
      <c r="AC52" s="49"/>
    </row>
    <row r="53" spans="1:29" ht="48" customHeight="1">
      <c r="A53" s="51"/>
      <c r="B53" s="51"/>
      <c r="C53" s="52"/>
      <c r="D53" s="274">
        <v>37</v>
      </c>
      <c r="E53" s="359" t="s">
        <v>453</v>
      </c>
      <c r="F53" s="246">
        <v>1</v>
      </c>
      <c r="G53" s="245">
        <v>61.6</v>
      </c>
      <c r="H53" s="245"/>
      <c r="I53" s="245"/>
      <c r="J53" s="245">
        <v>19.8</v>
      </c>
      <c r="K53" s="245">
        <v>10.3</v>
      </c>
      <c r="L53" s="245">
        <v>6.9</v>
      </c>
      <c r="M53" s="312">
        <v>2025</v>
      </c>
      <c r="N53" s="245">
        <v>71.3</v>
      </c>
      <c r="O53" s="245"/>
      <c r="P53" s="245"/>
      <c r="Q53" s="245"/>
      <c r="R53" s="245"/>
      <c r="S53" s="245">
        <f t="shared" si="0"/>
        <v>71.3</v>
      </c>
      <c r="T53" s="278"/>
      <c r="U53" s="245"/>
      <c r="V53" s="34"/>
      <c r="W53" s="50"/>
      <c r="X53" s="43"/>
      <c r="Y53" s="43"/>
      <c r="Z53" s="530"/>
      <c r="AA53" s="531"/>
      <c r="AC53" s="49"/>
    </row>
    <row r="54" spans="1:29" ht="48" customHeight="1">
      <c r="A54" s="51"/>
      <c r="B54" s="51"/>
      <c r="C54" s="52"/>
      <c r="D54" s="274">
        <v>38</v>
      </c>
      <c r="E54" s="359" t="s">
        <v>457</v>
      </c>
      <c r="F54" s="246">
        <v>1</v>
      </c>
      <c r="G54" s="245">
        <v>61.6</v>
      </c>
      <c r="H54" s="245"/>
      <c r="I54" s="245"/>
      <c r="J54" s="245">
        <v>19.8</v>
      </c>
      <c r="K54" s="245">
        <v>10.3</v>
      </c>
      <c r="L54" s="245">
        <v>6.9</v>
      </c>
      <c r="M54" s="312">
        <v>2025</v>
      </c>
      <c r="N54" s="245">
        <v>71.3</v>
      </c>
      <c r="O54" s="245"/>
      <c r="P54" s="245"/>
      <c r="Q54" s="245"/>
      <c r="R54" s="245"/>
      <c r="S54" s="245">
        <f t="shared" si="0"/>
        <v>71.3</v>
      </c>
      <c r="T54" s="278"/>
      <c r="U54" s="245"/>
      <c r="V54" s="34"/>
      <c r="W54" s="50"/>
      <c r="X54" s="43"/>
      <c r="Y54" s="43"/>
      <c r="Z54" s="43"/>
      <c r="AA54" s="43"/>
      <c r="AC54" s="49"/>
    </row>
    <row r="55" spans="1:29" ht="48" customHeight="1">
      <c r="A55" s="51"/>
      <c r="B55" s="51"/>
      <c r="C55" s="52"/>
      <c r="D55" s="274">
        <v>39</v>
      </c>
      <c r="E55" s="359" t="s">
        <v>457</v>
      </c>
      <c r="F55" s="246">
        <v>1</v>
      </c>
      <c r="G55" s="245">
        <v>61.6</v>
      </c>
      <c r="H55" s="245"/>
      <c r="I55" s="245"/>
      <c r="J55" s="245">
        <v>19.8</v>
      </c>
      <c r="K55" s="245">
        <v>10.3</v>
      </c>
      <c r="L55" s="245">
        <v>6.9</v>
      </c>
      <c r="M55" s="312">
        <v>2025</v>
      </c>
      <c r="N55" s="245">
        <v>71.3</v>
      </c>
      <c r="O55" s="245"/>
      <c r="P55" s="245"/>
      <c r="Q55" s="245"/>
      <c r="R55" s="245"/>
      <c r="S55" s="245">
        <f t="shared" si="0"/>
        <v>71.3</v>
      </c>
      <c r="T55" s="278"/>
      <c r="U55" s="245"/>
      <c r="V55" s="34"/>
      <c r="W55" s="50"/>
      <c r="X55" s="43"/>
      <c r="Y55" s="43"/>
      <c r="Z55" s="43"/>
      <c r="AA55" s="43"/>
      <c r="AC55" s="49"/>
    </row>
    <row r="56" spans="1:29" ht="47.25">
      <c r="A56" s="51"/>
      <c r="B56" s="51"/>
      <c r="C56" s="52"/>
      <c r="D56" s="274">
        <v>40</v>
      </c>
      <c r="E56" s="359" t="s">
        <v>466</v>
      </c>
      <c r="F56" s="246">
        <v>1</v>
      </c>
      <c r="G56" s="245">
        <v>61.6</v>
      </c>
      <c r="H56" s="245"/>
      <c r="I56" s="245"/>
      <c r="J56" s="245">
        <v>19.8</v>
      </c>
      <c r="K56" s="245">
        <v>10.3</v>
      </c>
      <c r="L56" s="245">
        <v>6.9</v>
      </c>
      <c r="M56" s="312">
        <v>2025</v>
      </c>
      <c r="N56" s="245">
        <v>71.3</v>
      </c>
      <c r="O56" s="245"/>
      <c r="P56" s="245"/>
      <c r="Q56" s="245"/>
      <c r="R56" s="245"/>
      <c r="S56" s="245">
        <f t="shared" si="0"/>
        <v>71.3</v>
      </c>
      <c r="T56" s="278"/>
      <c r="U56" s="245"/>
      <c r="V56" s="34"/>
      <c r="W56" s="50"/>
      <c r="X56" s="43"/>
      <c r="Y56" s="43"/>
      <c r="Z56" s="43"/>
      <c r="AA56" s="43"/>
      <c r="AC56" s="49"/>
    </row>
    <row r="57" spans="1:29" ht="47.25">
      <c r="A57" s="265"/>
      <c r="B57" s="265"/>
      <c r="C57" s="266"/>
      <c r="D57" s="274">
        <v>41</v>
      </c>
      <c r="E57" s="359" t="s">
        <v>475</v>
      </c>
      <c r="F57" s="246">
        <v>1</v>
      </c>
      <c r="G57" s="245">
        <v>44.8</v>
      </c>
      <c r="H57" s="245"/>
      <c r="I57" s="245"/>
      <c r="J57" s="245">
        <v>14.4</v>
      </c>
      <c r="K57" s="245">
        <v>7.5</v>
      </c>
      <c r="L57" s="245">
        <v>9.5</v>
      </c>
      <c r="M57" s="312">
        <v>2025</v>
      </c>
      <c r="N57" s="245">
        <v>71.3</v>
      </c>
      <c r="O57" s="245"/>
      <c r="P57" s="245"/>
      <c r="Q57" s="245"/>
      <c r="R57" s="245"/>
      <c r="S57" s="245">
        <f t="shared" si="0"/>
        <v>71.3</v>
      </c>
      <c r="T57" s="278"/>
      <c r="U57" s="245"/>
      <c r="V57" s="34"/>
      <c r="W57" s="50"/>
      <c r="X57" s="43"/>
      <c r="Y57" s="43"/>
      <c r="Z57" s="43"/>
      <c r="AA57" s="43"/>
      <c r="AC57" s="49"/>
    </row>
    <row r="58" spans="1:29" ht="47.25">
      <c r="A58" s="265"/>
      <c r="B58" s="265"/>
      <c r="C58" s="266"/>
      <c r="D58" s="274">
        <v>42</v>
      </c>
      <c r="E58" s="359" t="s">
        <v>482</v>
      </c>
      <c r="F58" s="246">
        <v>1</v>
      </c>
      <c r="G58" s="245">
        <v>61.6</v>
      </c>
      <c r="H58" s="245"/>
      <c r="I58" s="245"/>
      <c r="J58" s="245">
        <v>19.8</v>
      </c>
      <c r="K58" s="245">
        <v>10.3</v>
      </c>
      <c r="L58" s="245">
        <v>6.9</v>
      </c>
      <c r="M58" s="312">
        <v>2025</v>
      </c>
      <c r="N58" s="245">
        <v>71.3</v>
      </c>
      <c r="O58" s="245"/>
      <c r="P58" s="245"/>
      <c r="Q58" s="245"/>
      <c r="R58" s="245"/>
      <c r="S58" s="245">
        <f t="shared" si="0"/>
        <v>71.3</v>
      </c>
      <c r="T58" s="278"/>
      <c r="U58" s="245"/>
      <c r="V58" s="34"/>
      <c r="W58" s="50"/>
      <c r="X58" s="43"/>
      <c r="Y58" s="43"/>
      <c r="Z58" s="43"/>
      <c r="AA58" s="43"/>
      <c r="AC58" s="49"/>
    </row>
    <row r="59" spans="1:29" ht="47.25">
      <c r="A59" s="265"/>
      <c r="B59" s="265"/>
      <c r="C59" s="266"/>
      <c r="D59" s="274">
        <v>43</v>
      </c>
      <c r="E59" s="359" t="s">
        <v>486</v>
      </c>
      <c r="F59" s="246">
        <v>1</v>
      </c>
      <c r="G59" s="245">
        <v>61.6</v>
      </c>
      <c r="H59" s="245"/>
      <c r="I59" s="245"/>
      <c r="J59" s="245">
        <v>19.8</v>
      </c>
      <c r="K59" s="245">
        <v>10.3</v>
      </c>
      <c r="L59" s="245">
        <v>6.9</v>
      </c>
      <c r="M59" s="312">
        <v>2026</v>
      </c>
      <c r="N59" s="245">
        <v>71.3</v>
      </c>
      <c r="O59" s="245"/>
      <c r="P59" s="245"/>
      <c r="Q59" s="245"/>
      <c r="R59" s="245"/>
      <c r="S59" s="245">
        <f t="shared" si="0"/>
        <v>71.3</v>
      </c>
      <c r="T59" s="278"/>
      <c r="U59" s="245"/>
      <c r="V59" s="34"/>
      <c r="W59" s="50"/>
      <c r="X59" s="43"/>
      <c r="Y59" s="43"/>
      <c r="Z59" s="43"/>
      <c r="AA59" s="43"/>
      <c r="AC59" s="49"/>
    </row>
    <row r="60" spans="1:29" ht="47.25">
      <c r="A60" s="265"/>
      <c r="B60" s="265"/>
      <c r="C60" s="266"/>
      <c r="D60" s="274">
        <v>44</v>
      </c>
      <c r="E60" s="359" t="s">
        <v>486</v>
      </c>
      <c r="F60" s="246">
        <v>1</v>
      </c>
      <c r="G60" s="245">
        <v>61.6</v>
      </c>
      <c r="H60" s="245"/>
      <c r="I60" s="245"/>
      <c r="J60" s="245">
        <v>19.8</v>
      </c>
      <c r="K60" s="245">
        <v>10.3</v>
      </c>
      <c r="L60" s="245">
        <v>6.9</v>
      </c>
      <c r="M60" s="312">
        <v>2026</v>
      </c>
      <c r="N60" s="245">
        <v>71.3</v>
      </c>
      <c r="O60" s="245"/>
      <c r="P60" s="245"/>
      <c r="Q60" s="245"/>
      <c r="R60" s="245"/>
      <c r="S60" s="245">
        <f t="shared" si="0"/>
        <v>71.3</v>
      </c>
      <c r="T60" s="278"/>
      <c r="U60" s="245"/>
      <c r="V60" s="34"/>
      <c r="W60" s="50"/>
      <c r="X60" s="43"/>
      <c r="Y60" s="43"/>
      <c r="Z60" s="43"/>
      <c r="AA60" s="43"/>
      <c r="AC60" s="49"/>
    </row>
    <row r="61" spans="1:29" ht="47.25">
      <c r="A61" s="265"/>
      <c r="B61" s="265"/>
      <c r="C61" s="266"/>
      <c r="D61" s="274">
        <v>45</v>
      </c>
      <c r="E61" s="359" t="s">
        <v>505</v>
      </c>
      <c r="F61" s="246">
        <v>1</v>
      </c>
      <c r="G61" s="245">
        <v>61.6</v>
      </c>
      <c r="H61" s="245"/>
      <c r="I61" s="245"/>
      <c r="J61" s="245">
        <v>19.8</v>
      </c>
      <c r="K61" s="245">
        <v>10.3</v>
      </c>
      <c r="L61" s="245">
        <v>6.9</v>
      </c>
      <c r="M61" s="312">
        <v>2026</v>
      </c>
      <c r="N61" s="245">
        <v>71.3</v>
      </c>
      <c r="O61" s="245"/>
      <c r="P61" s="245"/>
      <c r="Q61" s="245"/>
      <c r="R61" s="245"/>
      <c r="S61" s="245">
        <f t="shared" si="0"/>
        <v>71.3</v>
      </c>
      <c r="T61" s="278"/>
      <c r="U61" s="245"/>
      <c r="V61" s="34"/>
      <c r="W61" s="50"/>
      <c r="X61" s="43"/>
      <c r="Y61" s="43"/>
      <c r="Z61" s="43"/>
      <c r="AA61" s="43"/>
      <c r="AC61" s="49"/>
    </row>
    <row r="62" spans="1:29" ht="47.25">
      <c r="A62" s="265"/>
      <c r="B62" s="265"/>
      <c r="C62" s="266"/>
      <c r="D62" s="274">
        <v>46</v>
      </c>
      <c r="E62" s="359" t="s">
        <v>506</v>
      </c>
      <c r="F62" s="246">
        <v>1</v>
      </c>
      <c r="G62" s="245">
        <v>61.6</v>
      </c>
      <c r="H62" s="245"/>
      <c r="I62" s="245"/>
      <c r="J62" s="245">
        <v>19.8</v>
      </c>
      <c r="K62" s="245">
        <v>10.3</v>
      </c>
      <c r="L62" s="245">
        <v>6.9</v>
      </c>
      <c r="M62" s="312">
        <v>2026</v>
      </c>
      <c r="N62" s="245">
        <v>71.3</v>
      </c>
      <c r="O62" s="245"/>
      <c r="P62" s="245"/>
      <c r="Q62" s="245"/>
      <c r="R62" s="245"/>
      <c r="S62" s="245">
        <f t="shared" si="0"/>
        <v>71.3</v>
      </c>
      <c r="T62" s="278"/>
      <c r="U62" s="245"/>
      <c r="V62" s="12"/>
      <c r="W62" s="50"/>
      <c r="X62" s="43"/>
      <c r="Y62" s="43"/>
      <c r="Z62" s="43"/>
      <c r="AA62" s="43"/>
      <c r="AC62" s="49"/>
    </row>
    <row r="63" spans="1:29" ht="47.25">
      <c r="A63" s="265"/>
      <c r="B63" s="265"/>
      <c r="C63" s="266"/>
      <c r="D63" s="274">
        <v>47</v>
      </c>
      <c r="E63" s="359" t="s">
        <v>509</v>
      </c>
      <c r="F63" s="246">
        <v>1</v>
      </c>
      <c r="G63" s="245">
        <v>44.8</v>
      </c>
      <c r="H63" s="245"/>
      <c r="I63" s="245"/>
      <c r="J63" s="245">
        <v>14.4</v>
      </c>
      <c r="K63" s="245">
        <v>7.5</v>
      </c>
      <c r="L63" s="245">
        <v>9.5</v>
      </c>
      <c r="M63" s="312">
        <v>2026</v>
      </c>
      <c r="N63" s="245">
        <v>71.3</v>
      </c>
      <c r="O63" s="245"/>
      <c r="P63" s="245"/>
      <c r="Q63" s="245"/>
      <c r="R63" s="245"/>
      <c r="S63" s="245">
        <f t="shared" si="0"/>
        <v>71.3</v>
      </c>
      <c r="T63" s="278"/>
      <c r="U63" s="245"/>
      <c r="V63" s="34"/>
      <c r="W63" s="43"/>
      <c r="X63" s="43"/>
      <c r="Y63" s="43"/>
      <c r="Z63" s="43"/>
      <c r="AA63" s="43"/>
      <c r="AC63" s="49"/>
    </row>
    <row r="64" spans="1:29" ht="47.25">
      <c r="A64" s="265"/>
      <c r="B64" s="265"/>
      <c r="C64" s="266"/>
      <c r="D64" s="274">
        <v>48</v>
      </c>
      <c r="E64" s="359" t="s">
        <v>507</v>
      </c>
      <c r="F64" s="246">
        <v>1</v>
      </c>
      <c r="G64" s="245">
        <v>61.6</v>
      </c>
      <c r="H64" s="245"/>
      <c r="I64" s="245"/>
      <c r="J64" s="245">
        <v>19.8</v>
      </c>
      <c r="K64" s="245">
        <v>10.3</v>
      </c>
      <c r="L64" s="245">
        <v>6.9</v>
      </c>
      <c r="M64" s="312">
        <v>2026</v>
      </c>
      <c r="N64" s="245">
        <v>71.3</v>
      </c>
      <c r="O64" s="245"/>
      <c r="P64" s="245"/>
      <c r="Q64" s="245"/>
      <c r="R64" s="245"/>
      <c r="S64" s="245">
        <f t="shared" si="0"/>
        <v>71.3</v>
      </c>
      <c r="T64" s="278"/>
      <c r="U64" s="245"/>
      <c r="V64" s="34"/>
      <c r="W64" s="43"/>
      <c r="X64" s="43"/>
      <c r="Y64" s="43"/>
      <c r="Z64" s="43"/>
      <c r="AA64" s="43"/>
      <c r="AC64" s="49"/>
    </row>
    <row r="65" spans="1:29" ht="47.25">
      <c r="A65" s="51"/>
      <c r="B65" s="51"/>
      <c r="C65" s="52"/>
      <c r="D65" s="274">
        <v>49</v>
      </c>
      <c r="E65" s="359" t="s">
        <v>510</v>
      </c>
      <c r="F65" s="246">
        <v>1</v>
      </c>
      <c r="G65" s="245">
        <v>61.6</v>
      </c>
      <c r="H65" s="245"/>
      <c r="I65" s="245"/>
      <c r="J65" s="245">
        <v>19.8</v>
      </c>
      <c r="K65" s="245">
        <v>10.3</v>
      </c>
      <c r="L65" s="245">
        <v>6.9</v>
      </c>
      <c r="M65" s="312">
        <v>2026</v>
      </c>
      <c r="N65" s="245">
        <v>71.3</v>
      </c>
      <c r="O65" s="245"/>
      <c r="P65" s="245"/>
      <c r="Q65" s="245"/>
      <c r="R65" s="245"/>
      <c r="S65" s="245">
        <f t="shared" si="0"/>
        <v>71.3</v>
      </c>
      <c r="T65" s="278"/>
      <c r="U65" s="245"/>
      <c r="V65" s="34"/>
      <c r="W65" s="43"/>
      <c r="X65" s="43"/>
      <c r="Y65" s="43"/>
      <c r="Z65" s="43"/>
      <c r="AA65" s="43"/>
      <c r="AC65" s="49"/>
    </row>
    <row r="66" spans="1:29" ht="47.25">
      <c r="D66" s="274">
        <v>50</v>
      </c>
      <c r="E66" s="359" t="s">
        <v>532</v>
      </c>
      <c r="F66" s="246">
        <v>1</v>
      </c>
      <c r="G66" s="245">
        <v>61.6</v>
      </c>
      <c r="H66" s="245"/>
      <c r="I66" s="245"/>
      <c r="J66" s="245">
        <v>19.8</v>
      </c>
      <c r="K66" s="245">
        <v>10.3</v>
      </c>
      <c r="L66" s="245">
        <v>6.9</v>
      </c>
      <c r="M66" s="312">
        <v>2026</v>
      </c>
      <c r="N66" s="245">
        <v>71.3</v>
      </c>
      <c r="O66" s="245"/>
      <c r="P66" s="245"/>
      <c r="Q66" s="245"/>
      <c r="R66" s="245"/>
      <c r="S66" s="245">
        <f t="shared" si="0"/>
        <v>71.3</v>
      </c>
      <c r="T66" s="278"/>
      <c r="U66" s="245"/>
    </row>
    <row r="67" spans="1:29" ht="47.25">
      <c r="D67" s="274">
        <v>51</v>
      </c>
      <c r="E67" s="359" t="s">
        <v>536</v>
      </c>
      <c r="F67" s="246">
        <v>1</v>
      </c>
      <c r="G67" s="245">
        <v>61.6</v>
      </c>
      <c r="H67" s="245"/>
      <c r="I67" s="245"/>
      <c r="J67" s="245">
        <v>19.8</v>
      </c>
      <c r="K67" s="245">
        <v>10.3</v>
      </c>
      <c r="L67" s="245">
        <v>6.9</v>
      </c>
      <c r="M67" s="312">
        <v>2027</v>
      </c>
      <c r="N67" s="245">
        <v>71.3</v>
      </c>
      <c r="O67" s="245"/>
      <c r="P67" s="245"/>
      <c r="Q67" s="245"/>
      <c r="R67" s="245"/>
      <c r="S67" s="245">
        <f t="shared" si="0"/>
        <v>71.3</v>
      </c>
      <c r="T67" s="278"/>
      <c r="U67" s="245"/>
    </row>
    <row r="68" spans="1:29" ht="47.25">
      <c r="D68" s="274">
        <v>52</v>
      </c>
      <c r="E68" s="359" t="s">
        <v>539</v>
      </c>
      <c r="F68" s="246">
        <v>1</v>
      </c>
      <c r="G68" s="245">
        <v>61.6</v>
      </c>
      <c r="H68" s="245"/>
      <c r="I68" s="245"/>
      <c r="J68" s="245">
        <v>19.8</v>
      </c>
      <c r="K68" s="245">
        <v>10.3</v>
      </c>
      <c r="L68" s="245">
        <v>6.9</v>
      </c>
      <c r="M68" s="312">
        <v>2027</v>
      </c>
      <c r="N68" s="245">
        <v>71.3</v>
      </c>
      <c r="O68" s="245"/>
      <c r="P68" s="245"/>
      <c r="Q68" s="245"/>
      <c r="R68" s="245"/>
      <c r="S68" s="245">
        <f t="shared" si="0"/>
        <v>71.3</v>
      </c>
      <c r="T68" s="278"/>
      <c r="U68" s="245"/>
    </row>
    <row r="69" spans="1:29" ht="47.25">
      <c r="D69" s="274">
        <v>53</v>
      </c>
      <c r="E69" s="359" t="s">
        <v>540</v>
      </c>
      <c r="F69" s="246">
        <v>1</v>
      </c>
      <c r="G69" s="245">
        <v>61.6</v>
      </c>
      <c r="H69" s="245"/>
      <c r="I69" s="245"/>
      <c r="J69" s="245">
        <v>19.8</v>
      </c>
      <c r="K69" s="245">
        <v>10.3</v>
      </c>
      <c r="L69" s="245">
        <v>6.9</v>
      </c>
      <c r="M69" s="312">
        <v>2027</v>
      </c>
      <c r="N69" s="245">
        <v>71.3</v>
      </c>
      <c r="O69" s="245"/>
      <c r="P69" s="245"/>
      <c r="Q69" s="245"/>
      <c r="R69" s="245"/>
      <c r="S69" s="245">
        <f t="shared" si="0"/>
        <v>71.3</v>
      </c>
      <c r="T69" s="278"/>
      <c r="U69" s="245"/>
    </row>
    <row r="70" spans="1:29" ht="47.25">
      <c r="D70" s="274">
        <v>54</v>
      </c>
      <c r="E70" s="359" t="s">
        <v>546</v>
      </c>
      <c r="F70" s="246">
        <v>1</v>
      </c>
      <c r="G70" s="245">
        <v>61.6</v>
      </c>
      <c r="H70" s="245"/>
      <c r="I70" s="245"/>
      <c r="J70" s="245">
        <v>19.8</v>
      </c>
      <c r="K70" s="245">
        <v>10.3</v>
      </c>
      <c r="L70" s="245">
        <v>6.9</v>
      </c>
      <c r="M70" s="312">
        <v>2027</v>
      </c>
      <c r="N70" s="245">
        <v>71.3</v>
      </c>
      <c r="O70" s="245"/>
      <c r="P70" s="245"/>
      <c r="Q70" s="245"/>
      <c r="R70" s="245"/>
      <c r="S70" s="245">
        <f t="shared" si="0"/>
        <v>71.3</v>
      </c>
      <c r="T70" s="278"/>
      <c r="U70" s="245"/>
    </row>
    <row r="71" spans="1:29" ht="47.25">
      <c r="D71" s="274">
        <v>55</v>
      </c>
      <c r="E71" s="359" t="s">
        <v>547</v>
      </c>
      <c r="F71" s="246">
        <v>1</v>
      </c>
      <c r="G71" s="245">
        <v>61.6</v>
      </c>
      <c r="H71" s="245"/>
      <c r="I71" s="245"/>
      <c r="J71" s="245">
        <v>19.8</v>
      </c>
      <c r="K71" s="245">
        <v>10.3</v>
      </c>
      <c r="L71" s="245">
        <v>6.9</v>
      </c>
      <c r="M71" s="312">
        <v>2027</v>
      </c>
      <c r="N71" s="245">
        <v>71.3</v>
      </c>
      <c r="O71" s="245"/>
      <c r="P71" s="245"/>
      <c r="Q71" s="245"/>
      <c r="R71" s="245"/>
      <c r="S71" s="245">
        <f t="shared" si="0"/>
        <v>71.3</v>
      </c>
      <c r="T71" s="278"/>
      <c r="U71" s="245"/>
    </row>
    <row r="72" spans="1:29" ht="47.25">
      <c r="D72" s="274">
        <v>56</v>
      </c>
      <c r="E72" s="359" t="s">
        <v>552</v>
      </c>
      <c r="F72" s="246">
        <v>1</v>
      </c>
      <c r="G72" s="245">
        <v>61.6</v>
      </c>
      <c r="H72" s="245"/>
      <c r="I72" s="245"/>
      <c r="J72" s="245">
        <v>19.8</v>
      </c>
      <c r="K72" s="245">
        <v>10.3</v>
      </c>
      <c r="L72" s="245">
        <v>6.9</v>
      </c>
      <c r="M72" s="312">
        <v>2027</v>
      </c>
      <c r="N72" s="245">
        <v>71.3</v>
      </c>
      <c r="O72" s="245"/>
      <c r="P72" s="245"/>
      <c r="Q72" s="245"/>
      <c r="R72" s="245"/>
      <c r="S72" s="245">
        <f t="shared" si="0"/>
        <v>71.3</v>
      </c>
      <c r="T72" s="278"/>
      <c r="U72" s="245"/>
    </row>
    <row r="73" spans="1:29" ht="47.25">
      <c r="D73" s="274">
        <v>57</v>
      </c>
      <c r="E73" s="359" t="s">
        <v>552</v>
      </c>
      <c r="F73" s="246">
        <v>1</v>
      </c>
      <c r="G73" s="245">
        <v>61.6</v>
      </c>
      <c r="H73" s="245"/>
      <c r="I73" s="245"/>
      <c r="J73" s="245">
        <v>19.8</v>
      </c>
      <c r="K73" s="245">
        <v>10.3</v>
      </c>
      <c r="L73" s="245">
        <v>6.9</v>
      </c>
      <c r="M73" s="312">
        <v>2027</v>
      </c>
      <c r="N73" s="245">
        <v>71.3</v>
      </c>
      <c r="O73" s="245"/>
      <c r="P73" s="245"/>
      <c r="Q73" s="245"/>
      <c r="R73" s="245"/>
      <c r="S73" s="245">
        <f t="shared" si="0"/>
        <v>71.3</v>
      </c>
      <c r="T73" s="278"/>
      <c r="U73" s="245"/>
    </row>
    <row r="74" spans="1:29" ht="47.25">
      <c r="D74" s="274">
        <v>58</v>
      </c>
      <c r="E74" s="359" t="s">
        <v>572</v>
      </c>
      <c r="F74" s="246">
        <v>1</v>
      </c>
      <c r="G74" s="245">
        <v>61.6</v>
      </c>
      <c r="H74" s="245"/>
      <c r="I74" s="245"/>
      <c r="J74" s="245">
        <v>19.8</v>
      </c>
      <c r="K74" s="245">
        <v>10.3</v>
      </c>
      <c r="L74" s="245">
        <v>6.9</v>
      </c>
      <c r="M74" s="312">
        <v>2027</v>
      </c>
      <c r="N74" s="245">
        <v>71.3</v>
      </c>
      <c r="O74" s="245"/>
      <c r="P74" s="245"/>
      <c r="Q74" s="245"/>
      <c r="R74" s="245"/>
      <c r="S74" s="245">
        <f t="shared" si="0"/>
        <v>71.3</v>
      </c>
      <c r="T74" s="278"/>
      <c r="U74" s="245"/>
    </row>
    <row r="75" spans="1:29" ht="47.25">
      <c r="D75" s="274">
        <v>59</v>
      </c>
      <c r="E75" s="359" t="s">
        <v>583</v>
      </c>
      <c r="F75" s="246">
        <v>1</v>
      </c>
      <c r="G75" s="245">
        <v>61.6</v>
      </c>
      <c r="H75" s="245"/>
      <c r="I75" s="245"/>
      <c r="J75" s="245">
        <v>19.8</v>
      </c>
      <c r="K75" s="245">
        <v>10.3</v>
      </c>
      <c r="L75" s="245">
        <v>6.9</v>
      </c>
      <c r="M75" s="312">
        <v>2027</v>
      </c>
      <c r="N75" s="245">
        <v>71.3</v>
      </c>
      <c r="O75" s="245"/>
      <c r="P75" s="245"/>
      <c r="Q75" s="245"/>
      <c r="R75" s="245"/>
      <c r="S75" s="245">
        <f t="shared" si="0"/>
        <v>71.3</v>
      </c>
      <c r="T75" s="278"/>
      <c r="U75" s="245"/>
    </row>
    <row r="76" spans="1:29" ht="31.5">
      <c r="D76" s="274">
        <v>60</v>
      </c>
      <c r="E76" s="261" t="s">
        <v>807</v>
      </c>
      <c r="F76" s="246">
        <v>269</v>
      </c>
      <c r="G76" s="245">
        <v>18.8</v>
      </c>
      <c r="H76" s="245"/>
      <c r="I76" s="245"/>
      <c r="J76" s="245">
        <v>6.1</v>
      </c>
      <c r="K76" s="245">
        <v>3.1</v>
      </c>
      <c r="L76" s="245">
        <v>3.4</v>
      </c>
      <c r="M76" s="312">
        <v>2023</v>
      </c>
      <c r="N76" s="245">
        <v>10.5</v>
      </c>
      <c r="O76" s="245"/>
      <c r="P76" s="245"/>
      <c r="Q76" s="245"/>
      <c r="R76" s="245"/>
      <c r="S76" s="245">
        <f t="shared" si="0"/>
        <v>10.5</v>
      </c>
      <c r="T76" s="278"/>
      <c r="U76" s="245"/>
    </row>
    <row r="77" spans="1:29" ht="31.5">
      <c r="D77" s="274">
        <v>61</v>
      </c>
      <c r="E77" s="261" t="s">
        <v>808</v>
      </c>
      <c r="F77" s="246">
        <v>200</v>
      </c>
      <c r="G77" s="245">
        <v>13.9</v>
      </c>
      <c r="H77" s="245"/>
      <c r="I77" s="245"/>
      <c r="J77" s="245">
        <v>4.5</v>
      </c>
      <c r="K77" s="245">
        <v>2.2999999999999998</v>
      </c>
      <c r="L77" s="245">
        <v>3.4</v>
      </c>
      <c r="M77" s="312">
        <v>2023</v>
      </c>
      <c r="N77" s="245">
        <v>7.8</v>
      </c>
      <c r="O77" s="245"/>
      <c r="P77" s="245"/>
      <c r="Q77" s="245"/>
      <c r="R77" s="245"/>
      <c r="S77" s="245">
        <f t="shared" si="0"/>
        <v>7.8</v>
      </c>
      <c r="T77" s="278"/>
      <c r="U77" s="245"/>
    </row>
    <row r="78" spans="1:29" ht="31.5">
      <c r="D78" s="274">
        <v>62</v>
      </c>
      <c r="E78" s="261" t="s">
        <v>809</v>
      </c>
      <c r="F78" s="246">
        <v>190</v>
      </c>
      <c r="G78" s="245">
        <v>13.3</v>
      </c>
      <c r="H78" s="245"/>
      <c r="I78" s="245"/>
      <c r="J78" s="245">
        <v>4.3</v>
      </c>
      <c r="K78" s="245">
        <v>2.2000000000000002</v>
      </c>
      <c r="L78" s="245">
        <v>3.4</v>
      </c>
      <c r="M78" s="312">
        <v>2023</v>
      </c>
      <c r="N78" s="245">
        <v>7.4</v>
      </c>
      <c r="O78" s="245"/>
      <c r="P78" s="245"/>
      <c r="Q78" s="245"/>
      <c r="R78" s="245"/>
      <c r="S78" s="245">
        <f t="shared" si="0"/>
        <v>7.4</v>
      </c>
      <c r="T78" s="278"/>
      <c r="U78" s="245"/>
    </row>
    <row r="79" spans="1:29" ht="31.5">
      <c r="D79" s="274">
        <v>63</v>
      </c>
      <c r="E79" s="261" t="s">
        <v>810</v>
      </c>
      <c r="F79" s="246">
        <v>22</v>
      </c>
      <c r="G79" s="245">
        <v>1.5</v>
      </c>
      <c r="H79" s="245"/>
      <c r="I79" s="245"/>
      <c r="J79" s="313">
        <v>0.49</v>
      </c>
      <c r="K79" s="313">
        <v>0.26</v>
      </c>
      <c r="L79" s="245">
        <v>3.4</v>
      </c>
      <c r="M79" s="312">
        <v>2023</v>
      </c>
      <c r="N79" s="313">
        <v>0.87</v>
      </c>
      <c r="O79" s="245"/>
      <c r="P79" s="245"/>
      <c r="Q79" s="245"/>
      <c r="R79" s="245"/>
      <c r="S79" s="313">
        <f t="shared" si="0"/>
        <v>0.87</v>
      </c>
      <c r="T79" s="278"/>
      <c r="U79" s="245"/>
    </row>
    <row r="80" spans="1:29" ht="31.5">
      <c r="D80" s="274">
        <v>64</v>
      </c>
      <c r="E80" s="261" t="s">
        <v>812</v>
      </c>
      <c r="F80" s="246">
        <v>8</v>
      </c>
      <c r="G80" s="313">
        <v>0.56000000000000005</v>
      </c>
      <c r="H80" s="245"/>
      <c r="I80" s="245"/>
      <c r="J80" s="313">
        <v>0.18</v>
      </c>
      <c r="K80" s="313">
        <v>0.09</v>
      </c>
      <c r="L80" s="245">
        <v>3.4</v>
      </c>
      <c r="M80" s="312">
        <v>2023</v>
      </c>
      <c r="N80" s="313">
        <v>0.32</v>
      </c>
      <c r="O80" s="245"/>
      <c r="P80" s="245"/>
      <c r="Q80" s="245"/>
      <c r="R80" s="245"/>
      <c r="S80" s="313">
        <f t="shared" si="0"/>
        <v>0.32</v>
      </c>
      <c r="T80" s="278"/>
      <c r="U80" s="245"/>
    </row>
    <row r="81" spans="1:21" ht="31.5">
      <c r="D81" s="274">
        <v>65</v>
      </c>
      <c r="E81" s="261" t="s">
        <v>813</v>
      </c>
      <c r="F81" s="246">
        <v>32</v>
      </c>
      <c r="G81" s="245">
        <v>2.2000000000000002</v>
      </c>
      <c r="H81" s="245"/>
      <c r="I81" s="245"/>
      <c r="J81" s="313">
        <v>0.72</v>
      </c>
      <c r="K81" s="313">
        <v>0.37</v>
      </c>
      <c r="L81" s="245">
        <v>3.4</v>
      </c>
      <c r="M81" s="312">
        <v>2023</v>
      </c>
      <c r="N81" s="245">
        <v>1.3</v>
      </c>
      <c r="O81" s="245"/>
      <c r="P81" s="245"/>
      <c r="Q81" s="245"/>
      <c r="R81" s="245"/>
      <c r="S81" s="245">
        <f t="shared" si="0"/>
        <v>1.3</v>
      </c>
      <c r="T81" s="278"/>
      <c r="U81" s="245"/>
    </row>
    <row r="82" spans="1:21" ht="31.5">
      <c r="D82" s="274">
        <v>66</v>
      </c>
      <c r="E82" s="261" t="s">
        <v>815</v>
      </c>
      <c r="F82" s="246">
        <v>8</v>
      </c>
      <c r="G82" s="313">
        <v>0.56000000000000005</v>
      </c>
      <c r="H82" s="245"/>
      <c r="I82" s="245"/>
      <c r="J82" s="313">
        <v>0.18</v>
      </c>
      <c r="K82" s="313">
        <v>0.09</v>
      </c>
      <c r="L82" s="245">
        <v>3.4</v>
      </c>
      <c r="M82" s="312">
        <v>2023</v>
      </c>
      <c r="N82" s="313">
        <v>0.32</v>
      </c>
      <c r="O82" s="313"/>
      <c r="P82" s="313"/>
      <c r="Q82" s="313"/>
      <c r="R82" s="313"/>
      <c r="S82" s="313">
        <f t="shared" si="0"/>
        <v>0.32</v>
      </c>
      <c r="T82" s="278"/>
      <c r="U82" s="245"/>
    </row>
    <row r="83" spans="1:21" ht="31.5">
      <c r="D83" s="274">
        <v>67</v>
      </c>
      <c r="E83" s="261" t="s">
        <v>816</v>
      </c>
      <c r="F83" s="246">
        <v>6</v>
      </c>
      <c r="G83" s="313">
        <v>0.42</v>
      </c>
      <c r="H83" s="245"/>
      <c r="I83" s="245"/>
      <c r="J83" s="313">
        <v>0.13</v>
      </c>
      <c r="K83" s="313">
        <v>7.0000000000000007E-2</v>
      </c>
      <c r="L83" s="245">
        <v>3.6</v>
      </c>
      <c r="M83" s="312">
        <v>2023</v>
      </c>
      <c r="N83" s="313">
        <v>0.25</v>
      </c>
      <c r="O83" s="245"/>
      <c r="P83" s="245"/>
      <c r="Q83" s="245"/>
      <c r="R83" s="245"/>
      <c r="S83" s="313">
        <f t="shared" si="0"/>
        <v>0.25</v>
      </c>
      <c r="T83" s="278"/>
      <c r="U83" s="245"/>
    </row>
    <row r="84" spans="1:21" ht="31.5">
      <c r="D84" s="274">
        <v>68</v>
      </c>
      <c r="E84" s="261" t="s">
        <v>818</v>
      </c>
      <c r="F84" s="246">
        <v>22</v>
      </c>
      <c r="G84" s="245">
        <v>9</v>
      </c>
      <c r="H84" s="245"/>
      <c r="I84" s="245"/>
      <c r="J84" s="245">
        <v>2.9042204066304005</v>
      </c>
      <c r="K84" s="245">
        <v>1.5043861706345474</v>
      </c>
      <c r="L84" s="245">
        <v>0.95720103528511602</v>
      </c>
      <c r="M84" s="312">
        <v>2023</v>
      </c>
      <c r="N84" s="245">
        <v>1.44</v>
      </c>
      <c r="O84" s="245"/>
      <c r="P84" s="245"/>
      <c r="Q84" s="245"/>
      <c r="R84" s="245"/>
      <c r="S84" s="245">
        <f t="shared" si="0"/>
        <v>1.44</v>
      </c>
      <c r="T84" s="278"/>
      <c r="U84" s="245"/>
    </row>
    <row r="85" spans="1:21" ht="31.5">
      <c r="D85" s="274">
        <v>69</v>
      </c>
      <c r="E85" s="261" t="s">
        <v>819</v>
      </c>
      <c r="F85" s="246">
        <v>420</v>
      </c>
      <c r="G85" s="245">
        <v>29.314897920000003</v>
      </c>
      <c r="H85" s="245"/>
      <c r="I85" s="245"/>
      <c r="J85" s="245">
        <v>9.4449493719060484</v>
      </c>
      <c r="K85" s="245">
        <v>4.8924837746473324</v>
      </c>
      <c r="L85" s="245">
        <v>3.3623003688317339</v>
      </c>
      <c r="M85" s="312">
        <v>2023</v>
      </c>
      <c r="N85" s="245">
        <v>16.45</v>
      </c>
      <c r="O85" s="245"/>
      <c r="P85" s="245"/>
      <c r="Q85" s="245"/>
      <c r="R85" s="245"/>
      <c r="S85" s="245">
        <f t="shared" si="0"/>
        <v>16.45</v>
      </c>
      <c r="T85" s="278"/>
      <c r="U85" s="245"/>
    </row>
    <row r="86" spans="1:21" ht="31.5">
      <c r="D86" s="274">
        <v>70</v>
      </c>
      <c r="E86" s="261" t="s">
        <v>820</v>
      </c>
      <c r="F86" s="246">
        <v>6</v>
      </c>
      <c r="G86" s="313">
        <v>0.41878425600000002</v>
      </c>
      <c r="H86" s="313"/>
      <c r="I86" s="313"/>
      <c r="J86" s="313">
        <v>0.13492784817008638</v>
      </c>
      <c r="K86" s="313">
        <v>6.9892625352104734E-2</v>
      </c>
      <c r="L86" s="245">
        <v>3.5769152859912072</v>
      </c>
      <c r="M86" s="312">
        <v>2023</v>
      </c>
      <c r="N86" s="313">
        <v>0.25</v>
      </c>
      <c r="O86" s="313"/>
      <c r="P86" s="313"/>
      <c r="Q86" s="313"/>
      <c r="R86" s="313"/>
      <c r="S86" s="313">
        <f t="shared" si="0"/>
        <v>0.25</v>
      </c>
      <c r="T86" s="278"/>
      <c r="U86" s="245"/>
    </row>
    <row r="87" spans="1:21" ht="31.5">
      <c r="D87" s="274">
        <v>71</v>
      </c>
      <c r="E87" s="261" t="s">
        <v>821</v>
      </c>
      <c r="F87" s="246">
        <v>6</v>
      </c>
      <c r="G87" s="313">
        <v>0.41878425600000002</v>
      </c>
      <c r="H87" s="313"/>
      <c r="I87" s="313"/>
      <c r="J87" s="313">
        <v>0.13492784817008638</v>
      </c>
      <c r="K87" s="313">
        <v>6.9892625352104734E-2</v>
      </c>
      <c r="L87" s="245">
        <v>3.5769152859912072</v>
      </c>
      <c r="M87" s="312">
        <v>2023</v>
      </c>
      <c r="N87" s="313">
        <v>0.25</v>
      </c>
      <c r="O87" s="313"/>
      <c r="P87" s="313"/>
      <c r="Q87" s="313"/>
      <c r="R87" s="313"/>
      <c r="S87" s="313">
        <f t="shared" si="0"/>
        <v>0.25</v>
      </c>
      <c r="T87" s="278"/>
      <c r="U87" s="245"/>
    </row>
    <row r="88" spans="1:21" ht="31.5">
      <c r="D88" s="274">
        <v>72</v>
      </c>
      <c r="E88" s="261" t="s">
        <v>822</v>
      </c>
      <c r="F88" s="246">
        <v>6</v>
      </c>
      <c r="G88" s="313">
        <v>0.41878425600000002</v>
      </c>
      <c r="H88" s="313"/>
      <c r="I88" s="313"/>
      <c r="J88" s="313">
        <v>0.13492784817008638</v>
      </c>
      <c r="K88" s="313">
        <v>6.9892625352104734E-2</v>
      </c>
      <c r="L88" s="245">
        <v>3.5769152859912072</v>
      </c>
      <c r="M88" s="312">
        <v>2023</v>
      </c>
      <c r="N88" s="313">
        <v>0.25</v>
      </c>
      <c r="O88" s="313"/>
      <c r="P88" s="313"/>
      <c r="Q88" s="313"/>
      <c r="R88" s="313"/>
      <c r="S88" s="313">
        <f t="shared" si="0"/>
        <v>0.25</v>
      </c>
      <c r="T88" s="278"/>
      <c r="U88" s="245"/>
    </row>
    <row r="89" spans="1:21" ht="31.5">
      <c r="D89" s="274">
        <v>73</v>
      </c>
      <c r="E89" s="261" t="s">
        <v>823</v>
      </c>
      <c r="F89" s="246">
        <v>6</v>
      </c>
      <c r="G89" s="313">
        <v>0.41878425600000002</v>
      </c>
      <c r="H89" s="313"/>
      <c r="I89" s="313"/>
      <c r="J89" s="313">
        <v>0.13492784817008638</v>
      </c>
      <c r="K89" s="313">
        <v>6.9892625352104734E-2</v>
      </c>
      <c r="L89" s="245">
        <v>3.5769152859912072</v>
      </c>
      <c r="M89" s="312">
        <v>2024</v>
      </c>
      <c r="N89" s="313">
        <v>0.25</v>
      </c>
      <c r="O89" s="313"/>
      <c r="P89" s="313"/>
      <c r="Q89" s="313"/>
      <c r="R89" s="313"/>
      <c r="S89" s="313">
        <f t="shared" si="0"/>
        <v>0.25</v>
      </c>
      <c r="T89" s="278"/>
      <c r="U89" s="245"/>
    </row>
    <row r="90" spans="1:21" ht="31.5">
      <c r="D90" s="274">
        <v>74</v>
      </c>
      <c r="E90" s="261" t="s">
        <v>824</v>
      </c>
      <c r="F90" s="246">
        <v>6</v>
      </c>
      <c r="G90" s="313">
        <v>0.41878425600000002</v>
      </c>
      <c r="H90" s="313"/>
      <c r="I90" s="313"/>
      <c r="J90" s="313">
        <v>0.13492784817008638</v>
      </c>
      <c r="K90" s="313">
        <v>6.9892625352104734E-2</v>
      </c>
      <c r="L90" s="245">
        <v>3.5769152859912072</v>
      </c>
      <c r="M90" s="312">
        <v>2024</v>
      </c>
      <c r="N90" s="313">
        <v>0.25</v>
      </c>
      <c r="O90" s="313"/>
      <c r="P90" s="313"/>
      <c r="Q90" s="313"/>
      <c r="R90" s="313"/>
      <c r="S90" s="313">
        <f t="shared" si="0"/>
        <v>0.25</v>
      </c>
      <c r="T90" s="278"/>
      <c r="U90" s="245"/>
    </row>
    <row r="91" spans="1:21" ht="31.5">
      <c r="D91" s="274">
        <v>75</v>
      </c>
      <c r="E91" s="261" t="s">
        <v>825</v>
      </c>
      <c r="F91" s="246">
        <v>14</v>
      </c>
      <c r="G91" s="245">
        <v>0.97716326400000009</v>
      </c>
      <c r="H91" s="245"/>
      <c r="I91" s="245"/>
      <c r="J91" s="313">
        <v>0.31483164573020156</v>
      </c>
      <c r="K91" s="313">
        <v>0.16308279248824439</v>
      </c>
      <c r="L91" s="245">
        <v>3.3725201267917098</v>
      </c>
      <c r="M91" s="312">
        <v>2024</v>
      </c>
      <c r="N91" s="313">
        <v>0.55000000000000004</v>
      </c>
      <c r="O91" s="245"/>
      <c r="P91" s="245"/>
      <c r="Q91" s="245"/>
      <c r="R91" s="245"/>
      <c r="S91" s="313">
        <f t="shared" si="0"/>
        <v>0.55000000000000004</v>
      </c>
      <c r="T91" s="278"/>
      <c r="U91" s="245"/>
    </row>
    <row r="92" spans="1:21" ht="31.5">
      <c r="D92" s="274">
        <v>76</v>
      </c>
      <c r="E92" s="261" t="s">
        <v>826</v>
      </c>
      <c r="F92" s="246">
        <v>6</v>
      </c>
      <c r="G92" s="313">
        <v>0.41878425600000002</v>
      </c>
      <c r="H92" s="245"/>
      <c r="I92" s="245"/>
      <c r="J92" s="313">
        <v>0.13492784817008638</v>
      </c>
      <c r="K92" s="313">
        <v>6.9892625352104734E-2</v>
      </c>
      <c r="L92" s="245">
        <v>3.5769152859912072</v>
      </c>
      <c r="M92" s="312">
        <v>2024</v>
      </c>
      <c r="N92" s="313">
        <v>0.25</v>
      </c>
      <c r="O92" s="245"/>
      <c r="P92" s="245"/>
      <c r="Q92" s="245"/>
      <c r="R92" s="245"/>
      <c r="S92" s="313">
        <f t="shared" si="0"/>
        <v>0.25</v>
      </c>
      <c r="T92" s="278"/>
      <c r="U92" s="245"/>
    </row>
    <row r="93" spans="1:21" ht="31.5">
      <c r="D93" s="274">
        <v>77</v>
      </c>
      <c r="E93" s="261" t="s">
        <v>827</v>
      </c>
      <c r="F93" s="246">
        <v>4</v>
      </c>
      <c r="G93" s="313">
        <v>0.27918950400000003</v>
      </c>
      <c r="H93" s="245"/>
      <c r="I93" s="245"/>
      <c r="J93" s="313">
        <v>8.9951898780057604E-2</v>
      </c>
      <c r="K93" s="313">
        <v>4.6595083568069837E-2</v>
      </c>
      <c r="L93" s="245">
        <v>3.6484535917110303</v>
      </c>
      <c r="M93" s="312">
        <v>2024</v>
      </c>
      <c r="N93" s="313">
        <v>0.17</v>
      </c>
      <c r="O93" s="245"/>
      <c r="P93" s="245"/>
      <c r="Q93" s="245"/>
      <c r="R93" s="245"/>
      <c r="S93" s="313">
        <f t="shared" si="0"/>
        <v>0.17</v>
      </c>
      <c r="T93" s="278"/>
      <c r="U93" s="245"/>
    </row>
    <row r="94" spans="1:21" ht="31.5">
      <c r="D94" s="274">
        <v>78</v>
      </c>
      <c r="E94" s="261" t="s">
        <v>828</v>
      </c>
      <c r="F94" s="246">
        <v>6</v>
      </c>
      <c r="G94" s="313">
        <v>0.41878425600000002</v>
      </c>
      <c r="H94" s="245"/>
      <c r="I94" s="245"/>
      <c r="J94" s="313">
        <v>0.13492784817008638</v>
      </c>
      <c r="K94" s="313">
        <v>6.9892625352104734E-2</v>
      </c>
      <c r="L94" s="245">
        <v>3.5769152859912072</v>
      </c>
      <c r="M94" s="312">
        <v>2024</v>
      </c>
      <c r="N94" s="313">
        <v>0.25</v>
      </c>
      <c r="O94" s="245"/>
      <c r="P94" s="245"/>
      <c r="Q94" s="245"/>
      <c r="R94" s="245"/>
      <c r="S94" s="313">
        <f t="shared" si="0"/>
        <v>0.25</v>
      </c>
      <c r="T94" s="278"/>
      <c r="U94" s="245"/>
    </row>
    <row r="95" spans="1:21" ht="31.5">
      <c r="D95" s="274">
        <v>79</v>
      </c>
      <c r="E95" s="261" t="s">
        <v>829</v>
      </c>
      <c r="F95" s="246">
        <v>4</v>
      </c>
      <c r="G95" s="313">
        <v>0.27918950400000003</v>
      </c>
      <c r="H95" s="245"/>
      <c r="I95" s="245"/>
      <c r="J95" s="313">
        <v>8.9951898780057604E-2</v>
      </c>
      <c r="K95" s="313">
        <v>4.6595083568069837E-2</v>
      </c>
      <c r="L95" s="245">
        <v>3.6484535917110303</v>
      </c>
      <c r="M95" s="312">
        <v>2024</v>
      </c>
      <c r="N95" s="313">
        <v>0.17</v>
      </c>
      <c r="O95" s="245"/>
      <c r="P95" s="245"/>
      <c r="Q95" s="245"/>
      <c r="R95" s="245"/>
      <c r="S95" s="313">
        <f t="shared" si="0"/>
        <v>0.17</v>
      </c>
      <c r="T95" s="278"/>
      <c r="U95" s="245"/>
    </row>
    <row r="96" spans="1:21" ht="31.5">
      <c r="A96" s="323"/>
      <c r="B96" s="324"/>
      <c r="C96" s="325"/>
      <c r="D96" s="274">
        <v>80</v>
      </c>
      <c r="E96" s="261" t="s">
        <v>830</v>
      </c>
      <c r="F96" s="246">
        <v>5</v>
      </c>
      <c r="G96" s="313">
        <v>0.34898688000000005</v>
      </c>
      <c r="H96" s="245"/>
      <c r="I96" s="245"/>
      <c r="J96" s="313">
        <v>0.11243987347507201</v>
      </c>
      <c r="K96" s="313">
        <v>5.8243854460087299E-2</v>
      </c>
      <c r="L96" s="245">
        <v>3.6055306082791354</v>
      </c>
      <c r="M96" s="312">
        <v>2024</v>
      </c>
      <c r="N96" s="313">
        <v>0.21</v>
      </c>
      <c r="O96" s="245"/>
      <c r="P96" s="245"/>
      <c r="Q96" s="245"/>
      <c r="R96" s="245"/>
      <c r="S96" s="313">
        <f t="shared" si="0"/>
        <v>0.21</v>
      </c>
      <c r="T96" s="278"/>
      <c r="U96" s="245"/>
    </row>
    <row r="97" spans="1:21" ht="31.5">
      <c r="A97" s="323"/>
      <c r="B97" s="324"/>
      <c r="C97" s="325"/>
      <c r="D97" s="274">
        <v>81</v>
      </c>
      <c r="E97" s="261" t="s">
        <v>831</v>
      </c>
      <c r="F97" s="246">
        <v>5</v>
      </c>
      <c r="G97" s="313">
        <v>0.34898688000000005</v>
      </c>
      <c r="H97" s="245"/>
      <c r="I97" s="245"/>
      <c r="J97" s="313">
        <v>0.11243987347507201</v>
      </c>
      <c r="K97" s="313">
        <v>5.8243854460087299E-2</v>
      </c>
      <c r="L97" s="245">
        <v>3.6055306082791354</v>
      </c>
      <c r="M97" s="312">
        <v>2024</v>
      </c>
      <c r="N97" s="313">
        <v>0.21</v>
      </c>
      <c r="O97" s="245"/>
      <c r="P97" s="245"/>
      <c r="Q97" s="245"/>
      <c r="R97" s="245"/>
      <c r="S97" s="313">
        <f t="shared" si="0"/>
        <v>0.21</v>
      </c>
      <c r="T97" s="278"/>
      <c r="U97" s="245"/>
    </row>
    <row r="98" spans="1:21" ht="31.5">
      <c r="A98" s="323"/>
      <c r="B98" s="324"/>
      <c r="C98" s="325"/>
      <c r="D98" s="274">
        <v>82</v>
      </c>
      <c r="E98" s="261" t="s">
        <v>832</v>
      </c>
      <c r="F98" s="246">
        <v>5</v>
      </c>
      <c r="G98" s="313">
        <v>0.34898688000000005</v>
      </c>
      <c r="H98" s="245"/>
      <c r="I98" s="245"/>
      <c r="J98" s="313">
        <v>0.11243987347507201</v>
      </c>
      <c r="K98" s="313">
        <v>5.8243854460087299E-2</v>
      </c>
      <c r="L98" s="245">
        <v>3.6055306082791354</v>
      </c>
      <c r="M98" s="312">
        <v>2024</v>
      </c>
      <c r="N98" s="313">
        <v>0.21</v>
      </c>
      <c r="O98" s="245"/>
      <c r="P98" s="245"/>
      <c r="Q98" s="245"/>
      <c r="R98" s="245"/>
      <c r="S98" s="313">
        <f t="shared" si="0"/>
        <v>0.21</v>
      </c>
      <c r="T98" s="278"/>
      <c r="U98" s="245"/>
    </row>
    <row r="99" spans="1:21" ht="31.5">
      <c r="A99" s="323"/>
      <c r="B99" s="324"/>
      <c r="C99" s="325"/>
      <c r="D99" s="274">
        <v>83</v>
      </c>
      <c r="E99" s="261" t="s">
        <v>833</v>
      </c>
      <c r="F99" s="246">
        <v>5</v>
      </c>
      <c r="G99" s="313">
        <v>0.34898688000000005</v>
      </c>
      <c r="H99" s="245"/>
      <c r="I99" s="245"/>
      <c r="J99" s="313">
        <v>0.11243987347507201</v>
      </c>
      <c r="K99" s="313">
        <v>5.8243854460087299E-2</v>
      </c>
      <c r="L99" s="245">
        <v>3.6055306082791354</v>
      </c>
      <c r="M99" s="312">
        <v>2024</v>
      </c>
      <c r="N99" s="313">
        <v>0.21</v>
      </c>
      <c r="O99" s="245"/>
      <c r="P99" s="245"/>
      <c r="Q99" s="245"/>
      <c r="R99" s="245"/>
      <c r="S99" s="313">
        <f t="shared" si="0"/>
        <v>0.21</v>
      </c>
      <c r="T99" s="278"/>
      <c r="U99" s="245"/>
    </row>
    <row r="100" spans="1:21" ht="31.5">
      <c r="A100" s="323"/>
      <c r="B100" s="324"/>
      <c r="C100" s="325"/>
      <c r="D100" s="274">
        <v>84</v>
      </c>
      <c r="E100" s="261" t="s">
        <v>834</v>
      </c>
      <c r="F100" s="246">
        <v>5</v>
      </c>
      <c r="G100" s="326">
        <v>0.34898688000000005</v>
      </c>
      <c r="H100" s="245"/>
      <c r="I100" s="245"/>
      <c r="J100" s="326">
        <v>0.11243987347507201</v>
      </c>
      <c r="K100" s="327">
        <v>5.8243854460087299E-2</v>
      </c>
      <c r="L100" s="245">
        <v>3.6055306082791354</v>
      </c>
      <c r="M100" s="312">
        <v>2024</v>
      </c>
      <c r="N100" s="313">
        <v>0.21</v>
      </c>
      <c r="O100" s="245"/>
      <c r="P100" s="245"/>
      <c r="Q100" s="245"/>
      <c r="R100" s="245"/>
      <c r="S100" s="313">
        <f t="shared" si="0"/>
        <v>0.21</v>
      </c>
      <c r="T100" s="278"/>
      <c r="U100" s="245"/>
    </row>
    <row r="101" spans="1:21" ht="31.5">
      <c r="A101" s="323"/>
      <c r="B101" s="324"/>
      <c r="C101" s="325"/>
      <c r="D101" s="274">
        <v>85</v>
      </c>
      <c r="E101" s="261" t="s">
        <v>835</v>
      </c>
      <c r="F101" s="246">
        <v>4</v>
      </c>
      <c r="G101" s="327">
        <v>0.73322495999999993</v>
      </c>
      <c r="H101" s="245"/>
      <c r="I101" s="245"/>
      <c r="J101" s="326">
        <v>0.23623730992742395</v>
      </c>
      <c r="K101" s="327">
        <v>0.1223709265424056</v>
      </c>
      <c r="L101" s="313">
        <v>0.163437513836829</v>
      </c>
      <c r="M101" s="312">
        <v>2024</v>
      </c>
      <c r="N101" s="313">
        <v>0.02</v>
      </c>
      <c r="O101" s="245"/>
      <c r="P101" s="245"/>
      <c r="Q101" s="245"/>
      <c r="R101" s="245"/>
      <c r="S101" s="313">
        <f t="shared" si="0"/>
        <v>0.02</v>
      </c>
      <c r="T101" s="278"/>
      <c r="U101" s="245"/>
    </row>
    <row r="102" spans="1:21" ht="31.5">
      <c r="A102" s="323"/>
      <c r="B102" s="324"/>
      <c r="C102" s="325"/>
      <c r="D102" s="274">
        <v>86</v>
      </c>
      <c r="E102" s="261" t="s">
        <v>836</v>
      </c>
      <c r="F102" s="246">
        <v>6</v>
      </c>
      <c r="G102" s="326">
        <v>0.41878425600000002</v>
      </c>
      <c r="H102" s="245"/>
      <c r="I102" s="245"/>
      <c r="J102" s="326">
        <v>0.13492784817008638</v>
      </c>
      <c r="K102" s="326">
        <v>6.9892625352104734E-2</v>
      </c>
      <c r="L102" s="245">
        <v>3.5769152859912072</v>
      </c>
      <c r="M102" s="312">
        <v>2025</v>
      </c>
      <c r="N102" s="313">
        <v>0.25</v>
      </c>
      <c r="O102" s="245"/>
      <c r="P102" s="245"/>
      <c r="Q102" s="245"/>
      <c r="R102" s="245"/>
      <c r="S102" s="313">
        <f t="shared" si="0"/>
        <v>0.25</v>
      </c>
      <c r="T102" s="278"/>
      <c r="U102" s="245"/>
    </row>
    <row r="103" spans="1:21" ht="31.5">
      <c r="A103" s="323"/>
      <c r="B103" s="324"/>
      <c r="C103" s="325"/>
      <c r="D103" s="274">
        <v>87</v>
      </c>
      <c r="E103" s="261" t="s">
        <v>837</v>
      </c>
      <c r="F103" s="246">
        <v>32</v>
      </c>
      <c r="G103" s="278">
        <v>5.8657996799999994</v>
      </c>
      <c r="H103" s="245"/>
      <c r="I103" s="245"/>
      <c r="J103" s="278">
        <v>1.8898984794193916</v>
      </c>
      <c r="K103" s="278">
        <v>0.97896741233924478</v>
      </c>
      <c r="L103" s="313">
        <v>0.18386720306643262</v>
      </c>
      <c r="M103" s="312">
        <v>2025</v>
      </c>
      <c r="N103" s="313">
        <v>0.18</v>
      </c>
      <c r="O103" s="245"/>
      <c r="P103" s="245"/>
      <c r="Q103" s="245"/>
      <c r="R103" s="245"/>
      <c r="S103" s="313">
        <f t="shared" si="0"/>
        <v>0.18</v>
      </c>
      <c r="T103" s="278"/>
      <c r="U103" s="245"/>
    </row>
    <row r="104" spans="1:21" ht="31.5">
      <c r="A104" s="323"/>
      <c r="B104" s="324"/>
      <c r="C104" s="325"/>
      <c r="D104" s="274">
        <v>88</v>
      </c>
      <c r="E104" s="261" t="s">
        <v>838</v>
      </c>
      <c r="F104" s="246">
        <v>6</v>
      </c>
      <c r="G104" s="327">
        <v>0.41878425600000002</v>
      </c>
      <c r="H104" s="245"/>
      <c r="I104" s="245"/>
      <c r="J104" s="328">
        <v>0.13492784817008638</v>
      </c>
      <c r="K104" s="327">
        <v>6.9892625352104734E-2</v>
      </c>
      <c r="L104" s="245">
        <v>3.5769152859912072</v>
      </c>
      <c r="M104" s="312">
        <v>2025</v>
      </c>
      <c r="N104" s="313">
        <v>0.25</v>
      </c>
      <c r="O104" s="245"/>
      <c r="P104" s="245"/>
      <c r="Q104" s="245"/>
      <c r="R104" s="245"/>
      <c r="S104" s="313">
        <f t="shared" si="0"/>
        <v>0.25</v>
      </c>
      <c r="T104" s="278"/>
      <c r="U104" s="245"/>
    </row>
    <row r="105" spans="1:21" ht="31.5">
      <c r="A105" s="323"/>
      <c r="B105" s="324"/>
      <c r="C105" s="325"/>
      <c r="D105" s="274">
        <v>89</v>
      </c>
      <c r="E105" s="261" t="s">
        <v>839</v>
      </c>
      <c r="F105" s="246">
        <v>6</v>
      </c>
      <c r="G105" s="313">
        <v>0.41878425600000002</v>
      </c>
      <c r="H105" s="245"/>
      <c r="I105" s="245"/>
      <c r="J105" s="313">
        <v>0.13492784817008638</v>
      </c>
      <c r="K105" s="313">
        <v>6.9892625352104734E-2</v>
      </c>
      <c r="L105" s="245">
        <v>3.5769152859912072</v>
      </c>
      <c r="M105" s="312">
        <v>2025</v>
      </c>
      <c r="N105" s="313">
        <v>0.25</v>
      </c>
      <c r="O105" s="245"/>
      <c r="P105" s="245"/>
      <c r="Q105" s="245"/>
      <c r="R105" s="245"/>
      <c r="S105" s="313">
        <f t="shared" si="0"/>
        <v>0.25</v>
      </c>
      <c r="T105" s="278"/>
      <c r="U105" s="245"/>
    </row>
    <row r="106" spans="1:21" ht="31.5">
      <c r="A106" s="323"/>
      <c r="B106" s="324"/>
      <c r="C106" s="325"/>
      <c r="D106" s="274">
        <v>90</v>
      </c>
      <c r="E106" s="261" t="s">
        <v>845</v>
      </c>
      <c r="F106" s="246">
        <v>6</v>
      </c>
      <c r="G106" s="313">
        <v>0.41878425600000002</v>
      </c>
      <c r="H106" s="245"/>
      <c r="I106" s="245"/>
      <c r="J106" s="313">
        <v>0.13492784817008638</v>
      </c>
      <c r="K106" s="313">
        <v>6.9892625352104734E-2</v>
      </c>
      <c r="L106" s="245">
        <v>3.5769152859912072</v>
      </c>
      <c r="M106" s="312">
        <v>2025</v>
      </c>
      <c r="N106" s="313">
        <v>0.25</v>
      </c>
      <c r="O106" s="245"/>
      <c r="P106" s="245"/>
      <c r="Q106" s="245"/>
      <c r="R106" s="245"/>
      <c r="S106" s="313">
        <f t="shared" si="0"/>
        <v>0.25</v>
      </c>
      <c r="T106" s="278"/>
      <c r="U106" s="245"/>
    </row>
    <row r="107" spans="1:21" ht="31.5">
      <c r="A107" s="323"/>
      <c r="B107" s="324"/>
      <c r="C107" s="325"/>
      <c r="D107" s="274">
        <v>91</v>
      </c>
      <c r="E107" s="261" t="s">
        <v>846</v>
      </c>
      <c r="F107" s="246">
        <v>6</v>
      </c>
      <c r="G107" s="313">
        <v>0.41878425600000002</v>
      </c>
      <c r="H107" s="245"/>
      <c r="I107" s="245"/>
      <c r="J107" s="313">
        <v>0.13492784817008638</v>
      </c>
      <c r="K107" s="313">
        <v>6.9892625352104734E-2</v>
      </c>
      <c r="L107" s="245">
        <v>3.5769152859912072</v>
      </c>
      <c r="M107" s="312">
        <v>2025</v>
      </c>
      <c r="N107" s="313">
        <v>0.25</v>
      </c>
      <c r="O107" s="245"/>
      <c r="P107" s="245"/>
      <c r="Q107" s="245"/>
      <c r="R107" s="245"/>
      <c r="S107" s="313">
        <f t="shared" si="0"/>
        <v>0.25</v>
      </c>
      <c r="T107" s="278"/>
      <c r="U107" s="245"/>
    </row>
    <row r="108" spans="1:21" ht="31.5">
      <c r="A108" s="323"/>
      <c r="B108" s="324"/>
      <c r="C108" s="325"/>
      <c r="D108" s="274">
        <v>92</v>
      </c>
      <c r="E108" s="261" t="s">
        <v>847</v>
      </c>
      <c r="F108" s="246">
        <v>6</v>
      </c>
      <c r="G108" s="313">
        <v>0.41878425600000002</v>
      </c>
      <c r="H108" s="245"/>
      <c r="I108" s="245"/>
      <c r="J108" s="313">
        <v>0.13492784817008638</v>
      </c>
      <c r="K108" s="313">
        <v>6.9892625352104734E-2</v>
      </c>
      <c r="L108" s="245">
        <v>3.5769152859912072</v>
      </c>
      <c r="M108" s="312">
        <v>2025</v>
      </c>
      <c r="N108" s="313">
        <v>0.25</v>
      </c>
      <c r="O108" s="245"/>
      <c r="P108" s="245"/>
      <c r="Q108" s="245"/>
      <c r="R108" s="245"/>
      <c r="S108" s="313">
        <f t="shared" si="0"/>
        <v>0.25</v>
      </c>
      <c r="T108" s="278"/>
      <c r="U108" s="245"/>
    </row>
    <row r="109" spans="1:21" ht="31.5">
      <c r="A109" s="323"/>
      <c r="B109" s="324"/>
      <c r="C109" s="325"/>
      <c r="D109" s="274">
        <v>93</v>
      </c>
      <c r="E109" s="261" t="s">
        <v>848</v>
      </c>
      <c r="F109" s="246">
        <v>30</v>
      </c>
      <c r="G109" s="245">
        <v>2.09392128</v>
      </c>
      <c r="H109" s="245"/>
      <c r="I109" s="245"/>
      <c r="J109" s="313">
        <v>0.67463924085043203</v>
      </c>
      <c r="K109" s="313">
        <v>0.34946312676052377</v>
      </c>
      <c r="L109" s="245">
        <v>3.3766080299756984</v>
      </c>
      <c r="M109" s="312">
        <v>2025</v>
      </c>
      <c r="N109" s="245">
        <v>1.18</v>
      </c>
      <c r="O109" s="245"/>
      <c r="P109" s="245"/>
      <c r="Q109" s="245"/>
      <c r="R109" s="245"/>
      <c r="S109" s="245">
        <f t="shared" si="0"/>
        <v>1.18</v>
      </c>
      <c r="T109" s="278"/>
      <c r="U109" s="245"/>
    </row>
    <row r="110" spans="1:21" ht="31.5">
      <c r="A110" s="323"/>
      <c r="B110" s="324"/>
      <c r="C110" s="325"/>
      <c r="D110" s="274">
        <v>94</v>
      </c>
      <c r="E110" s="261" t="s">
        <v>848</v>
      </c>
      <c r="F110" s="246">
        <v>60</v>
      </c>
      <c r="G110" s="245">
        <v>10.998374400000001</v>
      </c>
      <c r="H110" s="245"/>
      <c r="I110" s="245"/>
      <c r="J110" s="245">
        <v>3.5435596489113599</v>
      </c>
      <c r="K110" s="245">
        <v>1.8355638981360844</v>
      </c>
      <c r="L110" s="313">
        <v>0.17433334809261755</v>
      </c>
      <c r="M110" s="312">
        <v>2025</v>
      </c>
      <c r="N110" s="313">
        <v>0.32</v>
      </c>
      <c r="O110" s="245"/>
      <c r="P110" s="245"/>
      <c r="Q110" s="245"/>
      <c r="R110" s="245"/>
      <c r="S110" s="313">
        <f t="shared" si="0"/>
        <v>0.32</v>
      </c>
      <c r="T110" s="278"/>
      <c r="U110" s="245"/>
    </row>
    <row r="111" spans="1:21" ht="31.5">
      <c r="A111" s="323"/>
      <c r="B111" s="324"/>
      <c r="C111" s="325"/>
      <c r="D111" s="274">
        <v>95</v>
      </c>
      <c r="E111" s="261" t="s">
        <v>849</v>
      </c>
      <c r="F111" s="246">
        <v>32</v>
      </c>
      <c r="G111" s="313">
        <v>0.54433280000000006</v>
      </c>
      <c r="H111" s="245"/>
      <c r="I111" s="245"/>
      <c r="J111" s="313">
        <v>0.17537825823232001</v>
      </c>
      <c r="K111" s="313">
        <v>9.0845937764341772E-2</v>
      </c>
      <c r="L111" s="245">
        <v>1.9813764316785154</v>
      </c>
      <c r="M111" s="312">
        <v>2025</v>
      </c>
      <c r="N111" s="313">
        <v>0.18</v>
      </c>
      <c r="O111" s="245"/>
      <c r="P111" s="245"/>
      <c r="Q111" s="245"/>
      <c r="R111" s="245"/>
      <c r="S111" s="313">
        <f t="shared" si="0"/>
        <v>0.18</v>
      </c>
      <c r="T111" s="278"/>
      <c r="U111" s="245"/>
    </row>
    <row r="112" spans="1:21" ht="31.5">
      <c r="A112" s="323"/>
      <c r="B112" s="324"/>
      <c r="C112" s="325"/>
      <c r="D112" s="274">
        <v>96</v>
      </c>
      <c r="E112" s="261" t="s">
        <v>850</v>
      </c>
      <c r="F112" s="246">
        <v>6</v>
      </c>
      <c r="G112" s="313">
        <v>0.41878425600000002</v>
      </c>
      <c r="H112" s="245"/>
      <c r="I112" s="245"/>
      <c r="J112" s="313">
        <v>0.13492784817008638</v>
      </c>
      <c r="K112" s="313">
        <v>6.9892625352104734E-2</v>
      </c>
      <c r="L112" s="245">
        <v>3.5769152859912072</v>
      </c>
      <c r="M112" s="312">
        <v>2025</v>
      </c>
      <c r="N112" s="313">
        <v>0.25</v>
      </c>
      <c r="O112" s="245"/>
      <c r="P112" s="245"/>
      <c r="Q112" s="245"/>
      <c r="R112" s="245"/>
      <c r="S112" s="313">
        <f t="shared" si="0"/>
        <v>0.25</v>
      </c>
      <c r="T112" s="278"/>
      <c r="U112" s="245"/>
    </row>
    <row r="113" spans="1:21" ht="31.5">
      <c r="A113" s="323"/>
      <c r="B113" s="324"/>
      <c r="C113" s="325"/>
      <c r="D113" s="274">
        <v>97</v>
      </c>
      <c r="E113" s="261" t="s">
        <v>851</v>
      </c>
      <c r="F113" s="246">
        <v>10</v>
      </c>
      <c r="G113" s="313">
        <v>0.69797376000000011</v>
      </c>
      <c r="H113" s="245"/>
      <c r="I113" s="245"/>
      <c r="J113" s="313">
        <v>0.22487974695014401</v>
      </c>
      <c r="K113" s="313">
        <v>0.1164877089201746</v>
      </c>
      <c r="L113" s="245">
        <v>3.6055306082791354</v>
      </c>
      <c r="M113" s="312">
        <v>2025</v>
      </c>
      <c r="N113" s="313">
        <v>0.42</v>
      </c>
      <c r="O113" s="245"/>
      <c r="P113" s="245"/>
      <c r="Q113" s="245"/>
      <c r="R113" s="245"/>
      <c r="S113" s="313">
        <f t="shared" si="0"/>
        <v>0.42</v>
      </c>
      <c r="T113" s="278"/>
      <c r="U113" s="245"/>
    </row>
    <row r="114" spans="1:21" ht="31.5">
      <c r="A114" s="323"/>
      <c r="B114" s="324"/>
      <c r="C114" s="325"/>
      <c r="D114" s="274">
        <v>98</v>
      </c>
      <c r="E114" s="261" t="s">
        <v>852</v>
      </c>
      <c r="F114" s="246">
        <v>6</v>
      </c>
      <c r="G114" s="313">
        <v>0.41878425600000002</v>
      </c>
      <c r="H114" s="245"/>
      <c r="I114" s="245"/>
      <c r="J114" s="313">
        <v>0.13492784817008638</v>
      </c>
      <c r="K114" s="313">
        <v>6.9892625352104734E-2</v>
      </c>
      <c r="L114" s="245">
        <v>3.7199918974308557</v>
      </c>
      <c r="M114" s="312">
        <v>2025</v>
      </c>
      <c r="N114" s="313">
        <v>0.26</v>
      </c>
      <c r="O114" s="245"/>
      <c r="P114" s="245"/>
      <c r="Q114" s="245"/>
      <c r="R114" s="245"/>
      <c r="S114" s="313">
        <f t="shared" si="0"/>
        <v>0.26</v>
      </c>
      <c r="T114" s="278"/>
      <c r="U114" s="245"/>
    </row>
    <row r="115" spans="1:21" ht="31.5">
      <c r="A115" s="323"/>
      <c r="B115" s="324"/>
      <c r="C115" s="325"/>
      <c r="D115" s="274">
        <v>99</v>
      </c>
      <c r="E115" s="261" t="s">
        <v>853</v>
      </c>
      <c r="F115" s="246">
        <v>34</v>
      </c>
      <c r="G115" s="245">
        <v>2.3731107840000005</v>
      </c>
      <c r="H115" s="245"/>
      <c r="I115" s="245"/>
      <c r="J115" s="313">
        <v>0.76459113963048975</v>
      </c>
      <c r="K115" s="313">
        <v>0.39605821032859373</v>
      </c>
      <c r="L115" s="245">
        <v>3.5600827434688931</v>
      </c>
      <c r="M115" s="312">
        <v>2026</v>
      </c>
      <c r="N115" s="245">
        <v>1.41</v>
      </c>
      <c r="O115" s="245"/>
      <c r="P115" s="245"/>
      <c r="Q115" s="245"/>
      <c r="R115" s="245"/>
      <c r="S115" s="245">
        <f t="shared" si="0"/>
        <v>1.41</v>
      </c>
      <c r="T115" s="278"/>
      <c r="U115" s="245"/>
    </row>
    <row r="116" spans="1:21" ht="31.5">
      <c r="D116" s="274">
        <v>100</v>
      </c>
      <c r="E116" s="261" t="s">
        <v>858</v>
      </c>
      <c r="F116" s="246">
        <v>3</v>
      </c>
      <c r="G116" s="313">
        <v>0.20939212800000001</v>
      </c>
      <c r="H116" s="245"/>
      <c r="I116" s="245"/>
      <c r="J116" s="313">
        <v>6.7463924085043189E-2</v>
      </c>
      <c r="K116" s="313">
        <v>3.4946312676052367E-2</v>
      </c>
      <c r="L116" s="245">
        <v>3.7199918974308557</v>
      </c>
      <c r="M116" s="312">
        <v>2026</v>
      </c>
      <c r="N116" s="313">
        <v>0.13</v>
      </c>
      <c r="O116" s="245"/>
      <c r="P116" s="245"/>
      <c r="Q116" s="245"/>
      <c r="R116" s="245"/>
      <c r="S116" s="313">
        <f t="shared" si="0"/>
        <v>0.13</v>
      </c>
      <c r="T116" s="278"/>
      <c r="U116" s="245"/>
    </row>
    <row r="117" spans="1:21" ht="31.5">
      <c r="D117" s="274">
        <v>101</v>
      </c>
      <c r="E117" s="261" t="s">
        <v>859</v>
      </c>
      <c r="F117" s="246">
        <v>3</v>
      </c>
      <c r="G117" s="245">
        <v>0.20939212800000001</v>
      </c>
      <c r="H117" s="245"/>
      <c r="I117" s="245"/>
      <c r="J117" s="313">
        <v>6.7463924085043189E-2</v>
      </c>
      <c r="K117" s="313">
        <v>3.4946312676052367E-2</v>
      </c>
      <c r="L117" s="245">
        <v>3.7199918974308557</v>
      </c>
      <c r="M117" s="312">
        <v>2026</v>
      </c>
      <c r="N117" s="313">
        <v>0.13</v>
      </c>
      <c r="O117" s="245"/>
      <c r="P117" s="245"/>
      <c r="Q117" s="245"/>
      <c r="R117" s="245"/>
      <c r="S117" s="313">
        <f t="shared" si="0"/>
        <v>0.13</v>
      </c>
      <c r="T117" s="278"/>
      <c r="U117" s="245"/>
    </row>
    <row r="118" spans="1:21" ht="31.5">
      <c r="D118" s="274">
        <v>102</v>
      </c>
      <c r="E118" s="261" t="s">
        <v>863</v>
      </c>
      <c r="F118" s="246">
        <v>4</v>
      </c>
      <c r="G118" s="313">
        <v>0.27918950400000003</v>
      </c>
      <c r="H118" s="245"/>
      <c r="I118" s="245"/>
      <c r="J118" s="313">
        <v>8.9951898780057604E-2</v>
      </c>
      <c r="K118" s="313">
        <v>4.6595083568069837E-2</v>
      </c>
      <c r="L118" s="245">
        <v>3.6484535917110303</v>
      </c>
      <c r="M118" s="312">
        <v>2026</v>
      </c>
      <c r="N118" s="313">
        <v>0.17</v>
      </c>
      <c r="O118" s="245"/>
      <c r="P118" s="245"/>
      <c r="Q118" s="245"/>
      <c r="R118" s="245"/>
      <c r="S118" s="313">
        <f t="shared" si="0"/>
        <v>0.17</v>
      </c>
      <c r="T118" s="278"/>
      <c r="U118" s="245"/>
    </row>
    <row r="119" spans="1:21" ht="31.5">
      <c r="D119" s="274">
        <v>103</v>
      </c>
      <c r="E119" s="261" t="s">
        <v>864</v>
      </c>
      <c r="F119" s="246">
        <v>4</v>
      </c>
      <c r="G119" s="313">
        <v>0.27918950400000003</v>
      </c>
      <c r="H119" s="245"/>
      <c r="I119" s="245"/>
      <c r="J119" s="313">
        <v>8.9951898780057604E-2</v>
      </c>
      <c r="K119" s="313">
        <v>4.6595083568069837E-2</v>
      </c>
      <c r="L119" s="245">
        <v>3.6</v>
      </c>
      <c r="M119" s="312">
        <v>2026</v>
      </c>
      <c r="N119" s="313">
        <v>0.17</v>
      </c>
      <c r="O119" s="245"/>
      <c r="P119" s="245"/>
      <c r="Q119" s="245"/>
      <c r="R119" s="245"/>
      <c r="S119" s="313">
        <f t="shared" si="0"/>
        <v>0.17</v>
      </c>
      <c r="T119" s="278"/>
      <c r="U119" s="245"/>
    </row>
    <row r="120" spans="1:21" ht="31.5">
      <c r="D120" s="274">
        <v>104</v>
      </c>
      <c r="E120" s="261" t="s">
        <v>865</v>
      </c>
      <c r="F120" s="246">
        <v>4</v>
      </c>
      <c r="G120" s="313">
        <v>0.27918950400000003</v>
      </c>
      <c r="H120" s="245"/>
      <c r="I120" s="245"/>
      <c r="J120" s="313">
        <v>8.9951898780057604E-2</v>
      </c>
      <c r="K120" s="313">
        <v>4.6595083568069837E-2</v>
      </c>
      <c r="L120" s="245">
        <v>3.6</v>
      </c>
      <c r="M120" s="312">
        <v>2026</v>
      </c>
      <c r="N120" s="313">
        <v>0.17</v>
      </c>
      <c r="O120" s="245"/>
      <c r="P120" s="245"/>
      <c r="Q120" s="245"/>
      <c r="R120" s="245"/>
      <c r="S120" s="313">
        <f t="shared" si="0"/>
        <v>0.17</v>
      </c>
      <c r="T120" s="278"/>
      <c r="U120" s="245"/>
    </row>
    <row r="121" spans="1:21" ht="31.5">
      <c r="D121" s="274">
        <v>105</v>
      </c>
      <c r="E121" s="261" t="s">
        <v>866</v>
      </c>
      <c r="F121" s="246">
        <v>13</v>
      </c>
      <c r="G121" s="313">
        <v>0.45368294400000014</v>
      </c>
      <c r="H121" s="245"/>
      <c r="I121" s="245"/>
      <c r="J121" s="313">
        <v>0.14617183551759361</v>
      </c>
      <c r="K121" s="313">
        <v>7.5717010798113479E-2</v>
      </c>
      <c r="L121" s="245">
        <v>4.5999999999999996</v>
      </c>
      <c r="M121" s="312">
        <v>2026</v>
      </c>
      <c r="N121" s="313">
        <v>0.35</v>
      </c>
      <c r="O121" s="245"/>
      <c r="P121" s="245"/>
      <c r="Q121" s="245"/>
      <c r="R121" s="245"/>
      <c r="S121" s="313">
        <f t="shared" si="0"/>
        <v>0.35</v>
      </c>
      <c r="T121" s="278"/>
      <c r="U121" s="245"/>
    </row>
    <row r="122" spans="1:21" ht="31.5">
      <c r="D122" s="274">
        <v>106</v>
      </c>
      <c r="E122" s="261" t="s">
        <v>866</v>
      </c>
      <c r="F122" s="246">
        <v>4</v>
      </c>
      <c r="G122" s="313">
        <v>0.27918950400000003</v>
      </c>
      <c r="H122" s="245"/>
      <c r="I122" s="245"/>
      <c r="J122" s="313">
        <v>8.9951898780057604E-2</v>
      </c>
      <c r="K122" s="313">
        <v>4.6595083568069837E-2</v>
      </c>
      <c r="L122" s="245">
        <v>3.6</v>
      </c>
      <c r="M122" s="312">
        <v>2026</v>
      </c>
      <c r="N122" s="313">
        <v>0.17</v>
      </c>
      <c r="O122" s="245"/>
      <c r="P122" s="245"/>
      <c r="Q122" s="245"/>
      <c r="R122" s="245"/>
      <c r="S122" s="313">
        <f t="shared" si="0"/>
        <v>0.17</v>
      </c>
      <c r="T122" s="278"/>
      <c r="U122" s="245"/>
    </row>
    <row r="123" spans="1:21" ht="31.5">
      <c r="D123" s="274">
        <v>107</v>
      </c>
      <c r="E123" s="261" t="s">
        <v>867</v>
      </c>
      <c r="F123" s="246">
        <v>10</v>
      </c>
      <c r="G123" s="313">
        <v>0.69797376000000011</v>
      </c>
      <c r="H123" s="245"/>
      <c r="I123" s="245"/>
      <c r="J123" s="313">
        <v>0.22487974695014401</v>
      </c>
      <c r="K123" s="313">
        <v>0.1164877089201746</v>
      </c>
      <c r="L123" s="245">
        <v>3.6</v>
      </c>
      <c r="M123" s="312">
        <v>2026</v>
      </c>
      <c r="N123" s="313">
        <v>0.42</v>
      </c>
      <c r="O123" s="245"/>
      <c r="P123" s="245"/>
      <c r="Q123" s="245"/>
      <c r="R123" s="245"/>
      <c r="S123" s="313">
        <f t="shared" si="0"/>
        <v>0.42</v>
      </c>
      <c r="T123" s="278"/>
      <c r="U123" s="245"/>
    </row>
    <row r="124" spans="1:21" ht="31.5">
      <c r="D124" s="274">
        <v>108</v>
      </c>
      <c r="E124" s="261" t="s">
        <v>868</v>
      </c>
      <c r="F124" s="246">
        <v>10</v>
      </c>
      <c r="G124" s="313">
        <v>0.69797376000000011</v>
      </c>
      <c r="H124" s="245"/>
      <c r="I124" s="245"/>
      <c r="J124" s="313">
        <v>0.22487974695014401</v>
      </c>
      <c r="K124" s="313">
        <v>0.1164877089201746</v>
      </c>
      <c r="L124" s="245">
        <v>3.6</v>
      </c>
      <c r="M124" s="312">
        <v>2026</v>
      </c>
      <c r="N124" s="313">
        <v>0.42</v>
      </c>
      <c r="O124" s="245"/>
      <c r="P124" s="245"/>
      <c r="Q124" s="245"/>
      <c r="R124" s="245"/>
      <c r="S124" s="313">
        <f t="shared" si="0"/>
        <v>0.42</v>
      </c>
      <c r="T124" s="278"/>
      <c r="U124" s="245"/>
    </row>
    <row r="125" spans="1:21" ht="31.5">
      <c r="D125" s="274">
        <v>109</v>
      </c>
      <c r="E125" s="261" t="s">
        <v>869</v>
      </c>
      <c r="F125" s="246">
        <v>10</v>
      </c>
      <c r="G125" s="313">
        <v>0.69797376000000011</v>
      </c>
      <c r="H125" s="245"/>
      <c r="I125" s="245"/>
      <c r="J125" s="313">
        <v>0.22487974695014401</v>
      </c>
      <c r="K125" s="313">
        <v>0.1164877089201746</v>
      </c>
      <c r="L125" s="245">
        <v>3.6</v>
      </c>
      <c r="M125" s="312">
        <v>2026</v>
      </c>
      <c r="N125" s="313">
        <v>0.42</v>
      </c>
      <c r="O125" s="245"/>
      <c r="P125" s="245"/>
      <c r="Q125" s="245"/>
      <c r="R125" s="245"/>
      <c r="S125" s="313">
        <f t="shared" si="0"/>
        <v>0.42</v>
      </c>
      <c r="T125" s="278"/>
      <c r="U125" s="245"/>
    </row>
    <row r="126" spans="1:21" ht="31.5">
      <c r="D126" s="274">
        <v>110</v>
      </c>
      <c r="E126" s="261" t="s">
        <v>870</v>
      </c>
      <c r="F126" s="246">
        <v>10</v>
      </c>
      <c r="G126" s="313">
        <v>0.69797376000000011</v>
      </c>
      <c r="H126" s="245"/>
      <c r="I126" s="245"/>
      <c r="J126" s="313">
        <v>0.22487974695014401</v>
      </c>
      <c r="K126" s="313">
        <v>0.1164877089201746</v>
      </c>
      <c r="L126" s="245">
        <v>3.6055306082791354</v>
      </c>
      <c r="M126" s="312">
        <v>2026</v>
      </c>
      <c r="N126" s="313">
        <v>0.42</v>
      </c>
      <c r="O126" s="245"/>
      <c r="P126" s="245"/>
      <c r="Q126" s="245"/>
      <c r="R126" s="245"/>
      <c r="S126" s="313">
        <f t="shared" si="0"/>
        <v>0.42</v>
      </c>
      <c r="T126" s="278"/>
      <c r="U126" s="245"/>
    </row>
    <row r="127" spans="1:21" ht="31.5">
      <c r="D127" s="274">
        <v>111</v>
      </c>
      <c r="E127" s="261" t="s">
        <v>871</v>
      </c>
      <c r="F127" s="246">
        <v>10</v>
      </c>
      <c r="G127" s="313">
        <v>0.69797376000000011</v>
      </c>
      <c r="H127" s="245"/>
      <c r="I127" s="245"/>
      <c r="J127" s="313">
        <v>0.22487974695014401</v>
      </c>
      <c r="K127" s="313">
        <v>0.1164877089201746</v>
      </c>
      <c r="L127" s="245">
        <v>3.6055306082791354</v>
      </c>
      <c r="M127" s="312">
        <v>2026</v>
      </c>
      <c r="N127" s="313">
        <v>0.42</v>
      </c>
      <c r="O127" s="245"/>
      <c r="P127" s="245"/>
      <c r="Q127" s="245"/>
      <c r="R127" s="245"/>
      <c r="S127" s="313">
        <f t="shared" si="0"/>
        <v>0.42</v>
      </c>
      <c r="T127" s="278"/>
      <c r="U127" s="245"/>
    </row>
    <row r="128" spans="1:21" ht="31.5">
      <c r="D128" s="274">
        <v>112</v>
      </c>
      <c r="E128" s="261" t="s">
        <v>872</v>
      </c>
      <c r="F128" s="246">
        <v>10</v>
      </c>
      <c r="G128" s="313">
        <v>0.69797376000000011</v>
      </c>
      <c r="H128" s="245"/>
      <c r="I128" s="245"/>
      <c r="J128" s="313">
        <v>0.22487974695014401</v>
      </c>
      <c r="K128" s="313">
        <v>0.1164877089201746</v>
      </c>
      <c r="L128" s="245">
        <v>3.6055306082791354</v>
      </c>
      <c r="M128" s="312">
        <v>2027</v>
      </c>
      <c r="N128" s="313">
        <v>0.42</v>
      </c>
      <c r="O128" s="245"/>
      <c r="P128" s="245"/>
      <c r="Q128" s="245"/>
      <c r="R128" s="245"/>
      <c r="S128" s="313">
        <f t="shared" si="0"/>
        <v>0.42</v>
      </c>
      <c r="T128" s="278"/>
      <c r="U128" s="245"/>
    </row>
    <row r="129" spans="4:21" ht="31.5">
      <c r="D129" s="274">
        <v>113</v>
      </c>
      <c r="E129" s="261" t="s">
        <v>873</v>
      </c>
      <c r="F129" s="246">
        <v>10</v>
      </c>
      <c r="G129" s="313">
        <v>0.69797376000000011</v>
      </c>
      <c r="H129" s="245"/>
      <c r="I129" s="245"/>
      <c r="J129" s="313">
        <v>0.22487974695014401</v>
      </c>
      <c r="K129" s="313">
        <v>0.1164877089201746</v>
      </c>
      <c r="L129" s="245">
        <v>3.6055306082791354</v>
      </c>
      <c r="M129" s="312">
        <v>2027</v>
      </c>
      <c r="N129" s="313">
        <v>0.42</v>
      </c>
      <c r="O129" s="245"/>
      <c r="P129" s="245"/>
      <c r="Q129" s="245"/>
      <c r="R129" s="245"/>
      <c r="S129" s="313">
        <f t="shared" si="0"/>
        <v>0.42</v>
      </c>
      <c r="T129" s="278"/>
      <c r="U129" s="245"/>
    </row>
    <row r="130" spans="4:21" ht="31.5">
      <c r="D130" s="274">
        <v>114</v>
      </c>
      <c r="E130" s="261" t="s">
        <v>874</v>
      </c>
      <c r="F130" s="246">
        <v>10</v>
      </c>
      <c r="G130" s="313">
        <v>0.69797376000000011</v>
      </c>
      <c r="H130" s="245"/>
      <c r="I130" s="245"/>
      <c r="J130" s="313">
        <v>0.22487974695014401</v>
      </c>
      <c r="K130" s="313">
        <v>0.1164877089201746</v>
      </c>
      <c r="L130" s="245">
        <v>3.6055306082791354</v>
      </c>
      <c r="M130" s="312">
        <v>2027</v>
      </c>
      <c r="N130" s="313">
        <v>0.42</v>
      </c>
      <c r="O130" s="245"/>
      <c r="P130" s="245"/>
      <c r="Q130" s="245"/>
      <c r="R130" s="245"/>
      <c r="S130" s="313">
        <f t="shared" si="0"/>
        <v>0.42</v>
      </c>
      <c r="T130" s="278"/>
      <c r="U130" s="245"/>
    </row>
    <row r="131" spans="4:21" ht="31.5">
      <c r="D131" s="274">
        <v>115</v>
      </c>
      <c r="E131" s="261" t="s">
        <v>875</v>
      </c>
      <c r="F131" s="246">
        <v>10</v>
      </c>
      <c r="G131" s="313">
        <v>0.69797376000000011</v>
      </c>
      <c r="H131" s="245"/>
      <c r="I131" s="245"/>
      <c r="J131" s="313">
        <v>0.22487974695014401</v>
      </c>
      <c r="K131" s="313">
        <v>0.1164877089201746</v>
      </c>
      <c r="L131" s="245">
        <v>3.6055306082791354</v>
      </c>
      <c r="M131" s="312">
        <v>2027</v>
      </c>
      <c r="N131" s="313">
        <v>0.42</v>
      </c>
      <c r="O131" s="245"/>
      <c r="P131" s="245"/>
      <c r="Q131" s="245"/>
      <c r="R131" s="245"/>
      <c r="S131" s="313">
        <f t="shared" si="0"/>
        <v>0.42</v>
      </c>
      <c r="T131" s="278"/>
      <c r="U131" s="245"/>
    </row>
    <row r="132" spans="4:21" ht="31.5">
      <c r="D132" s="274">
        <v>116</v>
      </c>
      <c r="E132" s="261" t="s">
        <v>876</v>
      </c>
      <c r="F132" s="246">
        <v>10</v>
      </c>
      <c r="G132" s="313">
        <v>0.69797376000000011</v>
      </c>
      <c r="H132" s="245"/>
      <c r="I132" s="245"/>
      <c r="J132" s="313">
        <v>0.22487974695014401</v>
      </c>
      <c r="K132" s="313">
        <v>0.1164877089201746</v>
      </c>
      <c r="L132" s="245">
        <v>3.6055306082791354</v>
      </c>
      <c r="M132" s="312">
        <v>2027</v>
      </c>
      <c r="N132" s="313">
        <v>0.42</v>
      </c>
      <c r="O132" s="245"/>
      <c r="P132" s="245"/>
      <c r="Q132" s="245"/>
      <c r="R132" s="245"/>
      <c r="S132" s="313">
        <f t="shared" si="0"/>
        <v>0.42</v>
      </c>
      <c r="T132" s="278"/>
      <c r="U132" s="245"/>
    </row>
    <row r="133" spans="4:21" ht="31.5">
      <c r="D133" s="274">
        <v>117</v>
      </c>
      <c r="E133" s="261" t="s">
        <v>877</v>
      </c>
      <c r="F133" s="246">
        <v>10</v>
      </c>
      <c r="G133" s="313">
        <v>0.69797376000000011</v>
      </c>
      <c r="H133" s="245"/>
      <c r="I133" s="245"/>
      <c r="J133" s="313">
        <v>0.22487974695014401</v>
      </c>
      <c r="K133" s="313">
        <v>0.1164877089201746</v>
      </c>
      <c r="L133" s="245">
        <v>3.6055306082791354</v>
      </c>
      <c r="M133" s="312">
        <v>2027</v>
      </c>
      <c r="N133" s="313">
        <v>0.42</v>
      </c>
      <c r="O133" s="245"/>
      <c r="P133" s="245"/>
      <c r="Q133" s="245"/>
      <c r="R133" s="245"/>
      <c r="S133" s="313">
        <f t="shared" si="0"/>
        <v>0.42</v>
      </c>
      <c r="T133" s="278"/>
      <c r="U133" s="245"/>
    </row>
    <row r="134" spans="4:21" ht="31.5">
      <c r="D134" s="274">
        <v>118</v>
      </c>
      <c r="E134" s="261" t="s">
        <v>878</v>
      </c>
      <c r="F134" s="246">
        <v>10</v>
      </c>
      <c r="G134" s="313">
        <v>0.69797376000000011</v>
      </c>
      <c r="H134" s="245"/>
      <c r="I134" s="245"/>
      <c r="J134" s="313">
        <v>0.22487974695014401</v>
      </c>
      <c r="K134" s="313">
        <v>0.1164877089201746</v>
      </c>
      <c r="L134" s="245">
        <v>3.6055306082791354</v>
      </c>
      <c r="M134" s="312">
        <v>2027</v>
      </c>
      <c r="N134" s="313">
        <v>0.42</v>
      </c>
      <c r="O134" s="245"/>
      <c r="P134" s="245"/>
      <c r="Q134" s="245"/>
      <c r="R134" s="245"/>
      <c r="S134" s="313">
        <f t="shared" si="0"/>
        <v>0.42</v>
      </c>
      <c r="T134" s="278"/>
      <c r="U134" s="245"/>
    </row>
    <row r="135" spans="4:21" ht="31.5">
      <c r="D135" s="274">
        <v>119</v>
      </c>
      <c r="E135" s="261" t="s">
        <v>879</v>
      </c>
      <c r="F135" s="246">
        <v>10</v>
      </c>
      <c r="G135" s="313">
        <v>0.69797376000000011</v>
      </c>
      <c r="H135" s="245"/>
      <c r="I135" s="245"/>
      <c r="J135" s="313">
        <v>0.22487974695014401</v>
      </c>
      <c r="K135" s="313">
        <v>0.1164877089201746</v>
      </c>
      <c r="L135" s="245">
        <v>3.6055306082791354</v>
      </c>
      <c r="M135" s="312">
        <v>2027</v>
      </c>
      <c r="N135" s="313">
        <v>0.42</v>
      </c>
      <c r="O135" s="245"/>
      <c r="P135" s="245"/>
      <c r="Q135" s="245"/>
      <c r="R135" s="245"/>
      <c r="S135" s="313">
        <f t="shared" ref="S135:S140" si="1">N135</f>
        <v>0.42</v>
      </c>
      <c r="T135" s="278"/>
      <c r="U135" s="245"/>
    </row>
    <row r="136" spans="4:21" ht="31.5">
      <c r="D136" s="274">
        <v>120</v>
      </c>
      <c r="E136" s="261" t="s">
        <v>880</v>
      </c>
      <c r="F136" s="246">
        <v>10</v>
      </c>
      <c r="G136" s="313">
        <v>0.69797376000000011</v>
      </c>
      <c r="H136" s="245"/>
      <c r="I136" s="245"/>
      <c r="J136" s="313">
        <v>0.22487974695014401</v>
      </c>
      <c r="K136" s="313">
        <v>0.1164877089201746</v>
      </c>
      <c r="L136" s="245">
        <v>3.6055306082791354</v>
      </c>
      <c r="M136" s="312">
        <v>2027</v>
      </c>
      <c r="N136" s="313">
        <v>0.42</v>
      </c>
      <c r="O136" s="245"/>
      <c r="P136" s="245"/>
      <c r="Q136" s="245"/>
      <c r="R136" s="245"/>
      <c r="S136" s="313">
        <f t="shared" si="1"/>
        <v>0.42</v>
      </c>
      <c r="T136" s="278"/>
      <c r="U136" s="245"/>
    </row>
    <row r="137" spans="4:21" ht="31.5">
      <c r="D137" s="274">
        <v>121</v>
      </c>
      <c r="E137" s="261" t="s">
        <v>881</v>
      </c>
      <c r="F137" s="246">
        <v>10</v>
      </c>
      <c r="G137" s="313">
        <v>0.69797376000000011</v>
      </c>
      <c r="H137" s="245"/>
      <c r="I137" s="245"/>
      <c r="J137" s="313">
        <v>0.22487974695014401</v>
      </c>
      <c r="K137" s="313">
        <v>0.1164877089201746</v>
      </c>
      <c r="L137" s="245">
        <v>3.6055306082791354</v>
      </c>
      <c r="M137" s="312">
        <v>2027</v>
      </c>
      <c r="N137" s="313">
        <v>0.42</v>
      </c>
      <c r="O137" s="245"/>
      <c r="P137" s="245"/>
      <c r="Q137" s="245"/>
      <c r="R137" s="245"/>
      <c r="S137" s="313">
        <f t="shared" si="1"/>
        <v>0.42</v>
      </c>
      <c r="T137" s="278"/>
      <c r="U137" s="245"/>
    </row>
    <row r="138" spans="4:21" ht="31.5">
      <c r="D138" s="274">
        <v>122</v>
      </c>
      <c r="E138" s="261" t="s">
        <v>882</v>
      </c>
      <c r="F138" s="246">
        <v>10</v>
      </c>
      <c r="G138" s="313">
        <v>0.69797376000000011</v>
      </c>
      <c r="H138" s="245"/>
      <c r="I138" s="245"/>
      <c r="J138" s="313">
        <v>0.22487974695014401</v>
      </c>
      <c r="K138" s="313">
        <v>0.1164877089201746</v>
      </c>
      <c r="L138" s="245">
        <v>3.6055306082791354</v>
      </c>
      <c r="M138" s="312">
        <v>2027</v>
      </c>
      <c r="N138" s="313">
        <v>0.42</v>
      </c>
      <c r="O138" s="245"/>
      <c r="P138" s="245"/>
      <c r="Q138" s="245"/>
      <c r="R138" s="245"/>
      <c r="S138" s="313">
        <f t="shared" si="1"/>
        <v>0.42</v>
      </c>
      <c r="T138" s="278"/>
      <c r="U138" s="245"/>
    </row>
    <row r="139" spans="4:21" ht="31.5">
      <c r="D139" s="274">
        <v>123</v>
      </c>
      <c r="E139" s="261" t="s">
        <v>883</v>
      </c>
      <c r="F139" s="246">
        <v>10</v>
      </c>
      <c r="G139" s="313">
        <v>0.69797376000000011</v>
      </c>
      <c r="H139" s="245"/>
      <c r="I139" s="245"/>
      <c r="J139" s="313">
        <v>0.22487974695014401</v>
      </c>
      <c r="K139" s="313">
        <v>0.1164877089201746</v>
      </c>
      <c r="L139" s="245">
        <v>3.6055306082791354</v>
      </c>
      <c r="M139" s="312">
        <v>2027</v>
      </c>
      <c r="N139" s="313">
        <v>0.42</v>
      </c>
      <c r="O139" s="245"/>
      <c r="P139" s="245"/>
      <c r="Q139" s="245"/>
      <c r="R139" s="245"/>
      <c r="S139" s="313">
        <f t="shared" si="1"/>
        <v>0.42</v>
      </c>
      <c r="T139" s="278"/>
      <c r="U139" s="245"/>
    </row>
    <row r="140" spans="4:21" ht="31.5">
      <c r="D140" s="274">
        <v>124</v>
      </c>
      <c r="E140" s="261" t="s">
        <v>884</v>
      </c>
      <c r="F140" s="246">
        <v>10</v>
      </c>
      <c r="G140" s="313">
        <v>0.69797376000000011</v>
      </c>
      <c r="H140" s="245"/>
      <c r="I140" s="245"/>
      <c r="J140" s="313">
        <v>0.22487974695014401</v>
      </c>
      <c r="K140" s="313">
        <v>0.1164877089201746</v>
      </c>
      <c r="L140" s="245">
        <v>3.6055306082791354</v>
      </c>
      <c r="M140" s="312">
        <v>2027</v>
      </c>
      <c r="N140" s="313">
        <v>0.42</v>
      </c>
      <c r="O140" s="245"/>
      <c r="P140" s="245"/>
      <c r="Q140" s="245"/>
      <c r="R140" s="245"/>
      <c r="S140" s="313">
        <f t="shared" si="1"/>
        <v>0.42</v>
      </c>
      <c r="T140" s="278"/>
      <c r="U140" s="245"/>
    </row>
    <row r="141" spans="4:21">
      <c r="D141" s="504" t="s">
        <v>10</v>
      </c>
      <c r="E141" s="505"/>
      <c r="F141" s="57">
        <f>SUM(F76:F140)</f>
        <v>1731</v>
      </c>
      <c r="G141" s="12">
        <f>SUM(G17:G140)</f>
        <v>2172.5559289919988</v>
      </c>
      <c r="H141" s="12">
        <f>SUM(H17:H140)</f>
        <v>90.5</v>
      </c>
      <c r="I141" s="12"/>
      <c r="J141" s="303">
        <f>SUM(J17:J140)</f>
        <v>714.52794885958451</v>
      </c>
      <c r="K141" s="12">
        <f>SUM(K17:K140)</f>
        <v>371.59127750926518</v>
      </c>
      <c r="L141" s="12"/>
      <c r="M141" s="303"/>
      <c r="N141" s="12">
        <f>SUM(N17:N140)</f>
        <v>2624.2100000000032</v>
      </c>
      <c r="O141" s="12"/>
      <c r="P141" s="12"/>
      <c r="Q141" s="21"/>
      <c r="R141" s="302"/>
      <c r="S141" s="57">
        <f>N141</f>
        <v>2624.2100000000032</v>
      </c>
      <c r="T141" s="12"/>
      <c r="U141" s="12"/>
    </row>
    <row r="142" spans="4:21">
      <c r="D142" s="276"/>
      <c r="E142" s="296"/>
      <c r="F142" s="255"/>
      <c r="G142" s="256"/>
      <c r="H142" s="249"/>
      <c r="I142" s="249"/>
      <c r="J142" s="251"/>
      <c r="K142" s="257"/>
      <c r="L142" s="258"/>
      <c r="M142" s="321"/>
      <c r="N142" s="258"/>
      <c r="O142" s="259"/>
      <c r="P142" s="250"/>
      <c r="Q142" s="250"/>
      <c r="R142" s="305"/>
      <c r="S142" s="250"/>
      <c r="T142" s="249"/>
      <c r="U142" s="251"/>
    </row>
    <row r="143" spans="4:21">
      <c r="D143" s="295"/>
      <c r="E143" s="254"/>
      <c r="F143" s="255"/>
      <c r="G143" s="256"/>
      <c r="H143" s="249"/>
      <c r="I143" s="249"/>
      <c r="J143" s="251"/>
      <c r="K143" s="257"/>
      <c r="L143" s="258"/>
      <c r="M143" s="321"/>
      <c r="N143" s="258"/>
      <c r="O143" s="259"/>
      <c r="P143" s="250"/>
      <c r="Q143" s="250"/>
      <c r="R143" s="305"/>
      <c r="S143" s="250"/>
      <c r="T143" s="249"/>
      <c r="U143" s="251"/>
    </row>
    <row r="144" spans="4:21">
      <c r="D144" s="501" t="s">
        <v>8</v>
      </c>
      <c r="E144" s="498" t="s">
        <v>3</v>
      </c>
      <c r="F144" s="481" t="s">
        <v>40</v>
      </c>
      <c r="G144" s="482" t="s">
        <v>4</v>
      </c>
      <c r="H144" s="483"/>
      <c r="I144" s="483"/>
      <c r="J144" s="484"/>
      <c r="K144" s="485" t="s">
        <v>16</v>
      </c>
      <c r="L144" s="471" t="s">
        <v>9</v>
      </c>
      <c r="M144" s="486" t="s">
        <v>28</v>
      </c>
      <c r="N144" s="471" t="s">
        <v>15</v>
      </c>
      <c r="O144" s="474" t="s">
        <v>29</v>
      </c>
      <c r="P144" s="475"/>
      <c r="Q144" s="475"/>
      <c r="R144" s="475"/>
      <c r="S144" s="475"/>
      <c r="T144" s="475"/>
      <c r="U144" s="476"/>
    </row>
    <row r="145" spans="4:21">
      <c r="D145" s="502"/>
      <c r="E145" s="499"/>
      <c r="F145" s="479"/>
      <c r="G145" s="477" t="s">
        <v>11</v>
      </c>
      <c r="H145" s="477" t="s">
        <v>12</v>
      </c>
      <c r="I145" s="477" t="s">
        <v>13</v>
      </c>
      <c r="J145" s="479" t="s">
        <v>5</v>
      </c>
      <c r="K145" s="472"/>
      <c r="L145" s="472"/>
      <c r="M145" s="487"/>
      <c r="N145" s="472"/>
      <c r="O145" s="471" t="s">
        <v>333</v>
      </c>
      <c r="P145" s="471" t="s">
        <v>332</v>
      </c>
      <c r="Q145" s="471" t="s">
        <v>334</v>
      </c>
      <c r="R145" s="471" t="s">
        <v>335</v>
      </c>
      <c r="S145" s="471" t="s">
        <v>338</v>
      </c>
      <c r="T145" s="471" t="s">
        <v>336</v>
      </c>
      <c r="U145" s="471" t="s">
        <v>337</v>
      </c>
    </row>
    <row r="146" spans="4:21">
      <c r="D146" s="503"/>
      <c r="E146" s="500"/>
      <c r="F146" s="480"/>
      <c r="G146" s="478"/>
      <c r="H146" s="478"/>
      <c r="I146" s="478"/>
      <c r="J146" s="480"/>
      <c r="K146" s="473"/>
      <c r="L146" s="473"/>
      <c r="M146" s="488"/>
      <c r="N146" s="473"/>
      <c r="O146" s="536"/>
      <c r="P146" s="536"/>
      <c r="Q146" s="536"/>
      <c r="R146" s="521"/>
      <c r="S146" s="536"/>
      <c r="T146" s="536"/>
      <c r="U146" s="536"/>
    </row>
    <row r="147" spans="4:21">
      <c r="D147" s="335"/>
      <c r="E147" s="537" t="s">
        <v>325</v>
      </c>
      <c r="F147" s="538"/>
      <c r="G147" s="538"/>
      <c r="H147" s="538"/>
      <c r="I147" s="538"/>
      <c r="J147" s="538"/>
      <c r="K147" s="538"/>
      <c r="L147" s="538"/>
      <c r="M147" s="538"/>
      <c r="N147" s="538"/>
      <c r="O147" s="538"/>
      <c r="P147" s="538"/>
      <c r="Q147" s="538"/>
      <c r="R147" s="538"/>
      <c r="S147" s="538"/>
      <c r="T147" s="538"/>
      <c r="U147" s="539"/>
    </row>
    <row r="148" spans="4:21" ht="31.5">
      <c r="D148" s="294" t="s">
        <v>326</v>
      </c>
      <c r="E148" s="262" t="s">
        <v>355</v>
      </c>
      <c r="F148" s="246">
        <v>1</v>
      </c>
      <c r="G148" s="245"/>
      <c r="H148" s="245"/>
      <c r="I148" s="245"/>
      <c r="J148" s="245">
        <v>0.2</v>
      </c>
      <c r="K148" s="245">
        <v>0.1</v>
      </c>
      <c r="L148" s="245">
        <v>37.1</v>
      </c>
      <c r="M148" s="315"/>
      <c r="N148" s="245">
        <v>3.8</v>
      </c>
      <c r="O148" s="245"/>
      <c r="P148" s="245"/>
      <c r="Q148" s="245"/>
      <c r="R148" s="245"/>
      <c r="S148" s="245">
        <f>N148</f>
        <v>3.8</v>
      </c>
      <c r="T148" s="278"/>
      <c r="U148" s="245"/>
    </row>
    <row r="149" spans="4:21" ht="31.5">
      <c r="D149" s="294" t="s">
        <v>327</v>
      </c>
      <c r="E149" s="262" t="s">
        <v>356</v>
      </c>
      <c r="F149" s="246" t="s">
        <v>357</v>
      </c>
      <c r="G149" s="245"/>
      <c r="H149" s="245">
        <v>2.1</v>
      </c>
      <c r="I149" s="245"/>
      <c r="J149" s="245">
        <v>0.4</v>
      </c>
      <c r="K149" s="245">
        <v>0.2</v>
      </c>
      <c r="L149" s="245">
        <v>25.2</v>
      </c>
      <c r="M149" s="315"/>
      <c r="N149" s="245">
        <v>4.9000000000000004</v>
      </c>
      <c r="O149" s="245"/>
      <c r="P149" s="245"/>
      <c r="Q149" s="245"/>
      <c r="R149" s="245"/>
      <c r="S149" s="245">
        <f t="shared" ref="S149:S370" si="2">N149</f>
        <v>4.9000000000000004</v>
      </c>
      <c r="T149" s="278"/>
      <c r="U149" s="245"/>
    </row>
    <row r="150" spans="4:21" ht="31.5">
      <c r="D150" s="294" t="s">
        <v>328</v>
      </c>
      <c r="E150" s="262" t="s">
        <v>364</v>
      </c>
      <c r="F150" s="246">
        <v>15</v>
      </c>
      <c r="G150" s="245"/>
      <c r="H150" s="245">
        <v>29.7</v>
      </c>
      <c r="I150" s="245"/>
      <c r="J150" s="245">
        <v>5.3</v>
      </c>
      <c r="K150" s="245">
        <v>2.8</v>
      </c>
      <c r="L150" s="245">
        <v>49.5</v>
      </c>
      <c r="M150" s="315"/>
      <c r="N150" s="245">
        <v>136.69999999999999</v>
      </c>
      <c r="O150" s="245"/>
      <c r="P150" s="245"/>
      <c r="Q150" s="245"/>
      <c r="R150" s="245"/>
      <c r="S150" s="245">
        <f t="shared" si="2"/>
        <v>136.69999999999999</v>
      </c>
      <c r="T150" s="278"/>
      <c r="U150" s="245"/>
    </row>
    <row r="151" spans="4:21" ht="47.25">
      <c r="D151" s="294" t="s">
        <v>329</v>
      </c>
      <c r="E151" s="261" t="s">
        <v>391</v>
      </c>
      <c r="F151" s="246">
        <v>1</v>
      </c>
      <c r="G151" s="245">
        <v>13.9</v>
      </c>
      <c r="H151" s="245"/>
      <c r="I151" s="245"/>
      <c r="J151" s="245">
        <v>4.5</v>
      </c>
      <c r="K151" s="245">
        <v>2.2999999999999998</v>
      </c>
      <c r="L151" s="245">
        <v>14.7</v>
      </c>
      <c r="M151" s="315"/>
      <c r="N151" s="245">
        <v>34.200000000000003</v>
      </c>
      <c r="O151" s="245"/>
      <c r="P151" s="245"/>
      <c r="Q151" s="245"/>
      <c r="R151" s="245"/>
      <c r="S151" s="245">
        <f t="shared" si="2"/>
        <v>34.200000000000003</v>
      </c>
      <c r="T151" s="278"/>
      <c r="U151" s="245"/>
    </row>
    <row r="152" spans="4:21" ht="47.25">
      <c r="D152" s="294" t="s">
        <v>330</v>
      </c>
      <c r="E152" s="261" t="s">
        <v>391</v>
      </c>
      <c r="F152" s="246">
        <v>1</v>
      </c>
      <c r="G152" s="245">
        <v>13.9</v>
      </c>
      <c r="H152" s="245"/>
      <c r="I152" s="245"/>
      <c r="J152" s="245">
        <v>4.5</v>
      </c>
      <c r="K152" s="245">
        <v>2.2999999999999998</v>
      </c>
      <c r="L152" s="245">
        <v>14.7</v>
      </c>
      <c r="M152" s="315"/>
      <c r="N152" s="245">
        <v>34.200000000000003</v>
      </c>
      <c r="O152" s="245"/>
      <c r="P152" s="245"/>
      <c r="Q152" s="245"/>
      <c r="R152" s="245"/>
      <c r="S152" s="245">
        <f t="shared" si="2"/>
        <v>34.200000000000003</v>
      </c>
      <c r="T152" s="278"/>
      <c r="U152" s="245"/>
    </row>
    <row r="153" spans="4:21" ht="47.25">
      <c r="D153" s="294" t="s">
        <v>331</v>
      </c>
      <c r="E153" s="261" t="s">
        <v>392</v>
      </c>
      <c r="F153" s="246">
        <v>1</v>
      </c>
      <c r="G153" s="245">
        <v>13.9</v>
      </c>
      <c r="H153" s="245"/>
      <c r="I153" s="245"/>
      <c r="J153" s="245">
        <v>4.5</v>
      </c>
      <c r="K153" s="245">
        <v>2.2999999999999998</v>
      </c>
      <c r="L153" s="245">
        <v>14.7</v>
      </c>
      <c r="M153" s="315"/>
      <c r="N153" s="245">
        <v>34.200000000000003</v>
      </c>
      <c r="O153" s="245"/>
      <c r="P153" s="245"/>
      <c r="Q153" s="245"/>
      <c r="R153" s="245"/>
      <c r="S153" s="245">
        <f t="shared" si="2"/>
        <v>34.200000000000003</v>
      </c>
      <c r="T153" s="278"/>
      <c r="U153" s="245"/>
    </row>
    <row r="154" spans="4:21" ht="47.25">
      <c r="D154" s="294" t="s">
        <v>590</v>
      </c>
      <c r="E154" s="261" t="s">
        <v>393</v>
      </c>
      <c r="F154" s="246">
        <v>1</v>
      </c>
      <c r="G154" s="245">
        <v>47.9</v>
      </c>
      <c r="H154" s="245"/>
      <c r="I154" s="245"/>
      <c r="J154" s="245">
        <v>15.4</v>
      </c>
      <c r="K154" s="245">
        <v>8</v>
      </c>
      <c r="L154" s="245">
        <v>10.3</v>
      </c>
      <c r="M154" s="315"/>
      <c r="N154" s="245">
        <v>82.6</v>
      </c>
      <c r="O154" s="245"/>
      <c r="P154" s="245"/>
      <c r="Q154" s="245"/>
      <c r="R154" s="245"/>
      <c r="S154" s="245">
        <f t="shared" si="2"/>
        <v>82.6</v>
      </c>
      <c r="T154" s="278"/>
      <c r="U154" s="245"/>
    </row>
    <row r="155" spans="4:21" ht="47.25">
      <c r="D155" s="294" t="s">
        <v>591</v>
      </c>
      <c r="E155" s="261" t="s">
        <v>394</v>
      </c>
      <c r="F155" s="246">
        <v>1</v>
      </c>
      <c r="G155" s="245">
        <v>47.9</v>
      </c>
      <c r="H155" s="245"/>
      <c r="I155" s="245"/>
      <c r="J155" s="245">
        <v>15.4</v>
      </c>
      <c r="K155" s="245">
        <v>8</v>
      </c>
      <c r="L155" s="245">
        <v>10.3</v>
      </c>
      <c r="M155" s="315"/>
      <c r="N155" s="245">
        <v>82.6</v>
      </c>
      <c r="O155" s="245"/>
      <c r="P155" s="245"/>
      <c r="Q155" s="245"/>
      <c r="R155" s="245"/>
      <c r="S155" s="245">
        <f t="shared" si="2"/>
        <v>82.6</v>
      </c>
      <c r="T155" s="278"/>
      <c r="U155" s="245"/>
    </row>
    <row r="156" spans="4:21" ht="47.25">
      <c r="D156" s="294" t="s">
        <v>592</v>
      </c>
      <c r="E156" s="261" t="s">
        <v>395</v>
      </c>
      <c r="F156" s="246">
        <v>1</v>
      </c>
      <c r="G156" s="245">
        <v>7</v>
      </c>
      <c r="H156" s="245"/>
      <c r="I156" s="245"/>
      <c r="J156" s="245">
        <v>2.2000000000000002</v>
      </c>
      <c r="K156" s="245">
        <v>1.2</v>
      </c>
      <c r="L156" s="245">
        <v>34.299999999999997</v>
      </c>
      <c r="M156" s="315"/>
      <c r="N156" s="245">
        <v>39.9</v>
      </c>
      <c r="O156" s="245"/>
      <c r="P156" s="245"/>
      <c r="Q156" s="245"/>
      <c r="R156" s="245"/>
      <c r="S156" s="245">
        <f t="shared" si="2"/>
        <v>39.9</v>
      </c>
      <c r="T156" s="278"/>
      <c r="U156" s="245"/>
    </row>
    <row r="157" spans="4:21" ht="47.25">
      <c r="D157" s="294" t="s">
        <v>593</v>
      </c>
      <c r="E157" s="261" t="s">
        <v>396</v>
      </c>
      <c r="F157" s="246">
        <v>1</v>
      </c>
      <c r="G157" s="245">
        <v>13.8</v>
      </c>
      <c r="H157" s="245"/>
      <c r="I157" s="245"/>
      <c r="J157" s="245">
        <v>4.5</v>
      </c>
      <c r="K157" s="245">
        <v>2.2999999999999998</v>
      </c>
      <c r="L157" s="245">
        <v>14.8</v>
      </c>
      <c r="M157" s="315"/>
      <c r="N157" s="245">
        <v>34.200000000000003</v>
      </c>
      <c r="O157" s="245"/>
      <c r="P157" s="245"/>
      <c r="Q157" s="245"/>
      <c r="R157" s="245"/>
      <c r="S157" s="245">
        <f t="shared" si="2"/>
        <v>34.200000000000003</v>
      </c>
      <c r="T157" s="278"/>
      <c r="U157" s="245"/>
    </row>
    <row r="158" spans="4:21" ht="47.25">
      <c r="D158" s="294" t="s">
        <v>594</v>
      </c>
      <c r="E158" s="261" t="s">
        <v>397</v>
      </c>
      <c r="F158" s="246">
        <v>1</v>
      </c>
      <c r="G158" s="245">
        <v>47.9</v>
      </c>
      <c r="H158" s="245"/>
      <c r="I158" s="245"/>
      <c r="J158" s="245">
        <v>15.4</v>
      </c>
      <c r="K158" s="245">
        <v>8</v>
      </c>
      <c r="L158" s="245">
        <v>10.3</v>
      </c>
      <c r="M158" s="315"/>
      <c r="N158" s="245">
        <v>82.6</v>
      </c>
      <c r="O158" s="245"/>
      <c r="P158" s="245"/>
      <c r="Q158" s="245"/>
      <c r="R158" s="245"/>
      <c r="S158" s="245">
        <f t="shared" si="2"/>
        <v>82.6</v>
      </c>
      <c r="T158" s="278"/>
      <c r="U158" s="245"/>
    </row>
    <row r="159" spans="4:21" ht="47.25">
      <c r="D159" s="294" t="s">
        <v>595</v>
      </c>
      <c r="E159" s="261" t="s">
        <v>398</v>
      </c>
      <c r="F159" s="246">
        <v>1</v>
      </c>
      <c r="G159" s="245">
        <v>7</v>
      </c>
      <c r="H159" s="245"/>
      <c r="I159" s="245"/>
      <c r="J159" s="245">
        <v>2.2000000000000002</v>
      </c>
      <c r="K159" s="245">
        <v>1.2</v>
      </c>
      <c r="L159" s="245">
        <v>34.299999999999997</v>
      </c>
      <c r="M159" s="315"/>
      <c r="N159" s="245">
        <v>39.9</v>
      </c>
      <c r="O159" s="245"/>
      <c r="P159" s="245"/>
      <c r="Q159" s="245"/>
      <c r="R159" s="245"/>
      <c r="S159" s="245">
        <f t="shared" si="2"/>
        <v>39.9</v>
      </c>
      <c r="T159" s="278"/>
      <c r="U159" s="245"/>
    </row>
    <row r="160" spans="4:21" ht="47.25">
      <c r="D160" s="294" t="s">
        <v>596</v>
      </c>
      <c r="E160" s="261" t="s">
        <v>399</v>
      </c>
      <c r="F160" s="246">
        <v>1</v>
      </c>
      <c r="G160" s="245">
        <v>13.8</v>
      </c>
      <c r="H160" s="245"/>
      <c r="I160" s="245"/>
      <c r="J160" s="245">
        <v>4.5</v>
      </c>
      <c r="K160" s="245">
        <v>2.2999999999999998</v>
      </c>
      <c r="L160" s="245">
        <v>14.8</v>
      </c>
      <c r="M160" s="315"/>
      <c r="N160" s="245">
        <v>34.200000000000003</v>
      </c>
      <c r="O160" s="245"/>
      <c r="P160" s="245"/>
      <c r="Q160" s="245"/>
      <c r="R160" s="245"/>
      <c r="S160" s="245">
        <f t="shared" si="2"/>
        <v>34.200000000000003</v>
      </c>
      <c r="T160" s="278"/>
      <c r="U160" s="245"/>
    </row>
    <row r="161" spans="4:21" ht="47.25">
      <c r="D161" s="294" t="s">
        <v>597</v>
      </c>
      <c r="E161" s="261" t="s">
        <v>402</v>
      </c>
      <c r="F161" s="246">
        <v>1</v>
      </c>
      <c r="G161" s="245">
        <v>13.9</v>
      </c>
      <c r="H161" s="245"/>
      <c r="I161" s="245"/>
      <c r="J161" s="245">
        <v>4.5</v>
      </c>
      <c r="K161" s="245">
        <v>2.2999999999999998</v>
      </c>
      <c r="L161" s="245">
        <v>14.7</v>
      </c>
      <c r="M161" s="315"/>
      <c r="N161" s="245">
        <v>34.200000000000003</v>
      </c>
      <c r="O161" s="245"/>
      <c r="P161" s="245"/>
      <c r="Q161" s="245"/>
      <c r="R161" s="245"/>
      <c r="S161" s="245">
        <f t="shared" si="2"/>
        <v>34.200000000000003</v>
      </c>
      <c r="T161" s="278"/>
      <c r="U161" s="245"/>
    </row>
    <row r="162" spans="4:21" ht="47.25">
      <c r="D162" s="294" t="s">
        <v>598</v>
      </c>
      <c r="E162" s="261" t="s">
        <v>403</v>
      </c>
      <c r="F162" s="246">
        <v>1</v>
      </c>
      <c r="G162" s="245">
        <v>15.3</v>
      </c>
      <c r="H162" s="245"/>
      <c r="I162" s="245"/>
      <c r="J162" s="245">
        <v>4.9000000000000004</v>
      </c>
      <c r="K162" s="245">
        <v>2.6</v>
      </c>
      <c r="L162" s="245">
        <v>22.3</v>
      </c>
      <c r="M162" s="315"/>
      <c r="N162" s="245">
        <v>57</v>
      </c>
      <c r="O162" s="245"/>
      <c r="P162" s="245"/>
      <c r="Q162" s="245"/>
      <c r="R162" s="245"/>
      <c r="S162" s="245">
        <f t="shared" si="2"/>
        <v>57</v>
      </c>
      <c r="T162" s="278"/>
      <c r="U162" s="245"/>
    </row>
    <row r="163" spans="4:21" ht="47.25">
      <c r="D163" s="294" t="s">
        <v>599</v>
      </c>
      <c r="E163" s="261" t="s">
        <v>403</v>
      </c>
      <c r="F163" s="246">
        <v>1</v>
      </c>
      <c r="G163" s="245">
        <v>15.3</v>
      </c>
      <c r="H163" s="245"/>
      <c r="I163" s="245"/>
      <c r="J163" s="245">
        <v>4.9000000000000004</v>
      </c>
      <c r="K163" s="245">
        <v>2.6</v>
      </c>
      <c r="L163" s="245">
        <v>22.3</v>
      </c>
      <c r="M163" s="315"/>
      <c r="N163" s="245">
        <v>57</v>
      </c>
      <c r="O163" s="245"/>
      <c r="P163" s="245"/>
      <c r="Q163" s="245"/>
      <c r="R163" s="245"/>
      <c r="S163" s="245">
        <f t="shared" si="2"/>
        <v>57</v>
      </c>
      <c r="T163" s="278"/>
      <c r="U163" s="245"/>
    </row>
    <row r="164" spans="4:21" ht="47.25">
      <c r="D164" s="294" t="s">
        <v>600</v>
      </c>
      <c r="E164" s="261" t="s">
        <v>403</v>
      </c>
      <c r="F164" s="246">
        <v>1</v>
      </c>
      <c r="G164" s="245">
        <v>15.3</v>
      </c>
      <c r="H164" s="245"/>
      <c r="I164" s="245"/>
      <c r="J164" s="245">
        <v>4.9000000000000004</v>
      </c>
      <c r="K164" s="245">
        <v>2.6</v>
      </c>
      <c r="L164" s="245">
        <v>22.3</v>
      </c>
      <c r="M164" s="315"/>
      <c r="N164" s="245">
        <v>57</v>
      </c>
      <c r="O164" s="245"/>
      <c r="P164" s="245"/>
      <c r="Q164" s="245"/>
      <c r="R164" s="245"/>
      <c r="S164" s="245">
        <f t="shared" si="2"/>
        <v>57</v>
      </c>
      <c r="T164" s="278"/>
      <c r="U164" s="245"/>
    </row>
    <row r="165" spans="4:21" ht="47.25">
      <c r="D165" s="294" t="s">
        <v>601</v>
      </c>
      <c r="E165" s="261" t="s">
        <v>403</v>
      </c>
      <c r="F165" s="246">
        <v>1</v>
      </c>
      <c r="G165" s="245">
        <v>15.3</v>
      </c>
      <c r="H165" s="245"/>
      <c r="I165" s="245"/>
      <c r="J165" s="245">
        <v>4.9000000000000004</v>
      </c>
      <c r="K165" s="245">
        <v>2.6</v>
      </c>
      <c r="L165" s="245">
        <v>22.3</v>
      </c>
      <c r="M165" s="315"/>
      <c r="N165" s="245">
        <v>57</v>
      </c>
      <c r="O165" s="245"/>
      <c r="P165" s="245"/>
      <c r="Q165" s="245"/>
      <c r="R165" s="245"/>
      <c r="S165" s="245">
        <f t="shared" si="2"/>
        <v>57</v>
      </c>
      <c r="T165" s="278"/>
      <c r="U165" s="245"/>
    </row>
    <row r="166" spans="4:21" ht="47.25">
      <c r="D166" s="294" t="s">
        <v>602</v>
      </c>
      <c r="E166" s="261" t="s">
        <v>404</v>
      </c>
      <c r="F166" s="246">
        <v>1</v>
      </c>
      <c r="G166" s="245">
        <v>47.9</v>
      </c>
      <c r="H166" s="245"/>
      <c r="I166" s="245"/>
      <c r="J166" s="245">
        <v>15.4</v>
      </c>
      <c r="K166" s="245">
        <v>8</v>
      </c>
      <c r="L166" s="245">
        <v>10.3</v>
      </c>
      <c r="M166" s="315"/>
      <c r="N166" s="245">
        <v>82.6</v>
      </c>
      <c r="O166" s="245"/>
      <c r="P166" s="245"/>
      <c r="Q166" s="245"/>
      <c r="R166" s="245"/>
      <c r="S166" s="245">
        <f t="shared" si="2"/>
        <v>82.6</v>
      </c>
      <c r="T166" s="278"/>
      <c r="U166" s="245"/>
    </row>
    <row r="167" spans="4:21" ht="47.25">
      <c r="D167" s="294" t="s">
        <v>603</v>
      </c>
      <c r="E167" s="261" t="s">
        <v>407</v>
      </c>
      <c r="F167" s="246">
        <v>1</v>
      </c>
      <c r="G167" s="245">
        <v>22.4</v>
      </c>
      <c r="H167" s="245"/>
      <c r="I167" s="245"/>
      <c r="J167" s="245">
        <v>7.2</v>
      </c>
      <c r="K167" s="245">
        <v>3.7</v>
      </c>
      <c r="L167" s="245">
        <v>18.3</v>
      </c>
      <c r="M167" s="315"/>
      <c r="N167" s="245">
        <v>68.400000000000006</v>
      </c>
      <c r="O167" s="245"/>
      <c r="P167" s="245"/>
      <c r="Q167" s="245"/>
      <c r="R167" s="245"/>
      <c r="S167" s="245">
        <f t="shared" si="2"/>
        <v>68.400000000000006</v>
      </c>
      <c r="T167" s="278"/>
      <c r="U167" s="245"/>
    </row>
    <row r="168" spans="4:21" ht="47.25">
      <c r="D168" s="294" t="s">
        <v>604</v>
      </c>
      <c r="E168" s="261" t="s">
        <v>411</v>
      </c>
      <c r="F168" s="246">
        <v>1</v>
      </c>
      <c r="G168" s="245">
        <v>47.9</v>
      </c>
      <c r="H168" s="245"/>
      <c r="I168" s="245"/>
      <c r="J168" s="245">
        <v>15.4</v>
      </c>
      <c r="K168" s="245">
        <v>8</v>
      </c>
      <c r="L168" s="245">
        <v>10.3</v>
      </c>
      <c r="M168" s="315"/>
      <c r="N168" s="245">
        <v>82.6</v>
      </c>
      <c r="O168" s="245"/>
      <c r="P168" s="245"/>
      <c r="Q168" s="245"/>
      <c r="R168" s="245"/>
      <c r="S168" s="245">
        <f t="shared" si="2"/>
        <v>82.6</v>
      </c>
      <c r="T168" s="278"/>
      <c r="U168" s="245"/>
    </row>
    <row r="169" spans="4:21" ht="47.25">
      <c r="D169" s="294" t="s">
        <v>605</v>
      </c>
      <c r="E169" s="261" t="s">
        <v>412</v>
      </c>
      <c r="F169" s="246">
        <v>1</v>
      </c>
      <c r="G169" s="245">
        <v>15.3</v>
      </c>
      <c r="H169" s="245"/>
      <c r="I169" s="245"/>
      <c r="J169" s="245">
        <v>4.9000000000000004</v>
      </c>
      <c r="K169" s="245">
        <v>2.6</v>
      </c>
      <c r="L169" s="245">
        <v>22.3</v>
      </c>
      <c r="M169" s="315"/>
      <c r="N169" s="245">
        <v>57</v>
      </c>
      <c r="O169" s="245"/>
      <c r="P169" s="245"/>
      <c r="Q169" s="245"/>
      <c r="R169" s="245"/>
      <c r="S169" s="245">
        <f t="shared" si="2"/>
        <v>57</v>
      </c>
      <c r="T169" s="278"/>
      <c r="U169" s="245"/>
    </row>
    <row r="170" spans="4:21" ht="47.25">
      <c r="D170" s="294" t="s">
        <v>606</v>
      </c>
      <c r="E170" s="261" t="s">
        <v>412</v>
      </c>
      <c r="F170" s="246">
        <v>1</v>
      </c>
      <c r="G170" s="245">
        <v>15.3</v>
      </c>
      <c r="H170" s="245"/>
      <c r="I170" s="245"/>
      <c r="J170" s="245">
        <v>4.9000000000000004</v>
      </c>
      <c r="K170" s="245">
        <v>2.6</v>
      </c>
      <c r="L170" s="245">
        <v>22.3</v>
      </c>
      <c r="M170" s="315"/>
      <c r="N170" s="245">
        <v>57</v>
      </c>
      <c r="O170" s="245"/>
      <c r="P170" s="245"/>
      <c r="Q170" s="245"/>
      <c r="R170" s="245"/>
      <c r="S170" s="245">
        <f t="shared" si="2"/>
        <v>57</v>
      </c>
      <c r="T170" s="278"/>
      <c r="U170" s="245"/>
    </row>
    <row r="171" spans="4:21" ht="47.25">
      <c r="D171" s="294" t="s">
        <v>607</v>
      </c>
      <c r="E171" s="261" t="s">
        <v>412</v>
      </c>
      <c r="F171" s="246">
        <v>1</v>
      </c>
      <c r="G171" s="245">
        <v>15.3</v>
      </c>
      <c r="H171" s="245"/>
      <c r="I171" s="245"/>
      <c r="J171" s="245">
        <v>4.9000000000000004</v>
      </c>
      <c r="K171" s="245">
        <v>2.6</v>
      </c>
      <c r="L171" s="245">
        <v>22.3</v>
      </c>
      <c r="M171" s="315"/>
      <c r="N171" s="245">
        <v>57</v>
      </c>
      <c r="O171" s="245"/>
      <c r="P171" s="245"/>
      <c r="Q171" s="245"/>
      <c r="R171" s="245"/>
      <c r="S171" s="245">
        <f t="shared" si="2"/>
        <v>57</v>
      </c>
      <c r="T171" s="278"/>
      <c r="U171" s="245"/>
    </row>
    <row r="172" spans="4:21" ht="47.25">
      <c r="D172" s="294" t="s">
        <v>608</v>
      </c>
      <c r="E172" s="261" t="s">
        <v>412</v>
      </c>
      <c r="F172" s="246">
        <v>1</v>
      </c>
      <c r="G172" s="245">
        <v>15.3</v>
      </c>
      <c r="H172" s="245"/>
      <c r="I172" s="245"/>
      <c r="J172" s="245">
        <v>4.9000000000000004</v>
      </c>
      <c r="K172" s="245">
        <v>2.6</v>
      </c>
      <c r="L172" s="245">
        <v>22.3</v>
      </c>
      <c r="M172" s="315"/>
      <c r="N172" s="245">
        <v>57</v>
      </c>
      <c r="O172" s="245"/>
      <c r="P172" s="245"/>
      <c r="Q172" s="245"/>
      <c r="R172" s="245"/>
      <c r="S172" s="245">
        <f t="shared" si="2"/>
        <v>57</v>
      </c>
      <c r="T172" s="278"/>
      <c r="U172" s="245"/>
    </row>
    <row r="173" spans="4:21" ht="47.25">
      <c r="D173" s="294" t="s">
        <v>609</v>
      </c>
      <c r="E173" s="261" t="s">
        <v>412</v>
      </c>
      <c r="F173" s="246">
        <v>1</v>
      </c>
      <c r="G173" s="245">
        <v>15.3</v>
      </c>
      <c r="H173" s="245"/>
      <c r="I173" s="245"/>
      <c r="J173" s="245">
        <v>4.9000000000000004</v>
      </c>
      <c r="K173" s="245">
        <v>2.6</v>
      </c>
      <c r="L173" s="245">
        <v>22.3</v>
      </c>
      <c r="M173" s="315"/>
      <c r="N173" s="245">
        <v>57</v>
      </c>
      <c r="O173" s="245"/>
      <c r="P173" s="245"/>
      <c r="Q173" s="245"/>
      <c r="R173" s="245"/>
      <c r="S173" s="245">
        <f t="shared" si="2"/>
        <v>57</v>
      </c>
      <c r="T173" s="278"/>
      <c r="U173" s="245"/>
    </row>
    <row r="174" spans="4:21" ht="47.25">
      <c r="D174" s="294" t="s">
        <v>610</v>
      </c>
      <c r="E174" s="261" t="s">
        <v>414</v>
      </c>
      <c r="F174" s="246">
        <v>1</v>
      </c>
      <c r="G174" s="245">
        <v>15.3</v>
      </c>
      <c r="H174" s="245"/>
      <c r="I174" s="245"/>
      <c r="J174" s="245">
        <v>4.9000000000000004</v>
      </c>
      <c r="K174" s="245">
        <v>2.6</v>
      </c>
      <c r="L174" s="245">
        <v>22.3</v>
      </c>
      <c r="M174" s="315"/>
      <c r="N174" s="245">
        <v>57</v>
      </c>
      <c r="O174" s="245"/>
      <c r="P174" s="245"/>
      <c r="Q174" s="245"/>
      <c r="R174" s="245"/>
      <c r="S174" s="245">
        <f t="shared" si="2"/>
        <v>57</v>
      </c>
      <c r="T174" s="278"/>
      <c r="U174" s="245"/>
    </row>
    <row r="175" spans="4:21" ht="47.25">
      <c r="D175" s="294" t="s">
        <v>611</v>
      </c>
      <c r="E175" s="261" t="s">
        <v>414</v>
      </c>
      <c r="F175" s="246">
        <v>1</v>
      </c>
      <c r="G175" s="245">
        <v>15.3</v>
      </c>
      <c r="H175" s="245"/>
      <c r="I175" s="245"/>
      <c r="J175" s="245">
        <v>4.9000000000000004</v>
      </c>
      <c r="K175" s="245">
        <v>2.6</v>
      </c>
      <c r="L175" s="245">
        <v>22.3</v>
      </c>
      <c r="M175" s="315"/>
      <c r="N175" s="245">
        <v>57</v>
      </c>
      <c r="O175" s="245"/>
      <c r="P175" s="245"/>
      <c r="Q175" s="245"/>
      <c r="R175" s="245"/>
      <c r="S175" s="245">
        <f t="shared" si="2"/>
        <v>57</v>
      </c>
      <c r="T175" s="278"/>
      <c r="U175" s="245"/>
    </row>
    <row r="176" spans="4:21" ht="47.25">
      <c r="D176" s="294" t="s">
        <v>612</v>
      </c>
      <c r="E176" s="261" t="s">
        <v>414</v>
      </c>
      <c r="F176" s="246">
        <v>1</v>
      </c>
      <c r="G176" s="245">
        <v>15.3</v>
      </c>
      <c r="H176" s="245"/>
      <c r="I176" s="245"/>
      <c r="J176" s="245">
        <v>4.9000000000000004</v>
      </c>
      <c r="K176" s="245">
        <v>2.6</v>
      </c>
      <c r="L176" s="245">
        <v>22.3</v>
      </c>
      <c r="M176" s="315"/>
      <c r="N176" s="245">
        <v>57</v>
      </c>
      <c r="O176" s="245"/>
      <c r="P176" s="245"/>
      <c r="Q176" s="245"/>
      <c r="R176" s="245"/>
      <c r="S176" s="245">
        <f t="shared" si="2"/>
        <v>57</v>
      </c>
      <c r="T176" s="278"/>
      <c r="U176" s="245"/>
    </row>
    <row r="177" spans="4:21" ht="47.25">
      <c r="D177" s="294" t="s">
        <v>613</v>
      </c>
      <c r="E177" s="261" t="s">
        <v>414</v>
      </c>
      <c r="F177" s="246">
        <v>1</v>
      </c>
      <c r="G177" s="245">
        <v>15.3</v>
      </c>
      <c r="H177" s="245"/>
      <c r="I177" s="245"/>
      <c r="J177" s="245">
        <v>4.9000000000000004</v>
      </c>
      <c r="K177" s="245">
        <v>2.6</v>
      </c>
      <c r="L177" s="245">
        <v>22.3</v>
      </c>
      <c r="M177" s="315"/>
      <c r="N177" s="245">
        <v>57</v>
      </c>
      <c r="O177" s="245"/>
      <c r="P177" s="245"/>
      <c r="Q177" s="245"/>
      <c r="R177" s="245"/>
      <c r="S177" s="245">
        <f t="shared" si="2"/>
        <v>57</v>
      </c>
      <c r="T177" s="278"/>
      <c r="U177" s="245"/>
    </row>
    <row r="178" spans="4:21" ht="47.25">
      <c r="D178" s="294" t="s">
        <v>614</v>
      </c>
      <c r="E178" s="261" t="s">
        <v>414</v>
      </c>
      <c r="F178" s="246">
        <v>1</v>
      </c>
      <c r="G178" s="245">
        <v>15.3</v>
      </c>
      <c r="H178" s="245"/>
      <c r="I178" s="245"/>
      <c r="J178" s="245">
        <v>4.9000000000000004</v>
      </c>
      <c r="K178" s="245">
        <v>2.6</v>
      </c>
      <c r="L178" s="245">
        <v>22.3</v>
      </c>
      <c r="M178" s="315"/>
      <c r="N178" s="245">
        <v>57</v>
      </c>
      <c r="O178" s="245"/>
      <c r="P178" s="245"/>
      <c r="Q178" s="245"/>
      <c r="R178" s="245"/>
      <c r="S178" s="245">
        <f t="shared" si="2"/>
        <v>57</v>
      </c>
      <c r="T178" s="278"/>
      <c r="U178" s="245"/>
    </row>
    <row r="179" spans="4:21" ht="47.25">
      <c r="D179" s="294" t="s">
        <v>615</v>
      </c>
      <c r="E179" s="261" t="s">
        <v>415</v>
      </c>
      <c r="F179" s="246">
        <v>1</v>
      </c>
      <c r="G179" s="245">
        <v>47.9</v>
      </c>
      <c r="H179" s="245"/>
      <c r="I179" s="245"/>
      <c r="J179" s="245">
        <v>15.4</v>
      </c>
      <c r="K179" s="245">
        <v>8</v>
      </c>
      <c r="L179" s="245">
        <v>10.3</v>
      </c>
      <c r="M179" s="315"/>
      <c r="N179" s="245">
        <v>82.6</v>
      </c>
      <c r="O179" s="245"/>
      <c r="P179" s="245"/>
      <c r="Q179" s="245"/>
      <c r="R179" s="245"/>
      <c r="S179" s="245">
        <f t="shared" si="2"/>
        <v>82.6</v>
      </c>
      <c r="T179" s="278"/>
      <c r="U179" s="245"/>
    </row>
    <row r="180" spans="4:21" ht="47.25">
      <c r="D180" s="294" t="s">
        <v>616</v>
      </c>
      <c r="E180" s="261" t="s">
        <v>416</v>
      </c>
      <c r="F180" s="246">
        <v>1</v>
      </c>
      <c r="G180" s="245">
        <v>13.8</v>
      </c>
      <c r="H180" s="245"/>
      <c r="I180" s="245"/>
      <c r="J180" s="245">
        <v>4.5</v>
      </c>
      <c r="K180" s="245">
        <v>2.2999999999999998</v>
      </c>
      <c r="L180" s="245">
        <v>14.8</v>
      </c>
      <c r="M180" s="315"/>
      <c r="N180" s="245">
        <v>34.200000000000003</v>
      </c>
      <c r="O180" s="245"/>
      <c r="P180" s="245"/>
      <c r="Q180" s="245"/>
      <c r="R180" s="245"/>
      <c r="S180" s="245">
        <f t="shared" si="2"/>
        <v>34.200000000000003</v>
      </c>
      <c r="T180" s="278"/>
      <c r="U180" s="245"/>
    </row>
    <row r="181" spans="4:21" ht="47.25">
      <c r="D181" s="294" t="s">
        <v>617</v>
      </c>
      <c r="E181" s="261" t="s">
        <v>419</v>
      </c>
      <c r="F181" s="246">
        <v>1</v>
      </c>
      <c r="G181" s="245">
        <v>13.8</v>
      </c>
      <c r="H181" s="245"/>
      <c r="I181" s="245"/>
      <c r="J181" s="245">
        <v>4.5</v>
      </c>
      <c r="K181" s="245">
        <v>2.2999999999999998</v>
      </c>
      <c r="L181" s="245">
        <v>14.8</v>
      </c>
      <c r="M181" s="315"/>
      <c r="N181" s="245">
        <v>34.200000000000003</v>
      </c>
      <c r="O181" s="245"/>
      <c r="P181" s="245"/>
      <c r="Q181" s="245"/>
      <c r="R181" s="245"/>
      <c r="S181" s="245">
        <f t="shared" si="2"/>
        <v>34.200000000000003</v>
      </c>
      <c r="T181" s="278"/>
      <c r="U181" s="245"/>
    </row>
    <row r="182" spans="4:21" ht="47.25">
      <c r="D182" s="294" t="s">
        <v>618</v>
      </c>
      <c r="E182" s="261" t="s">
        <v>421</v>
      </c>
      <c r="F182" s="246">
        <v>1</v>
      </c>
      <c r="G182" s="245">
        <v>24.5</v>
      </c>
      <c r="H182" s="245"/>
      <c r="I182" s="245"/>
      <c r="J182" s="245">
        <v>7.9</v>
      </c>
      <c r="K182" s="245">
        <v>4.0999999999999996</v>
      </c>
      <c r="L182" s="245">
        <v>18.8</v>
      </c>
      <c r="M182" s="315"/>
      <c r="N182" s="245">
        <v>76.900000000000006</v>
      </c>
      <c r="O182" s="245"/>
      <c r="P182" s="245"/>
      <c r="Q182" s="245"/>
      <c r="R182" s="245"/>
      <c r="S182" s="245">
        <f t="shared" si="2"/>
        <v>76.900000000000006</v>
      </c>
      <c r="T182" s="278"/>
      <c r="U182" s="245"/>
    </row>
    <row r="183" spans="4:21" ht="47.25">
      <c r="D183" s="294" t="s">
        <v>619</v>
      </c>
      <c r="E183" s="261" t="s">
        <v>421</v>
      </c>
      <c r="F183" s="246">
        <v>1</v>
      </c>
      <c r="G183" s="245">
        <v>24.5</v>
      </c>
      <c r="H183" s="245"/>
      <c r="I183" s="245"/>
      <c r="J183" s="245">
        <v>7.9</v>
      </c>
      <c r="K183" s="245">
        <v>4.0999999999999996</v>
      </c>
      <c r="L183" s="245">
        <v>18.8</v>
      </c>
      <c r="M183" s="315"/>
      <c r="N183" s="245">
        <v>76.900000000000006</v>
      </c>
      <c r="O183" s="245"/>
      <c r="P183" s="245"/>
      <c r="Q183" s="245"/>
      <c r="R183" s="245"/>
      <c r="S183" s="245">
        <f t="shared" si="2"/>
        <v>76.900000000000006</v>
      </c>
      <c r="T183" s="278"/>
      <c r="U183" s="245"/>
    </row>
    <row r="184" spans="4:21" ht="47.25">
      <c r="D184" s="294" t="s">
        <v>620</v>
      </c>
      <c r="E184" s="261" t="s">
        <v>422</v>
      </c>
      <c r="F184" s="246">
        <v>1</v>
      </c>
      <c r="G184" s="245">
        <v>13.9</v>
      </c>
      <c r="H184" s="245"/>
      <c r="I184" s="245"/>
      <c r="J184" s="245">
        <v>4.5</v>
      </c>
      <c r="K184" s="245">
        <v>2.2999999999999998</v>
      </c>
      <c r="L184" s="245">
        <v>14.7</v>
      </c>
      <c r="M184" s="315"/>
      <c r="N184" s="245">
        <v>34.200000000000003</v>
      </c>
      <c r="O184" s="245"/>
      <c r="P184" s="245"/>
      <c r="Q184" s="245"/>
      <c r="R184" s="245"/>
      <c r="S184" s="245">
        <f t="shared" si="2"/>
        <v>34.200000000000003</v>
      </c>
      <c r="T184" s="278"/>
      <c r="U184" s="245"/>
    </row>
    <row r="185" spans="4:21" ht="47.25">
      <c r="D185" s="294" t="s">
        <v>621</v>
      </c>
      <c r="E185" s="261" t="s">
        <v>422</v>
      </c>
      <c r="F185" s="246">
        <v>1</v>
      </c>
      <c r="G185" s="245">
        <v>13.9</v>
      </c>
      <c r="H185" s="245"/>
      <c r="I185" s="245"/>
      <c r="J185" s="245">
        <v>4.5</v>
      </c>
      <c r="K185" s="245">
        <v>2.2999999999999998</v>
      </c>
      <c r="L185" s="245">
        <v>14.7</v>
      </c>
      <c r="M185" s="315"/>
      <c r="N185" s="245">
        <v>34.200000000000003</v>
      </c>
      <c r="O185" s="245"/>
      <c r="P185" s="245"/>
      <c r="Q185" s="245"/>
      <c r="R185" s="245"/>
      <c r="S185" s="245">
        <f t="shared" si="2"/>
        <v>34.200000000000003</v>
      </c>
      <c r="T185" s="278"/>
      <c r="U185" s="245"/>
    </row>
    <row r="186" spans="4:21" ht="47.25">
      <c r="D186" s="294" t="s">
        <v>622</v>
      </c>
      <c r="E186" s="261" t="s">
        <v>423</v>
      </c>
      <c r="F186" s="246">
        <v>1</v>
      </c>
      <c r="G186" s="245">
        <v>21.7</v>
      </c>
      <c r="H186" s="245"/>
      <c r="I186" s="245"/>
      <c r="J186" s="245">
        <v>7</v>
      </c>
      <c r="K186" s="245">
        <v>3.6</v>
      </c>
      <c r="L186" s="245">
        <v>10.199999999999999</v>
      </c>
      <c r="M186" s="315"/>
      <c r="N186" s="245">
        <v>37.1</v>
      </c>
      <c r="O186" s="245"/>
      <c r="P186" s="245"/>
      <c r="Q186" s="245"/>
      <c r="R186" s="245"/>
      <c r="S186" s="245">
        <f t="shared" si="2"/>
        <v>37.1</v>
      </c>
      <c r="T186" s="278"/>
      <c r="U186" s="245"/>
    </row>
    <row r="187" spans="4:21" ht="47.25">
      <c r="D187" s="294" t="s">
        <v>623</v>
      </c>
      <c r="E187" s="261" t="s">
        <v>424</v>
      </c>
      <c r="F187" s="246">
        <v>1</v>
      </c>
      <c r="G187" s="245">
        <v>13.8</v>
      </c>
      <c r="H187" s="245"/>
      <c r="I187" s="245"/>
      <c r="J187" s="245">
        <v>4.5</v>
      </c>
      <c r="K187" s="245">
        <v>2.2999999999999998</v>
      </c>
      <c r="L187" s="245">
        <v>14.8</v>
      </c>
      <c r="M187" s="315"/>
      <c r="N187" s="245">
        <v>34.200000000000003</v>
      </c>
      <c r="O187" s="245"/>
      <c r="P187" s="245"/>
      <c r="Q187" s="245"/>
      <c r="R187" s="245"/>
      <c r="S187" s="245">
        <f t="shared" si="2"/>
        <v>34.200000000000003</v>
      </c>
      <c r="T187" s="278"/>
      <c r="U187" s="245"/>
    </row>
    <row r="188" spans="4:21" ht="47.25">
      <c r="D188" s="294" t="s">
        <v>624</v>
      </c>
      <c r="E188" s="261" t="s">
        <v>424</v>
      </c>
      <c r="F188" s="246">
        <v>1</v>
      </c>
      <c r="G188" s="245">
        <v>13.8</v>
      </c>
      <c r="H188" s="245"/>
      <c r="I188" s="245"/>
      <c r="J188" s="245">
        <v>4.5</v>
      </c>
      <c r="K188" s="245">
        <v>2.2999999999999998</v>
      </c>
      <c r="L188" s="245">
        <v>14.8</v>
      </c>
      <c r="M188" s="315"/>
      <c r="N188" s="245">
        <v>34.200000000000003</v>
      </c>
      <c r="O188" s="245"/>
      <c r="P188" s="245"/>
      <c r="Q188" s="245"/>
      <c r="R188" s="245"/>
      <c r="S188" s="245">
        <f t="shared" si="2"/>
        <v>34.200000000000003</v>
      </c>
      <c r="T188" s="278"/>
      <c r="U188" s="245"/>
    </row>
    <row r="189" spans="4:21" ht="47.25">
      <c r="D189" s="294" t="s">
        <v>625</v>
      </c>
      <c r="E189" s="261" t="s">
        <v>424</v>
      </c>
      <c r="F189" s="246">
        <v>1</v>
      </c>
      <c r="G189" s="245">
        <v>13.8</v>
      </c>
      <c r="H189" s="245"/>
      <c r="I189" s="245"/>
      <c r="J189" s="245">
        <v>4.5</v>
      </c>
      <c r="K189" s="245">
        <v>2.2999999999999998</v>
      </c>
      <c r="L189" s="245">
        <v>14.8</v>
      </c>
      <c r="M189" s="315"/>
      <c r="N189" s="245">
        <v>34.200000000000003</v>
      </c>
      <c r="O189" s="245"/>
      <c r="P189" s="245"/>
      <c r="Q189" s="245"/>
      <c r="R189" s="245"/>
      <c r="S189" s="245">
        <f t="shared" si="2"/>
        <v>34.200000000000003</v>
      </c>
      <c r="T189" s="278"/>
      <c r="U189" s="245"/>
    </row>
    <row r="190" spans="4:21" ht="47.25">
      <c r="D190" s="294" t="s">
        <v>626</v>
      </c>
      <c r="E190" s="261" t="s">
        <v>425</v>
      </c>
      <c r="F190" s="246">
        <v>1</v>
      </c>
      <c r="G190" s="245">
        <v>47.9</v>
      </c>
      <c r="H190" s="245"/>
      <c r="I190" s="245"/>
      <c r="J190" s="245">
        <v>15.4</v>
      </c>
      <c r="K190" s="245">
        <v>8</v>
      </c>
      <c r="L190" s="245">
        <v>10.3</v>
      </c>
      <c r="M190" s="315"/>
      <c r="N190" s="245">
        <v>82.6</v>
      </c>
      <c r="O190" s="245"/>
      <c r="P190" s="245"/>
      <c r="Q190" s="245"/>
      <c r="R190" s="245"/>
      <c r="S190" s="245">
        <f t="shared" si="2"/>
        <v>82.6</v>
      </c>
      <c r="T190" s="278"/>
      <c r="U190" s="245"/>
    </row>
    <row r="191" spans="4:21" ht="47.25">
      <c r="D191" s="294" t="s">
        <v>627</v>
      </c>
      <c r="E191" s="261" t="s">
        <v>426</v>
      </c>
      <c r="F191" s="246">
        <v>1</v>
      </c>
      <c r="G191" s="245">
        <v>13.8</v>
      </c>
      <c r="H191" s="245"/>
      <c r="I191" s="245"/>
      <c r="J191" s="245">
        <v>4.5</v>
      </c>
      <c r="K191" s="245">
        <v>2.2999999999999998</v>
      </c>
      <c r="L191" s="245">
        <v>14.8</v>
      </c>
      <c r="M191" s="315"/>
      <c r="N191" s="245">
        <v>34.200000000000003</v>
      </c>
      <c r="O191" s="245"/>
      <c r="P191" s="245"/>
      <c r="Q191" s="245"/>
      <c r="R191" s="245"/>
      <c r="S191" s="245">
        <f t="shared" si="2"/>
        <v>34.200000000000003</v>
      </c>
      <c r="T191" s="278"/>
      <c r="U191" s="245"/>
    </row>
    <row r="192" spans="4:21" ht="47.25">
      <c r="D192" s="294" t="s">
        <v>628</v>
      </c>
      <c r="E192" s="261" t="s">
        <v>427</v>
      </c>
      <c r="F192" s="246">
        <v>1</v>
      </c>
      <c r="G192" s="245">
        <v>13.8</v>
      </c>
      <c r="H192" s="245"/>
      <c r="I192" s="245"/>
      <c r="J192" s="245">
        <v>4.5</v>
      </c>
      <c r="K192" s="245">
        <v>2.2999999999999998</v>
      </c>
      <c r="L192" s="245">
        <v>14.8</v>
      </c>
      <c r="M192" s="315"/>
      <c r="N192" s="245">
        <v>34.200000000000003</v>
      </c>
      <c r="O192" s="245"/>
      <c r="P192" s="245"/>
      <c r="Q192" s="245"/>
      <c r="R192" s="245"/>
      <c r="S192" s="245">
        <f t="shared" si="2"/>
        <v>34.200000000000003</v>
      </c>
      <c r="T192" s="278"/>
      <c r="U192" s="245"/>
    </row>
    <row r="193" spans="4:21" ht="47.25">
      <c r="D193" s="294" t="s">
        <v>629</v>
      </c>
      <c r="E193" s="261" t="s">
        <v>428</v>
      </c>
      <c r="F193" s="246">
        <v>1</v>
      </c>
      <c r="G193" s="245">
        <v>15.3</v>
      </c>
      <c r="H193" s="245"/>
      <c r="I193" s="245"/>
      <c r="J193" s="245">
        <v>4.9000000000000004</v>
      </c>
      <c r="K193" s="245">
        <v>2.6</v>
      </c>
      <c r="L193" s="245">
        <v>22.3</v>
      </c>
      <c r="M193" s="315"/>
      <c r="N193" s="245">
        <v>57</v>
      </c>
      <c r="O193" s="245"/>
      <c r="P193" s="245"/>
      <c r="Q193" s="245"/>
      <c r="R193" s="245"/>
      <c r="S193" s="245">
        <f t="shared" si="2"/>
        <v>57</v>
      </c>
      <c r="T193" s="278"/>
      <c r="U193" s="245"/>
    </row>
    <row r="194" spans="4:21" ht="47.25">
      <c r="D194" s="294" t="s">
        <v>630</v>
      </c>
      <c r="E194" s="261" t="s">
        <v>430</v>
      </c>
      <c r="F194" s="246">
        <v>1</v>
      </c>
      <c r="G194" s="245">
        <v>13.8</v>
      </c>
      <c r="H194" s="245"/>
      <c r="I194" s="245"/>
      <c r="J194" s="245">
        <v>4.5</v>
      </c>
      <c r="K194" s="245">
        <v>2.2999999999999998</v>
      </c>
      <c r="L194" s="245">
        <v>14.8</v>
      </c>
      <c r="M194" s="315"/>
      <c r="N194" s="245">
        <v>34.200000000000003</v>
      </c>
      <c r="O194" s="245"/>
      <c r="P194" s="245"/>
      <c r="Q194" s="245"/>
      <c r="R194" s="245"/>
      <c r="S194" s="245">
        <f t="shared" si="2"/>
        <v>34.200000000000003</v>
      </c>
      <c r="T194" s="278"/>
      <c r="U194" s="245"/>
    </row>
    <row r="195" spans="4:21" ht="47.25">
      <c r="D195" s="294" t="s">
        <v>631</v>
      </c>
      <c r="E195" s="261" t="s">
        <v>431</v>
      </c>
      <c r="F195" s="246">
        <v>1</v>
      </c>
      <c r="G195" s="245">
        <v>24.5</v>
      </c>
      <c r="H195" s="245"/>
      <c r="I195" s="245"/>
      <c r="J195" s="245">
        <v>7.9</v>
      </c>
      <c r="K195" s="245">
        <v>4.0999999999999996</v>
      </c>
      <c r="L195" s="245">
        <v>18.8</v>
      </c>
      <c r="M195" s="315"/>
      <c r="N195" s="245">
        <v>76.900000000000006</v>
      </c>
      <c r="O195" s="245"/>
      <c r="P195" s="245"/>
      <c r="Q195" s="245"/>
      <c r="R195" s="245"/>
      <c r="S195" s="245">
        <f t="shared" si="2"/>
        <v>76.900000000000006</v>
      </c>
      <c r="T195" s="278"/>
      <c r="U195" s="245"/>
    </row>
    <row r="196" spans="4:21" ht="47.25">
      <c r="D196" s="294" t="s">
        <v>632</v>
      </c>
      <c r="E196" s="261" t="s">
        <v>432</v>
      </c>
      <c r="F196" s="246">
        <v>1</v>
      </c>
      <c r="G196" s="245">
        <v>47.9</v>
      </c>
      <c r="H196" s="245"/>
      <c r="I196" s="245"/>
      <c r="J196" s="245">
        <v>15.4</v>
      </c>
      <c r="K196" s="245">
        <v>8</v>
      </c>
      <c r="L196" s="245">
        <v>10.3</v>
      </c>
      <c r="M196" s="315"/>
      <c r="N196" s="245">
        <v>82.6</v>
      </c>
      <c r="O196" s="245"/>
      <c r="P196" s="245"/>
      <c r="Q196" s="245"/>
      <c r="R196" s="245"/>
      <c r="S196" s="245">
        <f t="shared" si="2"/>
        <v>82.6</v>
      </c>
      <c r="T196" s="278"/>
      <c r="U196" s="245"/>
    </row>
    <row r="197" spans="4:21" ht="47.25">
      <c r="D197" s="294" t="s">
        <v>633</v>
      </c>
      <c r="E197" s="261" t="s">
        <v>433</v>
      </c>
      <c r="F197" s="246">
        <v>1</v>
      </c>
      <c r="G197" s="245">
        <v>13.8</v>
      </c>
      <c r="H197" s="245"/>
      <c r="I197" s="245"/>
      <c r="J197" s="245">
        <v>4.5</v>
      </c>
      <c r="K197" s="245">
        <v>2.2999999999999998</v>
      </c>
      <c r="L197" s="245">
        <v>14.8</v>
      </c>
      <c r="M197" s="315"/>
      <c r="N197" s="245">
        <v>34.200000000000003</v>
      </c>
      <c r="O197" s="245"/>
      <c r="P197" s="245"/>
      <c r="Q197" s="245"/>
      <c r="R197" s="245"/>
      <c r="S197" s="245">
        <f t="shared" si="2"/>
        <v>34.200000000000003</v>
      </c>
      <c r="T197" s="278"/>
      <c r="U197" s="245"/>
    </row>
    <row r="198" spans="4:21" ht="47.25">
      <c r="D198" s="294" t="s">
        <v>634</v>
      </c>
      <c r="E198" s="261" t="s">
        <v>433</v>
      </c>
      <c r="F198" s="246">
        <v>1</v>
      </c>
      <c r="G198" s="245">
        <v>13.8</v>
      </c>
      <c r="H198" s="245"/>
      <c r="I198" s="245"/>
      <c r="J198" s="245">
        <v>4.5</v>
      </c>
      <c r="K198" s="245">
        <v>2.2999999999999998</v>
      </c>
      <c r="L198" s="245">
        <v>14.8</v>
      </c>
      <c r="M198" s="315"/>
      <c r="N198" s="245">
        <v>34.200000000000003</v>
      </c>
      <c r="O198" s="245"/>
      <c r="P198" s="245"/>
      <c r="Q198" s="245"/>
      <c r="R198" s="245"/>
      <c r="S198" s="245">
        <f t="shared" si="2"/>
        <v>34.200000000000003</v>
      </c>
      <c r="T198" s="278"/>
      <c r="U198" s="245"/>
    </row>
    <row r="199" spans="4:21" ht="47.25">
      <c r="D199" s="294" t="s">
        <v>635</v>
      </c>
      <c r="E199" s="261" t="s">
        <v>434</v>
      </c>
      <c r="F199" s="246">
        <v>1</v>
      </c>
      <c r="G199" s="245">
        <v>47.9</v>
      </c>
      <c r="H199" s="245"/>
      <c r="I199" s="245"/>
      <c r="J199" s="245">
        <v>15.4</v>
      </c>
      <c r="K199" s="245">
        <v>8</v>
      </c>
      <c r="L199" s="245">
        <v>10.3</v>
      </c>
      <c r="M199" s="315"/>
      <c r="N199" s="245">
        <v>82.6</v>
      </c>
      <c r="O199" s="245"/>
      <c r="P199" s="245"/>
      <c r="Q199" s="245"/>
      <c r="R199" s="245"/>
      <c r="S199" s="245">
        <f t="shared" si="2"/>
        <v>82.6</v>
      </c>
      <c r="T199" s="278"/>
      <c r="U199" s="245"/>
    </row>
    <row r="200" spans="4:21" ht="47.25">
      <c r="D200" s="294" t="s">
        <v>636</v>
      </c>
      <c r="E200" s="261" t="s">
        <v>435</v>
      </c>
      <c r="F200" s="246">
        <v>1</v>
      </c>
      <c r="G200" s="245">
        <v>13.8</v>
      </c>
      <c r="H200" s="245"/>
      <c r="I200" s="245"/>
      <c r="J200" s="245">
        <v>4.5</v>
      </c>
      <c r="K200" s="245">
        <v>2.2999999999999998</v>
      </c>
      <c r="L200" s="245">
        <v>14.8</v>
      </c>
      <c r="M200" s="315"/>
      <c r="N200" s="245">
        <v>34.200000000000003</v>
      </c>
      <c r="O200" s="245"/>
      <c r="P200" s="245"/>
      <c r="Q200" s="245"/>
      <c r="R200" s="245"/>
      <c r="S200" s="245">
        <f t="shared" si="2"/>
        <v>34.200000000000003</v>
      </c>
      <c r="T200" s="278"/>
      <c r="U200" s="245"/>
    </row>
    <row r="201" spans="4:21" ht="47.25">
      <c r="D201" s="294" t="s">
        <v>637</v>
      </c>
      <c r="E201" s="261" t="s">
        <v>493</v>
      </c>
      <c r="F201" s="246">
        <v>1</v>
      </c>
      <c r="G201" s="245">
        <v>24.5</v>
      </c>
      <c r="H201" s="245"/>
      <c r="I201" s="245"/>
      <c r="J201" s="245">
        <v>7.9</v>
      </c>
      <c r="K201" s="245">
        <v>4.0999999999999996</v>
      </c>
      <c r="L201" s="245">
        <v>18.8</v>
      </c>
      <c r="M201" s="315"/>
      <c r="N201" s="245">
        <v>76.900000000000006</v>
      </c>
      <c r="O201" s="245"/>
      <c r="P201" s="245"/>
      <c r="Q201" s="245"/>
      <c r="R201" s="245"/>
      <c r="S201" s="245">
        <f t="shared" si="2"/>
        <v>76.900000000000006</v>
      </c>
      <c r="T201" s="278"/>
      <c r="U201" s="245"/>
    </row>
    <row r="202" spans="4:21" ht="47.25">
      <c r="D202" s="294" t="s">
        <v>638</v>
      </c>
      <c r="E202" s="261" t="s">
        <v>436</v>
      </c>
      <c r="F202" s="246">
        <v>1</v>
      </c>
      <c r="G202" s="245">
        <v>24.5</v>
      </c>
      <c r="H202" s="245"/>
      <c r="I202" s="245"/>
      <c r="J202" s="245">
        <v>7.9</v>
      </c>
      <c r="K202" s="245">
        <v>4.0999999999999996</v>
      </c>
      <c r="L202" s="245">
        <v>18.8</v>
      </c>
      <c r="M202" s="315"/>
      <c r="N202" s="245">
        <v>76.900000000000006</v>
      </c>
      <c r="O202" s="245"/>
      <c r="P202" s="245"/>
      <c r="Q202" s="245"/>
      <c r="R202" s="245"/>
      <c r="S202" s="245">
        <f t="shared" si="2"/>
        <v>76.900000000000006</v>
      </c>
      <c r="T202" s="278"/>
      <c r="U202" s="245"/>
    </row>
    <row r="203" spans="4:21" ht="47.25">
      <c r="D203" s="294" t="s">
        <v>639</v>
      </c>
      <c r="E203" s="261" t="s">
        <v>437</v>
      </c>
      <c r="F203" s="246">
        <v>1</v>
      </c>
      <c r="G203" s="245">
        <v>24.5</v>
      </c>
      <c r="H203" s="245"/>
      <c r="I203" s="245"/>
      <c r="J203" s="245">
        <v>7.9</v>
      </c>
      <c r="K203" s="245">
        <v>4.0999999999999996</v>
      </c>
      <c r="L203" s="245">
        <v>18.8</v>
      </c>
      <c r="M203" s="315"/>
      <c r="N203" s="245">
        <v>76.900000000000006</v>
      </c>
      <c r="O203" s="245"/>
      <c r="P203" s="245"/>
      <c r="Q203" s="245"/>
      <c r="R203" s="245"/>
      <c r="S203" s="245">
        <f t="shared" si="2"/>
        <v>76.900000000000006</v>
      </c>
      <c r="T203" s="278"/>
      <c r="U203" s="245"/>
    </row>
    <row r="204" spans="4:21" ht="47.25">
      <c r="D204" s="294" t="s">
        <v>640</v>
      </c>
      <c r="E204" s="261" t="s">
        <v>440</v>
      </c>
      <c r="F204" s="246">
        <v>1</v>
      </c>
      <c r="G204" s="245">
        <v>47.9</v>
      </c>
      <c r="H204" s="245"/>
      <c r="I204" s="245"/>
      <c r="J204" s="245">
        <v>15.4</v>
      </c>
      <c r="K204" s="245">
        <v>8</v>
      </c>
      <c r="L204" s="245">
        <v>10.3</v>
      </c>
      <c r="M204" s="315"/>
      <c r="N204" s="245">
        <v>82.6</v>
      </c>
      <c r="O204" s="245"/>
      <c r="P204" s="245"/>
      <c r="Q204" s="245"/>
      <c r="R204" s="245"/>
      <c r="S204" s="245">
        <f t="shared" si="2"/>
        <v>82.6</v>
      </c>
      <c r="T204" s="278"/>
      <c r="U204" s="245"/>
    </row>
    <row r="205" spans="4:21" ht="47.25">
      <c r="D205" s="294" t="s">
        <v>641</v>
      </c>
      <c r="E205" s="261" t="s">
        <v>441</v>
      </c>
      <c r="F205" s="246">
        <v>1</v>
      </c>
      <c r="G205" s="245">
        <v>24.5</v>
      </c>
      <c r="H205" s="245"/>
      <c r="I205" s="245"/>
      <c r="J205" s="245">
        <v>7.9</v>
      </c>
      <c r="K205" s="245">
        <v>4.0999999999999996</v>
      </c>
      <c r="L205" s="245">
        <v>18.8</v>
      </c>
      <c r="M205" s="315"/>
      <c r="N205" s="245">
        <v>76.900000000000006</v>
      </c>
      <c r="O205" s="245"/>
      <c r="P205" s="245"/>
      <c r="Q205" s="245"/>
      <c r="R205" s="245"/>
      <c r="S205" s="245">
        <f t="shared" si="2"/>
        <v>76.900000000000006</v>
      </c>
      <c r="T205" s="278"/>
      <c r="U205" s="245"/>
    </row>
    <row r="206" spans="4:21" ht="47.25">
      <c r="D206" s="294" t="s">
        <v>642</v>
      </c>
      <c r="E206" s="261" t="s">
        <v>442</v>
      </c>
      <c r="F206" s="246">
        <v>1</v>
      </c>
      <c r="G206" s="245">
        <v>13.8</v>
      </c>
      <c r="H206" s="245"/>
      <c r="I206" s="245"/>
      <c r="J206" s="245">
        <v>4.5</v>
      </c>
      <c r="K206" s="245">
        <v>2.2999999999999998</v>
      </c>
      <c r="L206" s="245">
        <v>14.8</v>
      </c>
      <c r="M206" s="315"/>
      <c r="N206" s="245">
        <v>34.200000000000003</v>
      </c>
      <c r="O206" s="245"/>
      <c r="P206" s="245"/>
      <c r="Q206" s="245"/>
      <c r="R206" s="245"/>
      <c r="S206" s="245">
        <f t="shared" si="2"/>
        <v>34.200000000000003</v>
      </c>
      <c r="T206" s="278"/>
      <c r="U206" s="245"/>
    </row>
    <row r="207" spans="4:21" ht="47.25">
      <c r="D207" s="294" t="s">
        <v>643</v>
      </c>
      <c r="E207" s="261" t="s">
        <v>442</v>
      </c>
      <c r="F207" s="246">
        <v>1</v>
      </c>
      <c r="G207" s="245">
        <v>13.8</v>
      </c>
      <c r="H207" s="245"/>
      <c r="I207" s="245"/>
      <c r="J207" s="245">
        <v>4.5</v>
      </c>
      <c r="K207" s="245">
        <v>2.2999999999999998</v>
      </c>
      <c r="L207" s="245">
        <v>14.8</v>
      </c>
      <c r="M207" s="315"/>
      <c r="N207" s="245">
        <v>34.200000000000003</v>
      </c>
      <c r="O207" s="245"/>
      <c r="P207" s="245"/>
      <c r="Q207" s="245"/>
      <c r="R207" s="245"/>
      <c r="S207" s="245">
        <f t="shared" si="2"/>
        <v>34.200000000000003</v>
      </c>
      <c r="T207" s="278"/>
      <c r="U207" s="245"/>
    </row>
    <row r="208" spans="4:21" ht="47.25">
      <c r="D208" s="294" t="s">
        <v>644</v>
      </c>
      <c r="E208" s="261" t="s">
        <v>445</v>
      </c>
      <c r="F208" s="246">
        <v>1</v>
      </c>
      <c r="G208" s="245">
        <v>47.9</v>
      </c>
      <c r="H208" s="245"/>
      <c r="I208" s="245"/>
      <c r="J208" s="245">
        <v>15.4</v>
      </c>
      <c r="K208" s="245">
        <v>8</v>
      </c>
      <c r="L208" s="245">
        <v>10.3</v>
      </c>
      <c r="M208" s="315"/>
      <c r="N208" s="245">
        <v>82.6</v>
      </c>
      <c r="O208" s="245"/>
      <c r="P208" s="245"/>
      <c r="Q208" s="245"/>
      <c r="R208" s="245"/>
      <c r="S208" s="245">
        <f t="shared" si="2"/>
        <v>82.6</v>
      </c>
      <c r="T208" s="278"/>
      <c r="U208" s="245"/>
    </row>
    <row r="209" spans="4:21" ht="47.25">
      <c r="D209" s="294" t="s">
        <v>645</v>
      </c>
      <c r="E209" s="261" t="s">
        <v>446</v>
      </c>
      <c r="F209" s="246">
        <v>1</v>
      </c>
      <c r="G209" s="245">
        <v>13.8</v>
      </c>
      <c r="H209" s="245"/>
      <c r="I209" s="245"/>
      <c r="J209" s="245">
        <v>4.5</v>
      </c>
      <c r="K209" s="245">
        <v>2.2999999999999998</v>
      </c>
      <c r="L209" s="245">
        <v>14.8</v>
      </c>
      <c r="M209" s="315"/>
      <c r="N209" s="245">
        <v>34.200000000000003</v>
      </c>
      <c r="O209" s="245"/>
      <c r="P209" s="245"/>
      <c r="Q209" s="245"/>
      <c r="R209" s="245"/>
      <c r="S209" s="245">
        <f t="shared" si="2"/>
        <v>34.200000000000003</v>
      </c>
      <c r="T209" s="278"/>
      <c r="U209" s="245"/>
    </row>
    <row r="210" spans="4:21" ht="47.25">
      <c r="D210" s="294" t="s">
        <v>646</v>
      </c>
      <c r="E210" s="261" t="s">
        <v>448</v>
      </c>
      <c r="F210" s="246">
        <v>1</v>
      </c>
      <c r="G210" s="245">
        <v>13.9</v>
      </c>
      <c r="H210" s="245"/>
      <c r="I210" s="245"/>
      <c r="J210" s="245">
        <v>4.5</v>
      </c>
      <c r="K210" s="245">
        <v>2.2999999999999998</v>
      </c>
      <c r="L210" s="245">
        <v>14.7</v>
      </c>
      <c r="M210" s="315"/>
      <c r="N210" s="245">
        <v>34.200000000000003</v>
      </c>
      <c r="O210" s="245"/>
      <c r="P210" s="245"/>
      <c r="Q210" s="245"/>
      <c r="R210" s="245"/>
      <c r="S210" s="245">
        <f t="shared" si="2"/>
        <v>34.200000000000003</v>
      </c>
      <c r="T210" s="278"/>
      <c r="U210" s="245"/>
    </row>
    <row r="211" spans="4:21" ht="47.25">
      <c r="D211" s="294" t="s">
        <v>647</v>
      </c>
      <c r="E211" s="261" t="s">
        <v>447</v>
      </c>
      <c r="F211" s="246">
        <v>1</v>
      </c>
      <c r="G211" s="245">
        <v>47.9</v>
      </c>
      <c r="H211" s="245"/>
      <c r="I211" s="245"/>
      <c r="J211" s="245">
        <v>15.4</v>
      </c>
      <c r="K211" s="245">
        <v>8</v>
      </c>
      <c r="L211" s="245">
        <v>10.3</v>
      </c>
      <c r="M211" s="315"/>
      <c r="N211" s="245">
        <v>82.6</v>
      </c>
      <c r="O211" s="245"/>
      <c r="P211" s="245"/>
      <c r="Q211" s="245"/>
      <c r="R211" s="245"/>
      <c r="S211" s="245">
        <f t="shared" si="2"/>
        <v>82.6</v>
      </c>
      <c r="T211" s="278"/>
      <c r="U211" s="245"/>
    </row>
    <row r="212" spans="4:21" ht="47.25">
      <c r="D212" s="294" t="s">
        <v>648</v>
      </c>
      <c r="E212" s="261" t="s">
        <v>449</v>
      </c>
      <c r="F212" s="246">
        <v>1</v>
      </c>
      <c r="G212" s="245">
        <v>47.9</v>
      </c>
      <c r="H212" s="245"/>
      <c r="I212" s="245"/>
      <c r="J212" s="245">
        <v>15.4</v>
      </c>
      <c r="K212" s="245">
        <v>8</v>
      </c>
      <c r="L212" s="245">
        <v>10.3</v>
      </c>
      <c r="M212" s="315"/>
      <c r="N212" s="245">
        <v>82.6</v>
      </c>
      <c r="O212" s="245"/>
      <c r="P212" s="245"/>
      <c r="Q212" s="245"/>
      <c r="R212" s="245"/>
      <c r="S212" s="245">
        <f t="shared" si="2"/>
        <v>82.6</v>
      </c>
      <c r="T212" s="278"/>
      <c r="U212" s="245"/>
    </row>
    <row r="213" spans="4:21" ht="47.25">
      <c r="D213" s="294" t="s">
        <v>649</v>
      </c>
      <c r="E213" s="261" t="s">
        <v>450</v>
      </c>
      <c r="F213" s="246">
        <v>1</v>
      </c>
      <c r="G213" s="245">
        <v>13.8</v>
      </c>
      <c r="H213" s="245"/>
      <c r="I213" s="245"/>
      <c r="J213" s="245">
        <v>4.5</v>
      </c>
      <c r="K213" s="245">
        <v>2.2999999999999998</v>
      </c>
      <c r="L213" s="245">
        <v>14.8</v>
      </c>
      <c r="M213" s="315"/>
      <c r="N213" s="245">
        <v>34.200000000000003</v>
      </c>
      <c r="O213" s="245"/>
      <c r="P213" s="245"/>
      <c r="Q213" s="245"/>
      <c r="R213" s="245"/>
      <c r="S213" s="245">
        <f t="shared" si="2"/>
        <v>34.200000000000003</v>
      </c>
      <c r="T213" s="278"/>
      <c r="U213" s="245"/>
    </row>
    <row r="214" spans="4:21" ht="47.25">
      <c r="D214" s="294" t="s">
        <v>650</v>
      </c>
      <c r="E214" s="261" t="s">
        <v>450</v>
      </c>
      <c r="F214" s="246">
        <v>1</v>
      </c>
      <c r="G214" s="245">
        <v>13.8</v>
      </c>
      <c r="H214" s="245"/>
      <c r="I214" s="245"/>
      <c r="J214" s="245">
        <v>4.5</v>
      </c>
      <c r="K214" s="245">
        <v>2.2999999999999998</v>
      </c>
      <c r="L214" s="245">
        <v>14.8</v>
      </c>
      <c r="M214" s="315"/>
      <c r="N214" s="245">
        <v>34.200000000000003</v>
      </c>
      <c r="O214" s="245"/>
      <c r="P214" s="245"/>
      <c r="Q214" s="245"/>
      <c r="R214" s="245"/>
      <c r="S214" s="245">
        <f t="shared" si="2"/>
        <v>34.200000000000003</v>
      </c>
      <c r="T214" s="278"/>
      <c r="U214" s="245"/>
    </row>
    <row r="215" spans="4:21" ht="47.25">
      <c r="D215" s="294" t="s">
        <v>651</v>
      </c>
      <c r="E215" s="261" t="s">
        <v>452</v>
      </c>
      <c r="F215" s="246">
        <v>1</v>
      </c>
      <c r="G215" s="245">
        <v>15.3</v>
      </c>
      <c r="H215" s="245"/>
      <c r="I215" s="245"/>
      <c r="J215" s="245">
        <v>4.9000000000000004</v>
      </c>
      <c r="K215" s="245">
        <v>2.6</v>
      </c>
      <c r="L215" s="245">
        <v>22.3</v>
      </c>
      <c r="M215" s="315"/>
      <c r="N215" s="245">
        <v>57</v>
      </c>
      <c r="O215" s="245"/>
      <c r="P215" s="245"/>
      <c r="Q215" s="245"/>
      <c r="R215" s="245"/>
      <c r="S215" s="245">
        <f t="shared" si="2"/>
        <v>57</v>
      </c>
      <c r="T215" s="278"/>
      <c r="U215" s="245"/>
    </row>
    <row r="216" spans="4:21" ht="47.25">
      <c r="D216" s="294" t="s">
        <v>652</v>
      </c>
      <c r="E216" s="261" t="s">
        <v>452</v>
      </c>
      <c r="F216" s="246">
        <v>1</v>
      </c>
      <c r="G216" s="245">
        <v>15.3</v>
      </c>
      <c r="H216" s="245"/>
      <c r="I216" s="245"/>
      <c r="J216" s="245">
        <v>4.9000000000000004</v>
      </c>
      <c r="K216" s="245">
        <v>2.6</v>
      </c>
      <c r="L216" s="245">
        <v>22.3</v>
      </c>
      <c r="M216" s="315"/>
      <c r="N216" s="245">
        <v>57</v>
      </c>
      <c r="O216" s="245"/>
      <c r="P216" s="245"/>
      <c r="Q216" s="245"/>
      <c r="R216" s="245"/>
      <c r="S216" s="245">
        <f t="shared" si="2"/>
        <v>57</v>
      </c>
      <c r="T216" s="278"/>
      <c r="U216" s="245"/>
    </row>
    <row r="217" spans="4:21" ht="47.25">
      <c r="D217" s="294" t="s">
        <v>653</v>
      </c>
      <c r="E217" s="261" t="s">
        <v>454</v>
      </c>
      <c r="F217" s="246">
        <v>1</v>
      </c>
      <c r="G217" s="245">
        <v>12.2</v>
      </c>
      <c r="H217" s="245"/>
      <c r="I217" s="245"/>
      <c r="J217" s="245">
        <v>3.9</v>
      </c>
      <c r="K217" s="245">
        <v>2</v>
      </c>
      <c r="L217" s="245">
        <v>15.4</v>
      </c>
      <c r="M217" s="315"/>
      <c r="N217" s="245">
        <v>31.3</v>
      </c>
      <c r="O217" s="245"/>
      <c r="P217" s="245"/>
      <c r="Q217" s="245"/>
      <c r="R217" s="245"/>
      <c r="S217" s="245">
        <f t="shared" si="2"/>
        <v>31.3</v>
      </c>
      <c r="T217" s="278"/>
      <c r="U217" s="245"/>
    </row>
    <row r="218" spans="4:21" ht="47.25">
      <c r="D218" s="294" t="s">
        <v>654</v>
      </c>
      <c r="E218" s="261" t="s">
        <v>452</v>
      </c>
      <c r="F218" s="246">
        <v>1</v>
      </c>
      <c r="G218" s="245">
        <v>15.3</v>
      </c>
      <c r="H218" s="245"/>
      <c r="I218" s="245"/>
      <c r="J218" s="245">
        <v>4.9000000000000004</v>
      </c>
      <c r="K218" s="245">
        <v>2.6</v>
      </c>
      <c r="L218" s="245">
        <v>22.3</v>
      </c>
      <c r="M218" s="315"/>
      <c r="N218" s="245">
        <v>57</v>
      </c>
      <c r="O218" s="245"/>
      <c r="P218" s="245"/>
      <c r="Q218" s="245"/>
      <c r="R218" s="245"/>
      <c r="S218" s="245">
        <f t="shared" si="2"/>
        <v>57</v>
      </c>
      <c r="T218" s="278"/>
      <c r="U218" s="245"/>
    </row>
    <row r="219" spans="4:21" ht="47.25">
      <c r="D219" s="294" t="s">
        <v>655</v>
      </c>
      <c r="E219" s="261" t="s">
        <v>455</v>
      </c>
      <c r="F219" s="246">
        <v>1</v>
      </c>
      <c r="G219" s="245">
        <v>24.5</v>
      </c>
      <c r="H219" s="245"/>
      <c r="I219" s="245"/>
      <c r="J219" s="245">
        <v>7.9</v>
      </c>
      <c r="K219" s="245">
        <v>4.0999999999999996</v>
      </c>
      <c r="L219" s="245">
        <v>18.8</v>
      </c>
      <c r="M219" s="315"/>
      <c r="N219" s="245">
        <v>76.900000000000006</v>
      </c>
      <c r="O219" s="245"/>
      <c r="P219" s="245"/>
      <c r="Q219" s="245"/>
      <c r="R219" s="245"/>
      <c r="S219" s="245">
        <f t="shared" si="2"/>
        <v>76.900000000000006</v>
      </c>
      <c r="T219" s="278"/>
      <c r="U219" s="245"/>
    </row>
    <row r="220" spans="4:21" ht="47.25">
      <c r="D220" s="294" t="s">
        <v>656</v>
      </c>
      <c r="E220" s="261" t="s">
        <v>458</v>
      </c>
      <c r="F220" s="246">
        <v>1</v>
      </c>
      <c r="G220" s="245">
        <v>15.3</v>
      </c>
      <c r="H220" s="245"/>
      <c r="I220" s="245"/>
      <c r="J220" s="245">
        <v>4.9000000000000004</v>
      </c>
      <c r="K220" s="245">
        <v>2.6</v>
      </c>
      <c r="L220" s="245">
        <v>22.3</v>
      </c>
      <c r="M220" s="315"/>
      <c r="N220" s="245">
        <v>57</v>
      </c>
      <c r="O220" s="245"/>
      <c r="P220" s="245"/>
      <c r="Q220" s="245"/>
      <c r="R220" s="245"/>
      <c r="S220" s="245">
        <f t="shared" si="2"/>
        <v>57</v>
      </c>
      <c r="T220" s="278"/>
      <c r="U220" s="245"/>
    </row>
    <row r="221" spans="4:21" ht="47.25">
      <c r="D221" s="294" t="s">
        <v>657</v>
      </c>
      <c r="E221" s="261" t="s">
        <v>459</v>
      </c>
      <c r="F221" s="246">
        <v>1</v>
      </c>
      <c r="G221" s="245">
        <v>7</v>
      </c>
      <c r="H221" s="245"/>
      <c r="I221" s="245"/>
      <c r="J221" s="245">
        <v>2.2000000000000002</v>
      </c>
      <c r="K221" s="245">
        <v>1.2</v>
      </c>
      <c r="L221" s="245">
        <v>34.299999999999997</v>
      </c>
      <c r="M221" s="315"/>
      <c r="N221" s="245">
        <v>39.9</v>
      </c>
      <c r="O221" s="245"/>
      <c r="P221" s="245"/>
      <c r="Q221" s="245"/>
      <c r="R221" s="245"/>
      <c r="S221" s="245">
        <f t="shared" si="2"/>
        <v>39.9</v>
      </c>
      <c r="T221" s="278"/>
      <c r="U221" s="245"/>
    </row>
    <row r="222" spans="4:21" ht="47.25">
      <c r="D222" s="294" t="s">
        <v>658</v>
      </c>
      <c r="E222" s="261" t="s">
        <v>460</v>
      </c>
      <c r="F222" s="246">
        <v>1</v>
      </c>
      <c r="G222" s="245">
        <v>15.3</v>
      </c>
      <c r="H222" s="245"/>
      <c r="I222" s="245"/>
      <c r="J222" s="245">
        <v>4.9000000000000004</v>
      </c>
      <c r="K222" s="245">
        <v>2.6</v>
      </c>
      <c r="L222" s="245">
        <v>22.3</v>
      </c>
      <c r="M222" s="315"/>
      <c r="N222" s="245">
        <v>57</v>
      </c>
      <c r="O222" s="245"/>
      <c r="P222" s="245"/>
      <c r="Q222" s="245"/>
      <c r="R222" s="245"/>
      <c r="S222" s="245">
        <f t="shared" si="2"/>
        <v>57</v>
      </c>
      <c r="T222" s="278"/>
      <c r="U222" s="245"/>
    </row>
    <row r="223" spans="4:21" ht="47.25">
      <c r="D223" s="294" t="s">
        <v>659</v>
      </c>
      <c r="E223" s="261" t="s">
        <v>460</v>
      </c>
      <c r="F223" s="246">
        <v>1</v>
      </c>
      <c r="G223" s="245">
        <v>15.3</v>
      </c>
      <c r="H223" s="245"/>
      <c r="I223" s="245"/>
      <c r="J223" s="245">
        <v>4.9000000000000004</v>
      </c>
      <c r="K223" s="245">
        <v>2.6</v>
      </c>
      <c r="L223" s="245">
        <v>22.3</v>
      </c>
      <c r="M223" s="315"/>
      <c r="N223" s="245">
        <v>57</v>
      </c>
      <c r="O223" s="245"/>
      <c r="P223" s="245"/>
      <c r="Q223" s="245"/>
      <c r="R223" s="245"/>
      <c r="S223" s="245">
        <f t="shared" si="2"/>
        <v>57</v>
      </c>
      <c r="T223" s="278"/>
      <c r="U223" s="245"/>
    </row>
    <row r="224" spans="4:21" ht="47.25">
      <c r="D224" s="294" t="s">
        <v>660</v>
      </c>
      <c r="E224" s="261" t="s">
        <v>460</v>
      </c>
      <c r="F224" s="246">
        <v>1</v>
      </c>
      <c r="G224" s="245">
        <v>15.3</v>
      </c>
      <c r="H224" s="245"/>
      <c r="I224" s="245"/>
      <c r="J224" s="245">
        <v>4.9000000000000004</v>
      </c>
      <c r="K224" s="245">
        <v>2.6</v>
      </c>
      <c r="L224" s="245">
        <v>22.3</v>
      </c>
      <c r="M224" s="315"/>
      <c r="N224" s="245">
        <v>57</v>
      </c>
      <c r="O224" s="245"/>
      <c r="P224" s="245"/>
      <c r="Q224" s="245"/>
      <c r="R224" s="245"/>
      <c r="S224" s="245">
        <f t="shared" si="2"/>
        <v>57</v>
      </c>
      <c r="T224" s="278"/>
      <c r="U224" s="245"/>
    </row>
    <row r="225" spans="4:21" ht="47.25">
      <c r="D225" s="294" t="s">
        <v>661</v>
      </c>
      <c r="E225" s="261" t="s">
        <v>460</v>
      </c>
      <c r="F225" s="246">
        <v>1</v>
      </c>
      <c r="G225" s="245">
        <v>15.3</v>
      </c>
      <c r="H225" s="245"/>
      <c r="I225" s="245"/>
      <c r="J225" s="245">
        <v>4.9000000000000004</v>
      </c>
      <c r="K225" s="245">
        <v>2.6</v>
      </c>
      <c r="L225" s="245">
        <v>22.3</v>
      </c>
      <c r="M225" s="315"/>
      <c r="N225" s="245">
        <v>57</v>
      </c>
      <c r="O225" s="245"/>
      <c r="P225" s="245"/>
      <c r="Q225" s="245"/>
      <c r="R225" s="245"/>
      <c r="S225" s="245">
        <f t="shared" si="2"/>
        <v>57</v>
      </c>
      <c r="T225" s="278"/>
      <c r="U225" s="245"/>
    </row>
    <row r="226" spans="4:21" ht="47.25">
      <c r="D226" s="294" t="s">
        <v>662</v>
      </c>
      <c r="E226" s="261" t="s">
        <v>461</v>
      </c>
      <c r="F226" s="246">
        <v>1</v>
      </c>
      <c r="G226" s="245">
        <v>47.9</v>
      </c>
      <c r="H226" s="245"/>
      <c r="I226" s="245"/>
      <c r="J226" s="245">
        <v>15.4</v>
      </c>
      <c r="K226" s="245">
        <v>8</v>
      </c>
      <c r="L226" s="245">
        <v>10.3</v>
      </c>
      <c r="M226" s="315"/>
      <c r="N226" s="245">
        <v>82.6</v>
      </c>
      <c r="O226" s="245"/>
      <c r="P226" s="245"/>
      <c r="Q226" s="245"/>
      <c r="R226" s="245"/>
      <c r="S226" s="245">
        <f t="shared" si="2"/>
        <v>82.6</v>
      </c>
      <c r="T226" s="278"/>
      <c r="U226" s="245"/>
    </row>
    <row r="227" spans="4:21" ht="47.25">
      <c r="D227" s="294" t="s">
        <v>663</v>
      </c>
      <c r="E227" s="261" t="s">
        <v>462</v>
      </c>
      <c r="F227" s="246">
        <v>1</v>
      </c>
      <c r="G227" s="245">
        <v>19.600000000000001</v>
      </c>
      <c r="H227" s="245"/>
      <c r="I227" s="245"/>
      <c r="J227" s="245">
        <v>6.3</v>
      </c>
      <c r="K227" s="245">
        <v>3.3</v>
      </c>
      <c r="L227" s="245">
        <v>10.4</v>
      </c>
      <c r="M227" s="315"/>
      <c r="N227" s="245">
        <v>34.200000000000003</v>
      </c>
      <c r="O227" s="245"/>
      <c r="P227" s="245"/>
      <c r="Q227" s="245"/>
      <c r="R227" s="245"/>
      <c r="S227" s="245">
        <f t="shared" si="2"/>
        <v>34.200000000000003</v>
      </c>
      <c r="T227" s="278"/>
      <c r="U227" s="245"/>
    </row>
    <row r="228" spans="4:21" ht="47.25">
      <c r="D228" s="294" t="s">
        <v>664</v>
      </c>
      <c r="E228" s="261" t="s">
        <v>462</v>
      </c>
      <c r="F228" s="246">
        <v>1</v>
      </c>
      <c r="G228" s="245">
        <v>19.600000000000001</v>
      </c>
      <c r="H228" s="245"/>
      <c r="I228" s="245"/>
      <c r="J228" s="245">
        <v>6.3</v>
      </c>
      <c r="K228" s="245">
        <v>3.3</v>
      </c>
      <c r="L228" s="245">
        <v>10.4</v>
      </c>
      <c r="M228" s="315"/>
      <c r="N228" s="245">
        <v>34.200000000000003</v>
      </c>
      <c r="O228" s="245"/>
      <c r="P228" s="245"/>
      <c r="Q228" s="245"/>
      <c r="R228" s="245"/>
      <c r="S228" s="245">
        <f t="shared" si="2"/>
        <v>34.200000000000003</v>
      </c>
      <c r="T228" s="278"/>
      <c r="U228" s="245"/>
    </row>
    <row r="229" spans="4:21" ht="47.25">
      <c r="D229" s="294" t="s">
        <v>665</v>
      </c>
      <c r="E229" s="261" t="s">
        <v>462</v>
      </c>
      <c r="F229" s="246">
        <v>1</v>
      </c>
      <c r="G229" s="245">
        <v>19.600000000000001</v>
      </c>
      <c r="H229" s="245"/>
      <c r="I229" s="245"/>
      <c r="J229" s="245">
        <v>6.3</v>
      </c>
      <c r="K229" s="245">
        <v>3.3</v>
      </c>
      <c r="L229" s="245">
        <v>10.4</v>
      </c>
      <c r="M229" s="315"/>
      <c r="N229" s="245">
        <v>34.200000000000003</v>
      </c>
      <c r="O229" s="245"/>
      <c r="P229" s="245"/>
      <c r="Q229" s="245"/>
      <c r="R229" s="245"/>
      <c r="S229" s="245">
        <f t="shared" si="2"/>
        <v>34.200000000000003</v>
      </c>
      <c r="T229" s="278"/>
      <c r="U229" s="245"/>
    </row>
    <row r="230" spans="4:21" ht="47.25">
      <c r="D230" s="294" t="s">
        <v>666</v>
      </c>
      <c r="E230" s="261" t="s">
        <v>463</v>
      </c>
      <c r="F230" s="246">
        <v>1</v>
      </c>
      <c r="G230" s="245">
        <v>47.9</v>
      </c>
      <c r="H230" s="245"/>
      <c r="I230" s="245"/>
      <c r="J230" s="245">
        <v>15.4</v>
      </c>
      <c r="K230" s="245">
        <v>8</v>
      </c>
      <c r="L230" s="245">
        <v>10.3</v>
      </c>
      <c r="M230" s="315"/>
      <c r="N230" s="245">
        <v>82.6</v>
      </c>
      <c r="O230" s="245"/>
      <c r="P230" s="245"/>
      <c r="Q230" s="245"/>
      <c r="R230" s="245"/>
      <c r="S230" s="245">
        <f t="shared" si="2"/>
        <v>82.6</v>
      </c>
      <c r="T230" s="278"/>
      <c r="U230" s="245"/>
    </row>
    <row r="231" spans="4:21" ht="47.25">
      <c r="D231" s="294" t="s">
        <v>667</v>
      </c>
      <c r="E231" s="261" t="s">
        <v>465</v>
      </c>
      <c r="F231" s="246">
        <v>1</v>
      </c>
      <c r="G231" s="245">
        <v>47.9</v>
      </c>
      <c r="H231" s="245"/>
      <c r="I231" s="245"/>
      <c r="J231" s="245">
        <v>15.4</v>
      </c>
      <c r="K231" s="245">
        <v>8</v>
      </c>
      <c r="L231" s="245">
        <v>10.3</v>
      </c>
      <c r="M231" s="315"/>
      <c r="N231" s="245">
        <v>82.6</v>
      </c>
      <c r="O231" s="245"/>
      <c r="P231" s="245"/>
      <c r="Q231" s="245"/>
      <c r="R231" s="245"/>
      <c r="S231" s="245">
        <f t="shared" si="2"/>
        <v>82.6</v>
      </c>
      <c r="T231" s="278"/>
      <c r="U231" s="245"/>
    </row>
    <row r="232" spans="4:21" ht="47.25">
      <c r="D232" s="294" t="s">
        <v>668</v>
      </c>
      <c r="E232" s="261" t="s">
        <v>467</v>
      </c>
      <c r="F232" s="246">
        <v>1</v>
      </c>
      <c r="G232" s="245">
        <v>24.5</v>
      </c>
      <c r="H232" s="245"/>
      <c r="I232" s="245"/>
      <c r="J232" s="245">
        <v>7.9</v>
      </c>
      <c r="K232" s="245">
        <v>4.0999999999999996</v>
      </c>
      <c r="L232" s="245">
        <v>18.8</v>
      </c>
      <c r="M232" s="315"/>
      <c r="N232" s="245">
        <v>76.900000000000006</v>
      </c>
      <c r="O232" s="245"/>
      <c r="P232" s="245"/>
      <c r="Q232" s="245"/>
      <c r="R232" s="245"/>
      <c r="S232" s="245">
        <f t="shared" si="2"/>
        <v>76.900000000000006</v>
      </c>
      <c r="T232" s="278"/>
      <c r="U232" s="245"/>
    </row>
    <row r="233" spans="4:21" ht="47.25">
      <c r="D233" s="294" t="s">
        <v>669</v>
      </c>
      <c r="E233" s="261" t="s">
        <v>468</v>
      </c>
      <c r="F233" s="246">
        <v>1</v>
      </c>
      <c r="G233" s="245">
        <v>13.8</v>
      </c>
      <c r="H233" s="245"/>
      <c r="I233" s="245"/>
      <c r="J233" s="245">
        <v>4.5</v>
      </c>
      <c r="K233" s="245">
        <v>2.2999999999999998</v>
      </c>
      <c r="L233" s="245">
        <v>14.8</v>
      </c>
      <c r="M233" s="315"/>
      <c r="N233" s="245">
        <v>34.200000000000003</v>
      </c>
      <c r="O233" s="245"/>
      <c r="P233" s="245"/>
      <c r="Q233" s="245"/>
      <c r="R233" s="245"/>
      <c r="S233" s="245">
        <f t="shared" si="2"/>
        <v>34.200000000000003</v>
      </c>
      <c r="T233" s="278"/>
      <c r="U233" s="245"/>
    </row>
    <row r="234" spans="4:21" ht="47.25">
      <c r="D234" s="294" t="s">
        <v>670</v>
      </c>
      <c r="E234" s="261" t="s">
        <v>470</v>
      </c>
      <c r="F234" s="246">
        <v>1</v>
      </c>
      <c r="G234" s="245">
        <v>15.3</v>
      </c>
      <c r="H234" s="245"/>
      <c r="I234" s="245"/>
      <c r="J234" s="245">
        <v>4.9000000000000004</v>
      </c>
      <c r="K234" s="245">
        <v>2.6</v>
      </c>
      <c r="L234" s="245">
        <v>22.3</v>
      </c>
      <c r="M234" s="315"/>
      <c r="N234" s="245">
        <v>57</v>
      </c>
      <c r="O234" s="245"/>
      <c r="P234" s="245"/>
      <c r="Q234" s="245"/>
      <c r="R234" s="245"/>
      <c r="S234" s="245">
        <f t="shared" si="2"/>
        <v>57</v>
      </c>
      <c r="T234" s="278"/>
      <c r="U234" s="245"/>
    </row>
    <row r="235" spans="4:21" ht="47.25">
      <c r="D235" s="294" t="s">
        <v>671</v>
      </c>
      <c r="E235" s="261" t="s">
        <v>470</v>
      </c>
      <c r="F235" s="246">
        <v>1</v>
      </c>
      <c r="G235" s="245">
        <v>15.3</v>
      </c>
      <c r="H235" s="245"/>
      <c r="I235" s="245"/>
      <c r="J235" s="245">
        <v>4.9000000000000004</v>
      </c>
      <c r="K235" s="245">
        <v>2.6</v>
      </c>
      <c r="L235" s="245">
        <v>22.3</v>
      </c>
      <c r="M235" s="315"/>
      <c r="N235" s="245">
        <v>57</v>
      </c>
      <c r="O235" s="245"/>
      <c r="P235" s="245"/>
      <c r="Q235" s="245"/>
      <c r="R235" s="245"/>
      <c r="S235" s="245">
        <f t="shared" si="2"/>
        <v>57</v>
      </c>
      <c r="T235" s="278"/>
      <c r="U235" s="245"/>
    </row>
    <row r="236" spans="4:21" ht="47.25">
      <c r="D236" s="294" t="s">
        <v>672</v>
      </c>
      <c r="E236" s="261" t="s">
        <v>471</v>
      </c>
      <c r="F236" s="246">
        <v>1</v>
      </c>
      <c r="G236" s="245">
        <v>47.9</v>
      </c>
      <c r="H236" s="245"/>
      <c r="I236" s="245"/>
      <c r="J236" s="245">
        <v>15.4</v>
      </c>
      <c r="K236" s="245">
        <v>8</v>
      </c>
      <c r="L236" s="245">
        <v>10.3</v>
      </c>
      <c r="M236" s="315"/>
      <c r="N236" s="245">
        <v>82.6</v>
      </c>
      <c r="O236" s="245"/>
      <c r="P236" s="245"/>
      <c r="Q236" s="245"/>
      <c r="R236" s="245"/>
      <c r="S236" s="245">
        <f t="shared" si="2"/>
        <v>82.6</v>
      </c>
      <c r="T236" s="278"/>
      <c r="U236" s="245"/>
    </row>
    <row r="237" spans="4:21" ht="47.25">
      <c r="D237" s="294" t="s">
        <v>673</v>
      </c>
      <c r="E237" s="261" t="s">
        <v>472</v>
      </c>
      <c r="F237" s="246">
        <v>1</v>
      </c>
      <c r="G237" s="245">
        <v>7</v>
      </c>
      <c r="H237" s="245"/>
      <c r="I237" s="245"/>
      <c r="J237" s="245">
        <v>2.2000000000000002</v>
      </c>
      <c r="K237" s="245">
        <v>1.2</v>
      </c>
      <c r="L237" s="245">
        <v>34.299999999999997</v>
      </c>
      <c r="M237" s="315"/>
      <c r="N237" s="245">
        <v>39.9</v>
      </c>
      <c r="O237" s="245"/>
      <c r="P237" s="245"/>
      <c r="Q237" s="245"/>
      <c r="R237" s="245"/>
      <c r="S237" s="245">
        <f t="shared" si="2"/>
        <v>39.9</v>
      </c>
      <c r="T237" s="278"/>
      <c r="U237" s="245"/>
    </row>
    <row r="238" spans="4:21" ht="47.25">
      <c r="D238" s="294" t="s">
        <v>674</v>
      </c>
      <c r="E238" s="261" t="s">
        <v>473</v>
      </c>
      <c r="F238" s="246">
        <v>1</v>
      </c>
      <c r="G238" s="245">
        <v>47.9</v>
      </c>
      <c r="H238" s="245"/>
      <c r="I238" s="245"/>
      <c r="J238" s="245">
        <v>15.4</v>
      </c>
      <c r="K238" s="245">
        <v>8</v>
      </c>
      <c r="L238" s="245">
        <v>10.3</v>
      </c>
      <c r="M238" s="315"/>
      <c r="N238" s="245">
        <v>82.6</v>
      </c>
      <c r="O238" s="245"/>
      <c r="P238" s="245"/>
      <c r="Q238" s="245"/>
      <c r="R238" s="245"/>
      <c r="S238" s="245">
        <f t="shared" si="2"/>
        <v>82.6</v>
      </c>
      <c r="T238" s="278"/>
      <c r="U238" s="245"/>
    </row>
    <row r="239" spans="4:21" ht="47.25">
      <c r="D239" s="294" t="s">
        <v>675</v>
      </c>
      <c r="E239" s="261" t="s">
        <v>473</v>
      </c>
      <c r="F239" s="246">
        <v>1</v>
      </c>
      <c r="G239" s="245">
        <v>47.9</v>
      </c>
      <c r="H239" s="245"/>
      <c r="I239" s="245"/>
      <c r="J239" s="245">
        <v>15.4</v>
      </c>
      <c r="K239" s="245">
        <v>8</v>
      </c>
      <c r="L239" s="245">
        <v>10.3</v>
      </c>
      <c r="M239" s="315"/>
      <c r="N239" s="245">
        <v>82.6</v>
      </c>
      <c r="O239" s="245"/>
      <c r="P239" s="245"/>
      <c r="Q239" s="245"/>
      <c r="R239" s="245"/>
      <c r="S239" s="245">
        <f t="shared" si="2"/>
        <v>82.6</v>
      </c>
      <c r="T239" s="278"/>
      <c r="U239" s="245"/>
    </row>
    <row r="240" spans="4:21" ht="47.25">
      <c r="D240" s="294" t="s">
        <v>676</v>
      </c>
      <c r="E240" s="261" t="s">
        <v>476</v>
      </c>
      <c r="F240" s="246">
        <v>1</v>
      </c>
      <c r="G240" s="245">
        <v>13.8</v>
      </c>
      <c r="H240" s="245"/>
      <c r="I240" s="245"/>
      <c r="J240" s="245">
        <v>4.5</v>
      </c>
      <c r="K240" s="245">
        <v>2.2999999999999998</v>
      </c>
      <c r="L240" s="245">
        <v>14.8</v>
      </c>
      <c r="M240" s="315"/>
      <c r="N240" s="245">
        <v>34.200000000000003</v>
      </c>
      <c r="O240" s="245"/>
      <c r="P240" s="245"/>
      <c r="Q240" s="245"/>
      <c r="R240" s="245"/>
      <c r="S240" s="245">
        <f t="shared" si="2"/>
        <v>34.200000000000003</v>
      </c>
      <c r="T240" s="278"/>
      <c r="U240" s="245"/>
    </row>
    <row r="241" spans="4:21" ht="47.25">
      <c r="D241" s="294" t="s">
        <v>677</v>
      </c>
      <c r="E241" s="261" t="s">
        <v>478</v>
      </c>
      <c r="F241" s="246">
        <v>1</v>
      </c>
      <c r="G241" s="245">
        <v>24.5</v>
      </c>
      <c r="H241" s="245"/>
      <c r="I241" s="245"/>
      <c r="J241" s="245">
        <v>7.9</v>
      </c>
      <c r="K241" s="245">
        <v>4.0999999999999996</v>
      </c>
      <c r="L241" s="245">
        <v>18.8</v>
      </c>
      <c r="M241" s="315"/>
      <c r="N241" s="245">
        <v>76.900000000000006</v>
      </c>
      <c r="O241" s="245"/>
      <c r="P241" s="245"/>
      <c r="Q241" s="245"/>
      <c r="R241" s="245"/>
      <c r="S241" s="245">
        <f t="shared" si="2"/>
        <v>76.900000000000006</v>
      </c>
      <c r="T241" s="278"/>
      <c r="U241" s="245"/>
    </row>
    <row r="242" spans="4:21" ht="47.25">
      <c r="D242" s="294" t="s">
        <v>678</v>
      </c>
      <c r="E242" s="261" t="s">
        <v>480</v>
      </c>
      <c r="F242" s="246">
        <v>1</v>
      </c>
      <c r="G242" s="245">
        <v>13.8</v>
      </c>
      <c r="H242" s="245"/>
      <c r="I242" s="245"/>
      <c r="J242" s="245">
        <v>4.5</v>
      </c>
      <c r="K242" s="245">
        <v>2.2999999999999998</v>
      </c>
      <c r="L242" s="245">
        <v>14.8</v>
      </c>
      <c r="M242" s="315"/>
      <c r="N242" s="245">
        <v>34.200000000000003</v>
      </c>
      <c r="O242" s="245"/>
      <c r="P242" s="245"/>
      <c r="Q242" s="245"/>
      <c r="R242" s="245"/>
      <c r="S242" s="245">
        <f t="shared" si="2"/>
        <v>34.200000000000003</v>
      </c>
      <c r="T242" s="278"/>
      <c r="U242" s="245"/>
    </row>
    <row r="243" spans="4:21" ht="47.25">
      <c r="D243" s="294" t="s">
        <v>679</v>
      </c>
      <c r="E243" s="261" t="s">
        <v>480</v>
      </c>
      <c r="F243" s="246">
        <v>1</v>
      </c>
      <c r="G243" s="245">
        <v>13.8</v>
      </c>
      <c r="H243" s="245"/>
      <c r="I243" s="245"/>
      <c r="J243" s="245">
        <v>4.5</v>
      </c>
      <c r="K243" s="245">
        <v>2.2999999999999998</v>
      </c>
      <c r="L243" s="245">
        <v>14.8</v>
      </c>
      <c r="M243" s="315"/>
      <c r="N243" s="245">
        <v>34.200000000000003</v>
      </c>
      <c r="O243" s="245"/>
      <c r="P243" s="245"/>
      <c r="Q243" s="245"/>
      <c r="R243" s="245"/>
      <c r="S243" s="245">
        <f t="shared" si="2"/>
        <v>34.200000000000003</v>
      </c>
      <c r="T243" s="278"/>
      <c r="U243" s="245"/>
    </row>
    <row r="244" spans="4:21" ht="47.25">
      <c r="D244" s="294" t="s">
        <v>680</v>
      </c>
      <c r="E244" s="261" t="s">
        <v>484</v>
      </c>
      <c r="F244" s="246">
        <v>1</v>
      </c>
      <c r="G244" s="245">
        <v>47.9</v>
      </c>
      <c r="H244" s="245"/>
      <c r="I244" s="245"/>
      <c r="J244" s="245">
        <v>15.4</v>
      </c>
      <c r="K244" s="245">
        <v>8</v>
      </c>
      <c r="L244" s="245">
        <v>10.3</v>
      </c>
      <c r="M244" s="315"/>
      <c r="N244" s="245">
        <v>82.6</v>
      </c>
      <c r="O244" s="245"/>
      <c r="P244" s="245"/>
      <c r="Q244" s="245"/>
      <c r="R244" s="245"/>
      <c r="S244" s="245">
        <f t="shared" si="2"/>
        <v>82.6</v>
      </c>
      <c r="T244" s="278"/>
      <c r="U244" s="245"/>
    </row>
    <row r="245" spans="4:21" ht="47.25">
      <c r="D245" s="294" t="s">
        <v>681</v>
      </c>
      <c r="E245" s="261" t="s">
        <v>485</v>
      </c>
      <c r="F245" s="246">
        <v>1</v>
      </c>
      <c r="G245" s="245">
        <v>13.8</v>
      </c>
      <c r="H245" s="245"/>
      <c r="I245" s="245"/>
      <c r="J245" s="245">
        <v>4.5</v>
      </c>
      <c r="K245" s="245">
        <v>2.2999999999999998</v>
      </c>
      <c r="L245" s="245">
        <v>14.8</v>
      </c>
      <c r="M245" s="315"/>
      <c r="N245" s="245">
        <v>34.200000000000003</v>
      </c>
      <c r="O245" s="245"/>
      <c r="P245" s="245"/>
      <c r="Q245" s="245"/>
      <c r="R245" s="245"/>
      <c r="S245" s="245">
        <f t="shared" si="2"/>
        <v>34.200000000000003</v>
      </c>
      <c r="T245" s="278"/>
      <c r="U245" s="245"/>
    </row>
    <row r="246" spans="4:21" ht="47.25">
      <c r="D246" s="294" t="s">
        <v>682</v>
      </c>
      <c r="E246" s="261" t="s">
        <v>487</v>
      </c>
      <c r="F246" s="246">
        <v>1</v>
      </c>
      <c r="G246" s="245">
        <v>13.8</v>
      </c>
      <c r="H246" s="245"/>
      <c r="I246" s="245"/>
      <c r="J246" s="245">
        <v>4.5</v>
      </c>
      <c r="K246" s="245">
        <v>2.2999999999999998</v>
      </c>
      <c r="L246" s="245">
        <v>14.8</v>
      </c>
      <c r="M246" s="315"/>
      <c r="N246" s="245">
        <v>34.200000000000003</v>
      </c>
      <c r="O246" s="245"/>
      <c r="P246" s="245"/>
      <c r="Q246" s="245"/>
      <c r="R246" s="245"/>
      <c r="S246" s="245">
        <f t="shared" si="2"/>
        <v>34.200000000000003</v>
      </c>
      <c r="T246" s="278"/>
      <c r="U246" s="245"/>
    </row>
    <row r="247" spans="4:21" ht="47.25">
      <c r="D247" s="294" t="s">
        <v>683</v>
      </c>
      <c r="E247" s="261" t="s">
        <v>489</v>
      </c>
      <c r="F247" s="246">
        <v>1</v>
      </c>
      <c r="G247" s="245">
        <v>19.600000000000001</v>
      </c>
      <c r="H247" s="245"/>
      <c r="I247" s="245"/>
      <c r="J247" s="245">
        <v>6.3</v>
      </c>
      <c r="K247" s="245">
        <v>3.3</v>
      </c>
      <c r="L247" s="245">
        <v>10.4</v>
      </c>
      <c r="M247" s="315"/>
      <c r="N247" s="245">
        <v>34.200000000000003</v>
      </c>
      <c r="O247" s="245"/>
      <c r="P247" s="245"/>
      <c r="Q247" s="245"/>
      <c r="R247" s="245"/>
      <c r="S247" s="245">
        <f t="shared" si="2"/>
        <v>34.200000000000003</v>
      </c>
      <c r="T247" s="278"/>
      <c r="U247" s="245"/>
    </row>
    <row r="248" spans="4:21" ht="47.25">
      <c r="D248" s="294" t="s">
        <v>684</v>
      </c>
      <c r="E248" s="261" t="s">
        <v>488</v>
      </c>
      <c r="F248" s="246">
        <v>1</v>
      </c>
      <c r="G248" s="245">
        <v>13.8</v>
      </c>
      <c r="H248" s="245"/>
      <c r="I248" s="245"/>
      <c r="J248" s="245">
        <v>4.5</v>
      </c>
      <c r="K248" s="245">
        <v>2.2999999999999998</v>
      </c>
      <c r="L248" s="245">
        <v>14.8</v>
      </c>
      <c r="M248" s="315"/>
      <c r="N248" s="245">
        <v>34.200000000000003</v>
      </c>
      <c r="O248" s="245"/>
      <c r="P248" s="245"/>
      <c r="Q248" s="245"/>
      <c r="R248" s="245"/>
      <c r="S248" s="245">
        <f t="shared" si="2"/>
        <v>34.200000000000003</v>
      </c>
      <c r="T248" s="278"/>
      <c r="U248" s="245"/>
    </row>
    <row r="249" spans="4:21" ht="47.25">
      <c r="D249" s="294" t="s">
        <v>685</v>
      </c>
      <c r="E249" s="261" t="s">
        <v>488</v>
      </c>
      <c r="F249" s="246">
        <v>1</v>
      </c>
      <c r="G249" s="245">
        <v>13.8</v>
      </c>
      <c r="H249" s="245"/>
      <c r="I249" s="245"/>
      <c r="J249" s="245">
        <v>4.5</v>
      </c>
      <c r="K249" s="245">
        <v>2.2999999999999998</v>
      </c>
      <c r="L249" s="245">
        <v>14.8</v>
      </c>
      <c r="M249" s="315"/>
      <c r="N249" s="245">
        <v>34.200000000000003</v>
      </c>
      <c r="O249" s="245"/>
      <c r="P249" s="245"/>
      <c r="Q249" s="245"/>
      <c r="R249" s="245"/>
      <c r="S249" s="245">
        <f t="shared" si="2"/>
        <v>34.200000000000003</v>
      </c>
      <c r="T249" s="278"/>
      <c r="U249" s="245"/>
    </row>
    <row r="250" spans="4:21" ht="47.25">
      <c r="D250" s="294" t="s">
        <v>686</v>
      </c>
      <c r="E250" s="261" t="s">
        <v>488</v>
      </c>
      <c r="F250" s="246">
        <v>1</v>
      </c>
      <c r="G250" s="245">
        <v>13.8</v>
      </c>
      <c r="H250" s="245"/>
      <c r="I250" s="245"/>
      <c r="J250" s="245">
        <v>4.5</v>
      </c>
      <c r="K250" s="245">
        <v>2.2999999999999998</v>
      </c>
      <c r="L250" s="245">
        <v>14.8</v>
      </c>
      <c r="M250" s="315"/>
      <c r="N250" s="245">
        <v>34.200000000000003</v>
      </c>
      <c r="O250" s="245"/>
      <c r="P250" s="245"/>
      <c r="Q250" s="245"/>
      <c r="R250" s="245"/>
      <c r="S250" s="245">
        <f t="shared" si="2"/>
        <v>34.200000000000003</v>
      </c>
      <c r="T250" s="278"/>
      <c r="U250" s="245"/>
    </row>
    <row r="251" spans="4:21" ht="47.25">
      <c r="D251" s="294" t="s">
        <v>687</v>
      </c>
      <c r="E251" s="261" t="s">
        <v>491</v>
      </c>
      <c r="F251" s="246">
        <v>1</v>
      </c>
      <c r="G251" s="245">
        <v>47.9</v>
      </c>
      <c r="H251" s="245"/>
      <c r="I251" s="245"/>
      <c r="J251" s="245">
        <v>15.4</v>
      </c>
      <c r="K251" s="245">
        <v>8</v>
      </c>
      <c r="L251" s="245">
        <v>10.3</v>
      </c>
      <c r="M251" s="315"/>
      <c r="N251" s="245">
        <v>82.6</v>
      </c>
      <c r="O251" s="245"/>
      <c r="P251" s="245"/>
      <c r="Q251" s="245"/>
      <c r="R251" s="245"/>
      <c r="S251" s="245">
        <f t="shared" si="2"/>
        <v>82.6</v>
      </c>
      <c r="T251" s="278"/>
      <c r="U251" s="245"/>
    </row>
    <row r="252" spans="4:21" ht="47.25">
      <c r="D252" s="294" t="s">
        <v>688</v>
      </c>
      <c r="E252" s="261" t="s">
        <v>492</v>
      </c>
      <c r="F252" s="246">
        <v>1</v>
      </c>
      <c r="G252" s="245">
        <v>47.9</v>
      </c>
      <c r="H252" s="245"/>
      <c r="I252" s="245"/>
      <c r="J252" s="245">
        <v>15.4</v>
      </c>
      <c r="K252" s="245">
        <v>8</v>
      </c>
      <c r="L252" s="245">
        <v>10.3</v>
      </c>
      <c r="M252" s="315"/>
      <c r="N252" s="245">
        <v>82.6</v>
      </c>
      <c r="O252" s="245"/>
      <c r="P252" s="245"/>
      <c r="Q252" s="245"/>
      <c r="R252" s="245"/>
      <c r="S252" s="245">
        <f t="shared" si="2"/>
        <v>82.6</v>
      </c>
      <c r="T252" s="278"/>
      <c r="U252" s="245"/>
    </row>
    <row r="253" spans="4:21" ht="47.25">
      <c r="D253" s="294" t="s">
        <v>689</v>
      </c>
      <c r="E253" s="261" t="s">
        <v>495</v>
      </c>
      <c r="F253" s="246">
        <v>1</v>
      </c>
      <c r="G253" s="245">
        <v>13.8</v>
      </c>
      <c r="H253" s="245"/>
      <c r="I253" s="245"/>
      <c r="J253" s="245">
        <v>4.5</v>
      </c>
      <c r="K253" s="245">
        <v>2.2999999999999998</v>
      </c>
      <c r="L253" s="245">
        <v>14.8</v>
      </c>
      <c r="M253" s="315"/>
      <c r="N253" s="245">
        <v>34.200000000000003</v>
      </c>
      <c r="O253" s="245"/>
      <c r="P253" s="245"/>
      <c r="Q253" s="245"/>
      <c r="R253" s="245"/>
      <c r="S253" s="245">
        <f t="shared" si="2"/>
        <v>34.200000000000003</v>
      </c>
      <c r="T253" s="278"/>
      <c r="U253" s="245"/>
    </row>
    <row r="254" spans="4:21" ht="47.25">
      <c r="D254" s="294" t="s">
        <v>690</v>
      </c>
      <c r="E254" s="261" t="s">
        <v>496</v>
      </c>
      <c r="F254" s="246">
        <v>1</v>
      </c>
      <c r="G254" s="245">
        <v>47.9</v>
      </c>
      <c r="H254" s="245"/>
      <c r="I254" s="245"/>
      <c r="J254" s="245">
        <v>15.4</v>
      </c>
      <c r="K254" s="245">
        <v>8</v>
      </c>
      <c r="L254" s="245">
        <v>10.3</v>
      </c>
      <c r="M254" s="315"/>
      <c r="N254" s="245">
        <v>82.6</v>
      </c>
      <c r="O254" s="245"/>
      <c r="P254" s="245"/>
      <c r="Q254" s="245"/>
      <c r="R254" s="245"/>
      <c r="S254" s="245">
        <f t="shared" si="2"/>
        <v>82.6</v>
      </c>
      <c r="T254" s="278"/>
      <c r="U254" s="245"/>
    </row>
    <row r="255" spans="4:21" ht="47.25">
      <c r="D255" s="294" t="s">
        <v>691</v>
      </c>
      <c r="E255" s="261" t="s">
        <v>497</v>
      </c>
      <c r="F255" s="246">
        <v>1</v>
      </c>
      <c r="G255" s="245">
        <v>15.3</v>
      </c>
      <c r="H255" s="245"/>
      <c r="I255" s="245"/>
      <c r="J255" s="245">
        <v>4.9000000000000004</v>
      </c>
      <c r="K255" s="245">
        <v>2.6</v>
      </c>
      <c r="L255" s="245">
        <v>22.3</v>
      </c>
      <c r="M255" s="315"/>
      <c r="N255" s="245">
        <v>57</v>
      </c>
      <c r="O255" s="245"/>
      <c r="P255" s="245"/>
      <c r="Q255" s="245"/>
      <c r="R255" s="245"/>
      <c r="S255" s="245">
        <f t="shared" si="2"/>
        <v>57</v>
      </c>
      <c r="T255" s="278"/>
      <c r="U255" s="245"/>
    </row>
    <row r="256" spans="4:21" ht="47.25">
      <c r="D256" s="294" t="s">
        <v>692</v>
      </c>
      <c r="E256" s="261" t="s">
        <v>498</v>
      </c>
      <c r="F256" s="246">
        <v>1</v>
      </c>
      <c r="G256" s="245">
        <v>47.9</v>
      </c>
      <c r="H256" s="245"/>
      <c r="I256" s="245"/>
      <c r="J256" s="245">
        <v>15.4</v>
      </c>
      <c r="K256" s="245">
        <v>8</v>
      </c>
      <c r="L256" s="245">
        <v>10.3</v>
      </c>
      <c r="M256" s="315"/>
      <c r="N256" s="245">
        <v>82.6</v>
      </c>
      <c r="O256" s="245"/>
      <c r="P256" s="245"/>
      <c r="Q256" s="245"/>
      <c r="R256" s="245"/>
      <c r="S256" s="245">
        <f t="shared" si="2"/>
        <v>82.6</v>
      </c>
      <c r="T256" s="278"/>
      <c r="U256" s="245"/>
    </row>
    <row r="257" spans="4:21" ht="47.25">
      <c r="D257" s="294" t="s">
        <v>693</v>
      </c>
      <c r="E257" s="261" t="s">
        <v>497</v>
      </c>
      <c r="F257" s="246">
        <v>1</v>
      </c>
      <c r="G257" s="245">
        <v>15.3</v>
      </c>
      <c r="H257" s="245"/>
      <c r="I257" s="245"/>
      <c r="J257" s="245">
        <v>4.9000000000000004</v>
      </c>
      <c r="K257" s="245">
        <v>2.6</v>
      </c>
      <c r="L257" s="245">
        <v>22.3</v>
      </c>
      <c r="M257" s="315"/>
      <c r="N257" s="245">
        <v>57</v>
      </c>
      <c r="O257" s="245"/>
      <c r="P257" s="245"/>
      <c r="Q257" s="245"/>
      <c r="R257" s="245"/>
      <c r="S257" s="245">
        <f t="shared" si="2"/>
        <v>57</v>
      </c>
      <c r="T257" s="278"/>
      <c r="U257" s="245"/>
    </row>
    <row r="258" spans="4:21" ht="47.25">
      <c r="D258" s="294" t="s">
        <v>694</v>
      </c>
      <c r="E258" s="261" t="s">
        <v>497</v>
      </c>
      <c r="F258" s="246">
        <v>1</v>
      </c>
      <c r="G258" s="245">
        <v>15.3</v>
      </c>
      <c r="H258" s="245"/>
      <c r="I258" s="245"/>
      <c r="J258" s="245">
        <v>4.9000000000000004</v>
      </c>
      <c r="K258" s="245">
        <v>2.6</v>
      </c>
      <c r="L258" s="245">
        <v>22.3</v>
      </c>
      <c r="M258" s="315"/>
      <c r="N258" s="245">
        <v>57</v>
      </c>
      <c r="O258" s="245"/>
      <c r="P258" s="245"/>
      <c r="Q258" s="245"/>
      <c r="R258" s="245"/>
      <c r="S258" s="245">
        <f t="shared" si="2"/>
        <v>57</v>
      </c>
      <c r="T258" s="278"/>
      <c r="U258" s="245"/>
    </row>
    <row r="259" spans="4:21" ht="47.25">
      <c r="D259" s="294" t="s">
        <v>695</v>
      </c>
      <c r="E259" s="261" t="s">
        <v>497</v>
      </c>
      <c r="F259" s="246">
        <v>1</v>
      </c>
      <c r="G259" s="245">
        <v>15.3</v>
      </c>
      <c r="H259" s="245"/>
      <c r="I259" s="245"/>
      <c r="J259" s="245">
        <v>4.9000000000000004</v>
      </c>
      <c r="K259" s="245">
        <v>2.6</v>
      </c>
      <c r="L259" s="245">
        <v>22.3</v>
      </c>
      <c r="M259" s="315"/>
      <c r="N259" s="245">
        <v>57</v>
      </c>
      <c r="O259" s="245"/>
      <c r="P259" s="245"/>
      <c r="Q259" s="245"/>
      <c r="R259" s="245"/>
      <c r="S259" s="245">
        <f t="shared" si="2"/>
        <v>57</v>
      </c>
      <c r="T259" s="278"/>
      <c r="U259" s="245"/>
    </row>
    <row r="260" spans="4:21" ht="47.25">
      <c r="D260" s="294" t="s">
        <v>696</v>
      </c>
      <c r="E260" s="261" t="s">
        <v>497</v>
      </c>
      <c r="F260" s="246">
        <v>1</v>
      </c>
      <c r="G260" s="245">
        <v>15.3</v>
      </c>
      <c r="H260" s="245"/>
      <c r="I260" s="245"/>
      <c r="J260" s="245">
        <v>4.9000000000000004</v>
      </c>
      <c r="K260" s="245">
        <v>2.6</v>
      </c>
      <c r="L260" s="245">
        <v>22.3</v>
      </c>
      <c r="M260" s="315"/>
      <c r="N260" s="245">
        <v>57</v>
      </c>
      <c r="O260" s="245"/>
      <c r="P260" s="245"/>
      <c r="Q260" s="245"/>
      <c r="R260" s="245"/>
      <c r="S260" s="245">
        <f t="shared" si="2"/>
        <v>57</v>
      </c>
      <c r="T260" s="278"/>
      <c r="U260" s="245"/>
    </row>
    <row r="261" spans="4:21" ht="47.25">
      <c r="D261" s="294" t="s">
        <v>697</v>
      </c>
      <c r="E261" s="261" t="s">
        <v>498</v>
      </c>
      <c r="F261" s="246">
        <v>1</v>
      </c>
      <c r="G261" s="245">
        <v>47.9</v>
      </c>
      <c r="H261" s="245"/>
      <c r="I261" s="245"/>
      <c r="J261" s="245">
        <v>15.4</v>
      </c>
      <c r="K261" s="245">
        <v>8</v>
      </c>
      <c r="L261" s="245">
        <v>10.3</v>
      </c>
      <c r="M261" s="315"/>
      <c r="N261" s="245">
        <v>82.6</v>
      </c>
      <c r="O261" s="245"/>
      <c r="P261" s="245"/>
      <c r="Q261" s="245"/>
      <c r="R261" s="245"/>
      <c r="S261" s="245">
        <f t="shared" si="2"/>
        <v>82.6</v>
      </c>
      <c r="T261" s="278"/>
      <c r="U261" s="245"/>
    </row>
    <row r="262" spans="4:21" ht="47.25">
      <c r="D262" s="294" t="s">
        <v>698</v>
      </c>
      <c r="E262" s="261" t="s">
        <v>499</v>
      </c>
      <c r="F262" s="246">
        <v>1</v>
      </c>
      <c r="G262" s="245">
        <v>47.9</v>
      </c>
      <c r="H262" s="245"/>
      <c r="I262" s="245"/>
      <c r="J262" s="245">
        <v>15.4</v>
      </c>
      <c r="K262" s="245">
        <v>8</v>
      </c>
      <c r="L262" s="245">
        <v>10.3</v>
      </c>
      <c r="M262" s="315"/>
      <c r="N262" s="245">
        <v>82.6</v>
      </c>
      <c r="O262" s="245"/>
      <c r="P262" s="245"/>
      <c r="Q262" s="245"/>
      <c r="R262" s="245"/>
      <c r="S262" s="245">
        <f t="shared" si="2"/>
        <v>82.6</v>
      </c>
      <c r="T262" s="278"/>
      <c r="U262" s="245"/>
    </row>
    <row r="263" spans="4:21" ht="47.25">
      <c r="D263" s="294" t="s">
        <v>699</v>
      </c>
      <c r="E263" s="261" t="s">
        <v>500</v>
      </c>
      <c r="F263" s="246">
        <v>1</v>
      </c>
      <c r="G263" s="245">
        <v>15.3</v>
      </c>
      <c r="H263" s="245"/>
      <c r="I263" s="245"/>
      <c r="J263" s="245">
        <v>4.9000000000000004</v>
      </c>
      <c r="K263" s="245">
        <v>2.6</v>
      </c>
      <c r="L263" s="245">
        <v>22.3</v>
      </c>
      <c r="M263" s="315"/>
      <c r="N263" s="245">
        <v>57</v>
      </c>
      <c r="O263" s="245"/>
      <c r="P263" s="245"/>
      <c r="Q263" s="245"/>
      <c r="R263" s="245"/>
      <c r="S263" s="245">
        <f t="shared" si="2"/>
        <v>57</v>
      </c>
      <c r="T263" s="278"/>
      <c r="U263" s="245"/>
    </row>
    <row r="264" spans="4:21" ht="47.25">
      <c r="D264" s="294" t="s">
        <v>700</v>
      </c>
      <c r="E264" s="261" t="s">
        <v>501</v>
      </c>
      <c r="F264" s="246">
        <v>1</v>
      </c>
      <c r="G264" s="245">
        <v>13.8</v>
      </c>
      <c r="H264" s="245"/>
      <c r="I264" s="245"/>
      <c r="J264" s="245">
        <v>4.5</v>
      </c>
      <c r="K264" s="245">
        <v>2.2999999999999998</v>
      </c>
      <c r="L264" s="245">
        <v>14.8</v>
      </c>
      <c r="M264" s="315"/>
      <c r="N264" s="245">
        <v>34.200000000000003</v>
      </c>
      <c r="O264" s="245"/>
      <c r="P264" s="245"/>
      <c r="Q264" s="245"/>
      <c r="R264" s="245"/>
      <c r="S264" s="245">
        <f t="shared" si="2"/>
        <v>34.200000000000003</v>
      </c>
      <c r="T264" s="278"/>
      <c r="U264" s="245"/>
    </row>
    <row r="265" spans="4:21" ht="47.25">
      <c r="D265" s="294" t="s">
        <v>701</v>
      </c>
      <c r="E265" s="261" t="s">
        <v>501</v>
      </c>
      <c r="F265" s="246">
        <v>1</v>
      </c>
      <c r="G265" s="245">
        <v>13.8</v>
      </c>
      <c r="H265" s="245"/>
      <c r="I265" s="245"/>
      <c r="J265" s="245">
        <v>4.5</v>
      </c>
      <c r="K265" s="245">
        <v>2.2999999999999998</v>
      </c>
      <c r="L265" s="245">
        <v>14.8</v>
      </c>
      <c r="M265" s="315"/>
      <c r="N265" s="245">
        <v>34.200000000000003</v>
      </c>
      <c r="O265" s="245"/>
      <c r="P265" s="245"/>
      <c r="Q265" s="245"/>
      <c r="R265" s="245"/>
      <c r="S265" s="245">
        <f t="shared" si="2"/>
        <v>34.200000000000003</v>
      </c>
      <c r="T265" s="278"/>
      <c r="U265" s="245"/>
    </row>
    <row r="266" spans="4:21" ht="47.25">
      <c r="D266" s="294" t="s">
        <v>702</v>
      </c>
      <c r="E266" s="261" t="s">
        <v>502</v>
      </c>
      <c r="F266" s="246">
        <v>1</v>
      </c>
      <c r="G266" s="245">
        <v>47.9</v>
      </c>
      <c r="H266" s="245"/>
      <c r="I266" s="245"/>
      <c r="J266" s="245">
        <v>15.4</v>
      </c>
      <c r="K266" s="245">
        <v>8</v>
      </c>
      <c r="L266" s="245">
        <v>10.3</v>
      </c>
      <c r="M266" s="315"/>
      <c r="N266" s="245">
        <v>82.6</v>
      </c>
      <c r="O266" s="245"/>
      <c r="P266" s="245"/>
      <c r="Q266" s="245"/>
      <c r="R266" s="245"/>
      <c r="S266" s="245">
        <f t="shared" si="2"/>
        <v>82.6</v>
      </c>
      <c r="T266" s="278"/>
      <c r="U266" s="245"/>
    </row>
    <row r="267" spans="4:21" ht="47.25">
      <c r="D267" s="294" t="s">
        <v>703</v>
      </c>
      <c r="E267" s="261" t="s">
        <v>503</v>
      </c>
      <c r="F267" s="246">
        <v>1</v>
      </c>
      <c r="G267" s="245">
        <v>13.8</v>
      </c>
      <c r="H267" s="245"/>
      <c r="I267" s="245"/>
      <c r="J267" s="245">
        <v>4.5</v>
      </c>
      <c r="K267" s="245">
        <v>2.2999999999999998</v>
      </c>
      <c r="L267" s="245">
        <v>14.8</v>
      </c>
      <c r="M267" s="315"/>
      <c r="N267" s="245">
        <v>34.200000000000003</v>
      </c>
      <c r="O267" s="245"/>
      <c r="P267" s="245"/>
      <c r="Q267" s="245"/>
      <c r="R267" s="245"/>
      <c r="S267" s="245">
        <f t="shared" si="2"/>
        <v>34.200000000000003</v>
      </c>
      <c r="T267" s="278"/>
      <c r="U267" s="245"/>
    </row>
    <row r="268" spans="4:21" ht="47.25">
      <c r="D268" s="294" t="s">
        <v>704</v>
      </c>
      <c r="E268" s="261" t="s">
        <v>503</v>
      </c>
      <c r="F268" s="246">
        <v>1</v>
      </c>
      <c r="G268" s="245">
        <v>13.8</v>
      </c>
      <c r="H268" s="245"/>
      <c r="I268" s="245"/>
      <c r="J268" s="245">
        <v>4.5</v>
      </c>
      <c r="K268" s="245">
        <v>2.2999999999999998</v>
      </c>
      <c r="L268" s="245">
        <v>14.8</v>
      </c>
      <c r="M268" s="315"/>
      <c r="N268" s="245">
        <v>34.200000000000003</v>
      </c>
      <c r="O268" s="245"/>
      <c r="P268" s="245"/>
      <c r="Q268" s="245"/>
      <c r="R268" s="245"/>
      <c r="S268" s="245">
        <f t="shared" si="2"/>
        <v>34.200000000000003</v>
      </c>
      <c r="T268" s="278"/>
      <c r="U268" s="245"/>
    </row>
    <row r="269" spans="4:21" ht="47.25">
      <c r="D269" s="294" t="s">
        <v>705</v>
      </c>
      <c r="E269" s="261" t="s">
        <v>504</v>
      </c>
      <c r="F269" s="246">
        <v>1</v>
      </c>
      <c r="G269" s="245">
        <v>47.9</v>
      </c>
      <c r="H269" s="245"/>
      <c r="I269" s="245"/>
      <c r="J269" s="245">
        <v>15.4</v>
      </c>
      <c r="K269" s="245">
        <v>8</v>
      </c>
      <c r="L269" s="245">
        <v>10.3</v>
      </c>
      <c r="M269" s="315"/>
      <c r="N269" s="245">
        <v>82.6</v>
      </c>
      <c r="O269" s="245"/>
      <c r="P269" s="245"/>
      <c r="Q269" s="245"/>
      <c r="R269" s="245"/>
      <c r="S269" s="245">
        <f t="shared" si="2"/>
        <v>82.6</v>
      </c>
      <c r="T269" s="278"/>
      <c r="U269" s="245"/>
    </row>
    <row r="270" spans="4:21" ht="47.25">
      <c r="D270" s="294" t="s">
        <v>706</v>
      </c>
      <c r="E270" s="261" t="s">
        <v>508</v>
      </c>
      <c r="F270" s="246">
        <v>1</v>
      </c>
      <c r="G270" s="245">
        <v>15.3</v>
      </c>
      <c r="H270" s="245"/>
      <c r="I270" s="245"/>
      <c r="J270" s="245">
        <v>4.9000000000000004</v>
      </c>
      <c r="K270" s="245">
        <v>2.6</v>
      </c>
      <c r="L270" s="245">
        <v>22.3</v>
      </c>
      <c r="M270" s="315"/>
      <c r="N270" s="245">
        <v>57</v>
      </c>
      <c r="O270" s="245"/>
      <c r="P270" s="245"/>
      <c r="Q270" s="245"/>
      <c r="R270" s="245"/>
      <c r="S270" s="245">
        <f t="shared" si="2"/>
        <v>57</v>
      </c>
      <c r="T270" s="278"/>
      <c r="U270" s="245"/>
    </row>
    <row r="271" spans="4:21" ht="47.25">
      <c r="D271" s="294" t="s">
        <v>707</v>
      </c>
      <c r="E271" s="261" t="s">
        <v>508</v>
      </c>
      <c r="F271" s="246">
        <v>1</v>
      </c>
      <c r="G271" s="245">
        <v>15.3</v>
      </c>
      <c r="H271" s="245"/>
      <c r="I271" s="245"/>
      <c r="J271" s="245">
        <v>4.9000000000000004</v>
      </c>
      <c r="K271" s="245">
        <v>2.6</v>
      </c>
      <c r="L271" s="245">
        <v>22.3</v>
      </c>
      <c r="M271" s="315"/>
      <c r="N271" s="245">
        <v>57</v>
      </c>
      <c r="O271" s="245"/>
      <c r="P271" s="245"/>
      <c r="Q271" s="245"/>
      <c r="R271" s="245"/>
      <c r="S271" s="245">
        <f t="shared" si="2"/>
        <v>57</v>
      </c>
      <c r="T271" s="278"/>
      <c r="U271" s="245"/>
    </row>
    <row r="272" spans="4:21" ht="47.25">
      <c r="D272" s="294" t="s">
        <v>708</v>
      </c>
      <c r="E272" s="261" t="s">
        <v>511</v>
      </c>
      <c r="F272" s="246">
        <v>1</v>
      </c>
      <c r="G272" s="245">
        <v>15.3</v>
      </c>
      <c r="H272" s="245"/>
      <c r="I272" s="245"/>
      <c r="J272" s="245">
        <v>4.9000000000000004</v>
      </c>
      <c r="K272" s="245">
        <v>2.6</v>
      </c>
      <c r="L272" s="245">
        <v>22.3</v>
      </c>
      <c r="M272" s="315"/>
      <c r="N272" s="245">
        <v>57</v>
      </c>
      <c r="O272" s="245"/>
      <c r="P272" s="245"/>
      <c r="Q272" s="245"/>
      <c r="R272" s="245"/>
      <c r="S272" s="245">
        <f t="shared" si="2"/>
        <v>57</v>
      </c>
      <c r="T272" s="278"/>
      <c r="U272" s="245"/>
    </row>
    <row r="273" spans="4:21" ht="47.25">
      <c r="D273" s="294" t="s">
        <v>709</v>
      </c>
      <c r="E273" s="261" t="s">
        <v>511</v>
      </c>
      <c r="F273" s="246">
        <v>1</v>
      </c>
      <c r="G273" s="245">
        <v>15.3</v>
      </c>
      <c r="H273" s="245"/>
      <c r="I273" s="245"/>
      <c r="J273" s="245">
        <v>4.9000000000000004</v>
      </c>
      <c r="K273" s="245">
        <v>2.6</v>
      </c>
      <c r="L273" s="245">
        <v>22.3</v>
      </c>
      <c r="M273" s="315"/>
      <c r="N273" s="245">
        <v>57</v>
      </c>
      <c r="O273" s="245"/>
      <c r="P273" s="245"/>
      <c r="Q273" s="245"/>
      <c r="R273" s="245"/>
      <c r="S273" s="245">
        <f t="shared" si="2"/>
        <v>57</v>
      </c>
      <c r="T273" s="278"/>
      <c r="U273" s="245"/>
    </row>
    <row r="274" spans="4:21" ht="47.25">
      <c r="D274" s="294" t="s">
        <v>710</v>
      </c>
      <c r="E274" s="261" t="s">
        <v>512</v>
      </c>
      <c r="F274" s="246">
        <v>1</v>
      </c>
      <c r="G274" s="245">
        <v>47.9</v>
      </c>
      <c r="H274" s="245"/>
      <c r="I274" s="245"/>
      <c r="J274" s="245">
        <v>15.4</v>
      </c>
      <c r="K274" s="245">
        <v>8</v>
      </c>
      <c r="L274" s="245">
        <v>10.3</v>
      </c>
      <c r="M274" s="315"/>
      <c r="N274" s="245">
        <v>82.6</v>
      </c>
      <c r="O274" s="245"/>
      <c r="P274" s="245"/>
      <c r="Q274" s="245"/>
      <c r="R274" s="245"/>
      <c r="S274" s="245">
        <f t="shared" si="2"/>
        <v>82.6</v>
      </c>
      <c r="T274" s="278"/>
      <c r="U274" s="245"/>
    </row>
    <row r="275" spans="4:21" ht="47.25">
      <c r="D275" s="294" t="s">
        <v>711</v>
      </c>
      <c r="E275" s="261" t="s">
        <v>513</v>
      </c>
      <c r="F275" s="246">
        <v>1</v>
      </c>
      <c r="G275" s="245">
        <v>47.9</v>
      </c>
      <c r="H275" s="245"/>
      <c r="I275" s="245"/>
      <c r="J275" s="245">
        <v>15.4</v>
      </c>
      <c r="K275" s="245">
        <v>8</v>
      </c>
      <c r="L275" s="245">
        <v>10.3</v>
      </c>
      <c r="M275" s="315"/>
      <c r="N275" s="245">
        <v>82.6</v>
      </c>
      <c r="O275" s="245"/>
      <c r="P275" s="245"/>
      <c r="Q275" s="245"/>
      <c r="R275" s="245"/>
      <c r="S275" s="245">
        <f t="shared" si="2"/>
        <v>82.6</v>
      </c>
      <c r="T275" s="278"/>
      <c r="U275" s="245"/>
    </row>
    <row r="276" spans="4:21" ht="47.25">
      <c r="D276" s="294" t="s">
        <v>712</v>
      </c>
      <c r="E276" s="261" t="s">
        <v>514</v>
      </c>
      <c r="F276" s="246">
        <v>1</v>
      </c>
      <c r="G276" s="245">
        <v>24.5</v>
      </c>
      <c r="H276" s="245"/>
      <c r="I276" s="245"/>
      <c r="J276" s="245">
        <v>7.9</v>
      </c>
      <c r="K276" s="245">
        <v>4.0999999999999996</v>
      </c>
      <c r="L276" s="245">
        <v>18.8</v>
      </c>
      <c r="M276" s="315"/>
      <c r="N276" s="245">
        <v>76.900000000000006</v>
      </c>
      <c r="O276" s="245"/>
      <c r="P276" s="245"/>
      <c r="Q276" s="245"/>
      <c r="R276" s="245"/>
      <c r="S276" s="245">
        <f t="shared" si="2"/>
        <v>76.900000000000006</v>
      </c>
      <c r="T276" s="278"/>
      <c r="U276" s="245"/>
    </row>
    <row r="277" spans="4:21" ht="47.25">
      <c r="D277" s="294" t="s">
        <v>713</v>
      </c>
      <c r="E277" s="261" t="s">
        <v>516</v>
      </c>
      <c r="F277" s="246">
        <v>1</v>
      </c>
      <c r="G277" s="245">
        <v>13.9</v>
      </c>
      <c r="H277" s="245"/>
      <c r="I277" s="245"/>
      <c r="J277" s="245">
        <v>4.5</v>
      </c>
      <c r="K277" s="245">
        <v>2.2999999999999998</v>
      </c>
      <c r="L277" s="245">
        <v>14.7</v>
      </c>
      <c r="M277" s="315"/>
      <c r="N277" s="245">
        <v>34.200000000000003</v>
      </c>
      <c r="O277" s="245"/>
      <c r="P277" s="245"/>
      <c r="Q277" s="245"/>
      <c r="R277" s="245"/>
      <c r="S277" s="245">
        <f t="shared" si="2"/>
        <v>34.200000000000003</v>
      </c>
      <c r="T277" s="278"/>
      <c r="U277" s="245"/>
    </row>
    <row r="278" spans="4:21" ht="47.25">
      <c r="D278" s="294" t="s">
        <v>714</v>
      </c>
      <c r="E278" s="261" t="s">
        <v>516</v>
      </c>
      <c r="F278" s="246">
        <v>1</v>
      </c>
      <c r="G278" s="245">
        <v>13.9</v>
      </c>
      <c r="H278" s="245"/>
      <c r="I278" s="245"/>
      <c r="J278" s="245">
        <v>4.5</v>
      </c>
      <c r="K278" s="245">
        <v>2.2999999999999998</v>
      </c>
      <c r="L278" s="245">
        <v>14.7</v>
      </c>
      <c r="M278" s="315"/>
      <c r="N278" s="245">
        <v>34.200000000000003</v>
      </c>
      <c r="O278" s="245"/>
      <c r="P278" s="245"/>
      <c r="Q278" s="245"/>
      <c r="R278" s="245"/>
      <c r="S278" s="245">
        <f t="shared" si="2"/>
        <v>34.200000000000003</v>
      </c>
      <c r="T278" s="278"/>
      <c r="U278" s="245"/>
    </row>
    <row r="279" spans="4:21" ht="47.25">
      <c r="D279" s="294" t="s">
        <v>715</v>
      </c>
      <c r="E279" s="261" t="s">
        <v>517</v>
      </c>
      <c r="F279" s="246">
        <v>1</v>
      </c>
      <c r="G279" s="245">
        <v>15.3</v>
      </c>
      <c r="H279" s="245"/>
      <c r="I279" s="245"/>
      <c r="J279" s="245">
        <v>4.9000000000000004</v>
      </c>
      <c r="K279" s="245">
        <v>2.6</v>
      </c>
      <c r="L279" s="245">
        <v>22.3</v>
      </c>
      <c r="M279" s="315"/>
      <c r="N279" s="245">
        <v>57</v>
      </c>
      <c r="O279" s="245"/>
      <c r="P279" s="245"/>
      <c r="Q279" s="245"/>
      <c r="R279" s="245"/>
      <c r="S279" s="245">
        <f t="shared" si="2"/>
        <v>57</v>
      </c>
      <c r="T279" s="278"/>
      <c r="U279" s="245"/>
    </row>
    <row r="280" spans="4:21" ht="47.25">
      <c r="D280" s="294" t="s">
        <v>716</v>
      </c>
      <c r="E280" s="261" t="s">
        <v>517</v>
      </c>
      <c r="F280" s="246">
        <v>1</v>
      </c>
      <c r="G280" s="245">
        <v>15.3</v>
      </c>
      <c r="H280" s="245"/>
      <c r="I280" s="245"/>
      <c r="J280" s="245">
        <v>4.9000000000000004</v>
      </c>
      <c r="K280" s="245">
        <v>2.6</v>
      </c>
      <c r="L280" s="245">
        <v>22.3</v>
      </c>
      <c r="M280" s="315"/>
      <c r="N280" s="245">
        <v>57</v>
      </c>
      <c r="O280" s="245"/>
      <c r="P280" s="245"/>
      <c r="Q280" s="245"/>
      <c r="R280" s="245"/>
      <c r="S280" s="245">
        <f t="shared" si="2"/>
        <v>57</v>
      </c>
      <c r="T280" s="278"/>
      <c r="U280" s="245"/>
    </row>
    <row r="281" spans="4:21" ht="47.25">
      <c r="D281" s="294" t="s">
        <v>717</v>
      </c>
      <c r="E281" s="261" t="s">
        <v>517</v>
      </c>
      <c r="F281" s="246">
        <v>1</v>
      </c>
      <c r="G281" s="245">
        <v>15.3</v>
      </c>
      <c r="H281" s="245"/>
      <c r="I281" s="245"/>
      <c r="J281" s="245">
        <v>4.9000000000000004</v>
      </c>
      <c r="K281" s="245">
        <v>2.6</v>
      </c>
      <c r="L281" s="245">
        <v>22.3</v>
      </c>
      <c r="M281" s="315"/>
      <c r="N281" s="245">
        <v>57</v>
      </c>
      <c r="O281" s="245"/>
      <c r="P281" s="245"/>
      <c r="Q281" s="245"/>
      <c r="R281" s="245"/>
      <c r="S281" s="245">
        <f t="shared" si="2"/>
        <v>57</v>
      </c>
      <c r="T281" s="278"/>
      <c r="U281" s="245"/>
    </row>
    <row r="282" spans="4:21" ht="47.25">
      <c r="D282" s="294" t="s">
        <v>718</v>
      </c>
      <c r="E282" s="261" t="s">
        <v>517</v>
      </c>
      <c r="F282" s="246">
        <v>1</v>
      </c>
      <c r="G282" s="245">
        <v>15.3</v>
      </c>
      <c r="H282" s="245"/>
      <c r="I282" s="245"/>
      <c r="J282" s="245">
        <v>4.9000000000000004</v>
      </c>
      <c r="K282" s="245">
        <v>2.6</v>
      </c>
      <c r="L282" s="245">
        <v>22.3</v>
      </c>
      <c r="M282" s="315"/>
      <c r="N282" s="245">
        <v>57</v>
      </c>
      <c r="O282" s="245"/>
      <c r="P282" s="245"/>
      <c r="Q282" s="245"/>
      <c r="R282" s="245"/>
      <c r="S282" s="245">
        <f t="shared" si="2"/>
        <v>57</v>
      </c>
      <c r="T282" s="278"/>
      <c r="U282" s="245"/>
    </row>
    <row r="283" spans="4:21" ht="47.25">
      <c r="D283" s="294" t="s">
        <v>719</v>
      </c>
      <c r="E283" s="261" t="s">
        <v>517</v>
      </c>
      <c r="F283" s="246">
        <v>1</v>
      </c>
      <c r="G283" s="245">
        <v>15.3</v>
      </c>
      <c r="H283" s="245"/>
      <c r="I283" s="245"/>
      <c r="J283" s="245">
        <v>4.9000000000000004</v>
      </c>
      <c r="K283" s="245">
        <v>2.6</v>
      </c>
      <c r="L283" s="245">
        <v>22.3</v>
      </c>
      <c r="M283" s="315"/>
      <c r="N283" s="245">
        <v>57</v>
      </c>
      <c r="O283" s="245"/>
      <c r="P283" s="245"/>
      <c r="Q283" s="245"/>
      <c r="R283" s="245"/>
      <c r="S283" s="245">
        <f t="shared" si="2"/>
        <v>57</v>
      </c>
      <c r="T283" s="278"/>
      <c r="U283" s="245"/>
    </row>
    <row r="284" spans="4:21" ht="47.25">
      <c r="D284" s="294" t="s">
        <v>720</v>
      </c>
      <c r="E284" s="261" t="s">
        <v>516</v>
      </c>
      <c r="F284" s="246">
        <v>1</v>
      </c>
      <c r="G284" s="245">
        <v>13.9</v>
      </c>
      <c r="H284" s="245"/>
      <c r="I284" s="245"/>
      <c r="J284" s="245">
        <v>4.5</v>
      </c>
      <c r="K284" s="245">
        <v>2.2999999999999998</v>
      </c>
      <c r="L284" s="245">
        <v>14.7</v>
      </c>
      <c r="M284" s="315"/>
      <c r="N284" s="245">
        <v>34.200000000000003</v>
      </c>
      <c r="O284" s="245"/>
      <c r="P284" s="245"/>
      <c r="Q284" s="245"/>
      <c r="R284" s="245"/>
      <c r="S284" s="245">
        <f t="shared" si="2"/>
        <v>34.200000000000003</v>
      </c>
      <c r="T284" s="278"/>
      <c r="U284" s="245"/>
    </row>
    <row r="285" spans="4:21" ht="47.25">
      <c r="D285" s="294" t="s">
        <v>721</v>
      </c>
      <c r="E285" s="261" t="s">
        <v>519</v>
      </c>
      <c r="F285" s="246">
        <v>1</v>
      </c>
      <c r="G285" s="245">
        <v>13.8</v>
      </c>
      <c r="H285" s="245"/>
      <c r="I285" s="245"/>
      <c r="J285" s="245">
        <v>4.5</v>
      </c>
      <c r="K285" s="245">
        <v>2.2999999999999998</v>
      </c>
      <c r="L285" s="245">
        <v>14.8</v>
      </c>
      <c r="M285" s="315"/>
      <c r="N285" s="245">
        <v>34.200000000000003</v>
      </c>
      <c r="O285" s="245"/>
      <c r="P285" s="245"/>
      <c r="Q285" s="245"/>
      <c r="R285" s="245"/>
      <c r="S285" s="245">
        <f t="shared" si="2"/>
        <v>34.200000000000003</v>
      </c>
      <c r="T285" s="278"/>
      <c r="U285" s="245"/>
    </row>
    <row r="286" spans="4:21" ht="47.25">
      <c r="D286" s="294" t="s">
        <v>722</v>
      </c>
      <c r="E286" s="261" t="s">
        <v>520</v>
      </c>
      <c r="F286" s="246">
        <v>1</v>
      </c>
      <c r="G286" s="245">
        <v>24.5</v>
      </c>
      <c r="H286" s="245"/>
      <c r="I286" s="245"/>
      <c r="J286" s="245">
        <v>7.9</v>
      </c>
      <c r="K286" s="245">
        <v>4.0999999999999996</v>
      </c>
      <c r="L286" s="245">
        <v>18.8</v>
      </c>
      <c r="M286" s="315"/>
      <c r="N286" s="245">
        <v>76.900000000000006</v>
      </c>
      <c r="O286" s="245"/>
      <c r="P286" s="245"/>
      <c r="Q286" s="245"/>
      <c r="R286" s="245"/>
      <c r="S286" s="245">
        <f t="shared" si="2"/>
        <v>76.900000000000006</v>
      </c>
      <c r="T286" s="278"/>
      <c r="U286" s="245"/>
    </row>
    <row r="287" spans="4:21" ht="47.25">
      <c r="D287" s="294" t="s">
        <v>723</v>
      </c>
      <c r="E287" s="261" t="s">
        <v>521</v>
      </c>
      <c r="F287" s="246">
        <v>1</v>
      </c>
      <c r="G287" s="245">
        <v>7</v>
      </c>
      <c r="H287" s="245"/>
      <c r="I287" s="245"/>
      <c r="J287" s="245">
        <v>2.2000000000000002</v>
      </c>
      <c r="K287" s="245">
        <v>1.2</v>
      </c>
      <c r="L287" s="245">
        <v>34.299999999999997</v>
      </c>
      <c r="M287" s="315"/>
      <c r="N287" s="245">
        <v>39.9</v>
      </c>
      <c r="O287" s="245"/>
      <c r="P287" s="245"/>
      <c r="Q287" s="245"/>
      <c r="R287" s="245"/>
      <c r="S287" s="245">
        <f t="shared" si="2"/>
        <v>39.9</v>
      </c>
      <c r="T287" s="278"/>
      <c r="U287" s="245"/>
    </row>
    <row r="288" spans="4:21" ht="47.25">
      <c r="D288" s="294" t="s">
        <v>724</v>
      </c>
      <c r="E288" s="261" t="s">
        <v>521</v>
      </c>
      <c r="F288" s="246">
        <v>1</v>
      </c>
      <c r="G288" s="245">
        <v>7</v>
      </c>
      <c r="H288" s="245"/>
      <c r="I288" s="245"/>
      <c r="J288" s="245">
        <v>2.2000000000000002</v>
      </c>
      <c r="K288" s="245">
        <v>1.2</v>
      </c>
      <c r="L288" s="245">
        <v>34.299999999999997</v>
      </c>
      <c r="M288" s="315"/>
      <c r="N288" s="245">
        <v>39.9</v>
      </c>
      <c r="O288" s="245"/>
      <c r="P288" s="245"/>
      <c r="Q288" s="245"/>
      <c r="R288" s="245"/>
      <c r="S288" s="245">
        <f t="shared" si="2"/>
        <v>39.9</v>
      </c>
      <c r="T288" s="278"/>
      <c r="U288" s="245"/>
    </row>
    <row r="289" spans="4:21" ht="47.25">
      <c r="D289" s="294" t="s">
        <v>725</v>
      </c>
      <c r="E289" s="261" t="s">
        <v>524</v>
      </c>
      <c r="F289" s="246">
        <v>1</v>
      </c>
      <c r="G289" s="245">
        <v>47.9</v>
      </c>
      <c r="H289" s="245"/>
      <c r="I289" s="245"/>
      <c r="J289" s="245">
        <v>15.4</v>
      </c>
      <c r="K289" s="245">
        <v>8</v>
      </c>
      <c r="L289" s="245">
        <v>10.3</v>
      </c>
      <c r="M289" s="315"/>
      <c r="N289" s="245">
        <v>82.6</v>
      </c>
      <c r="O289" s="245"/>
      <c r="P289" s="245"/>
      <c r="Q289" s="245"/>
      <c r="R289" s="245"/>
      <c r="S289" s="245">
        <f t="shared" si="2"/>
        <v>82.6</v>
      </c>
      <c r="T289" s="278"/>
      <c r="U289" s="245"/>
    </row>
    <row r="290" spans="4:21" ht="47.25">
      <c r="D290" s="294" t="s">
        <v>726</v>
      </c>
      <c r="E290" s="261" t="s">
        <v>525</v>
      </c>
      <c r="F290" s="246">
        <v>1</v>
      </c>
      <c r="G290" s="245">
        <v>47.9</v>
      </c>
      <c r="H290" s="245"/>
      <c r="I290" s="245"/>
      <c r="J290" s="245">
        <v>15.4</v>
      </c>
      <c r="K290" s="245">
        <v>8</v>
      </c>
      <c r="L290" s="245">
        <v>10.3</v>
      </c>
      <c r="M290" s="315"/>
      <c r="N290" s="245">
        <v>82.6</v>
      </c>
      <c r="O290" s="245"/>
      <c r="P290" s="245"/>
      <c r="Q290" s="245"/>
      <c r="R290" s="245"/>
      <c r="S290" s="245">
        <f t="shared" si="2"/>
        <v>82.6</v>
      </c>
      <c r="T290" s="278"/>
      <c r="U290" s="245"/>
    </row>
    <row r="291" spans="4:21" ht="47.25">
      <c r="D291" s="294" t="s">
        <v>727</v>
      </c>
      <c r="E291" s="261" t="s">
        <v>526</v>
      </c>
      <c r="F291" s="246">
        <v>1</v>
      </c>
      <c r="G291" s="245">
        <v>47.9</v>
      </c>
      <c r="H291" s="245"/>
      <c r="I291" s="245"/>
      <c r="J291" s="245">
        <v>15.4</v>
      </c>
      <c r="K291" s="245">
        <v>8</v>
      </c>
      <c r="L291" s="245">
        <v>10.3</v>
      </c>
      <c r="M291" s="315"/>
      <c r="N291" s="245">
        <v>82.6</v>
      </c>
      <c r="O291" s="245"/>
      <c r="P291" s="245"/>
      <c r="Q291" s="245"/>
      <c r="R291" s="245"/>
      <c r="S291" s="245">
        <f t="shared" si="2"/>
        <v>82.6</v>
      </c>
      <c r="T291" s="278"/>
      <c r="U291" s="245"/>
    </row>
    <row r="292" spans="4:21" ht="47.25">
      <c r="D292" s="294" t="s">
        <v>728</v>
      </c>
      <c r="E292" s="261" t="s">
        <v>527</v>
      </c>
      <c r="F292" s="246">
        <v>1</v>
      </c>
      <c r="G292" s="245">
        <v>13.8</v>
      </c>
      <c r="H292" s="245"/>
      <c r="I292" s="245"/>
      <c r="J292" s="245">
        <v>4.5</v>
      </c>
      <c r="K292" s="245">
        <v>2.2999999999999998</v>
      </c>
      <c r="L292" s="245">
        <v>14.8</v>
      </c>
      <c r="M292" s="315"/>
      <c r="N292" s="245">
        <v>34.200000000000003</v>
      </c>
      <c r="O292" s="245"/>
      <c r="P292" s="245"/>
      <c r="Q292" s="245"/>
      <c r="R292" s="245"/>
      <c r="S292" s="245">
        <f t="shared" si="2"/>
        <v>34.200000000000003</v>
      </c>
      <c r="T292" s="278"/>
      <c r="U292" s="245"/>
    </row>
    <row r="293" spans="4:21" ht="47.25">
      <c r="D293" s="294" t="s">
        <v>729</v>
      </c>
      <c r="E293" s="261" t="s">
        <v>527</v>
      </c>
      <c r="F293" s="246">
        <v>1</v>
      </c>
      <c r="G293" s="245">
        <v>13.8</v>
      </c>
      <c r="H293" s="245"/>
      <c r="I293" s="245"/>
      <c r="J293" s="245">
        <v>4.5</v>
      </c>
      <c r="K293" s="245">
        <v>2.2999999999999998</v>
      </c>
      <c r="L293" s="245">
        <v>14.8</v>
      </c>
      <c r="M293" s="315"/>
      <c r="N293" s="245">
        <v>34.200000000000003</v>
      </c>
      <c r="O293" s="245"/>
      <c r="P293" s="245"/>
      <c r="Q293" s="245"/>
      <c r="R293" s="245"/>
      <c r="S293" s="245">
        <f t="shared" si="2"/>
        <v>34.200000000000003</v>
      </c>
      <c r="T293" s="278"/>
      <c r="U293" s="245"/>
    </row>
    <row r="294" spans="4:21" ht="47.25">
      <c r="D294" s="294" t="s">
        <v>730</v>
      </c>
      <c r="E294" s="261" t="s">
        <v>529</v>
      </c>
      <c r="F294" s="246">
        <v>1</v>
      </c>
      <c r="G294" s="245">
        <v>13.8</v>
      </c>
      <c r="H294" s="245"/>
      <c r="I294" s="245"/>
      <c r="J294" s="245">
        <v>4.5</v>
      </c>
      <c r="K294" s="245">
        <v>2.2999999999999998</v>
      </c>
      <c r="L294" s="245">
        <v>14.8</v>
      </c>
      <c r="M294" s="315"/>
      <c r="N294" s="245">
        <v>34.200000000000003</v>
      </c>
      <c r="O294" s="245"/>
      <c r="P294" s="245"/>
      <c r="Q294" s="245"/>
      <c r="R294" s="245"/>
      <c r="S294" s="245">
        <f t="shared" si="2"/>
        <v>34.200000000000003</v>
      </c>
      <c r="T294" s="278"/>
      <c r="U294" s="245"/>
    </row>
    <row r="295" spans="4:21" ht="47.25">
      <c r="D295" s="294" t="s">
        <v>731</v>
      </c>
      <c r="E295" s="261" t="s">
        <v>529</v>
      </c>
      <c r="F295" s="246">
        <v>1</v>
      </c>
      <c r="G295" s="245">
        <v>13.8</v>
      </c>
      <c r="H295" s="245"/>
      <c r="I295" s="245"/>
      <c r="J295" s="245">
        <v>4.5</v>
      </c>
      <c r="K295" s="245">
        <v>2.2999999999999998</v>
      </c>
      <c r="L295" s="245">
        <v>14.8</v>
      </c>
      <c r="M295" s="315"/>
      <c r="N295" s="245">
        <v>34.200000000000003</v>
      </c>
      <c r="O295" s="245"/>
      <c r="P295" s="245"/>
      <c r="Q295" s="245"/>
      <c r="R295" s="245"/>
      <c r="S295" s="245">
        <f t="shared" si="2"/>
        <v>34.200000000000003</v>
      </c>
      <c r="T295" s="278"/>
      <c r="U295" s="245"/>
    </row>
    <row r="296" spans="4:21" ht="47.25">
      <c r="D296" s="294" t="s">
        <v>732</v>
      </c>
      <c r="E296" s="261" t="s">
        <v>530</v>
      </c>
      <c r="F296" s="246">
        <v>1</v>
      </c>
      <c r="G296" s="245">
        <v>3.8</v>
      </c>
      <c r="H296" s="245"/>
      <c r="I296" s="245"/>
      <c r="J296" s="245">
        <v>1.2</v>
      </c>
      <c r="K296" s="245">
        <v>0.6</v>
      </c>
      <c r="L296" s="245">
        <v>45.2</v>
      </c>
      <c r="M296" s="315"/>
      <c r="N296" s="245">
        <v>28.5</v>
      </c>
      <c r="O296" s="245"/>
      <c r="P296" s="245"/>
      <c r="Q296" s="245"/>
      <c r="R296" s="245"/>
      <c r="S296" s="245">
        <f t="shared" si="2"/>
        <v>28.5</v>
      </c>
      <c r="T296" s="278"/>
      <c r="U296" s="245"/>
    </row>
    <row r="297" spans="4:21" ht="47.25">
      <c r="D297" s="294" t="s">
        <v>733</v>
      </c>
      <c r="E297" s="261" t="s">
        <v>531</v>
      </c>
      <c r="F297" s="246">
        <v>1</v>
      </c>
      <c r="G297" s="245">
        <v>47.9</v>
      </c>
      <c r="H297" s="245"/>
      <c r="I297" s="245"/>
      <c r="J297" s="245">
        <v>15.4</v>
      </c>
      <c r="K297" s="245">
        <v>8</v>
      </c>
      <c r="L297" s="245">
        <v>10.3</v>
      </c>
      <c r="M297" s="315"/>
      <c r="N297" s="245">
        <v>82.6</v>
      </c>
      <c r="O297" s="245"/>
      <c r="P297" s="245"/>
      <c r="Q297" s="245"/>
      <c r="R297" s="245"/>
      <c r="S297" s="245">
        <f t="shared" si="2"/>
        <v>82.6</v>
      </c>
      <c r="T297" s="278"/>
      <c r="U297" s="245"/>
    </row>
    <row r="298" spans="4:21" ht="47.25">
      <c r="D298" s="294" t="s">
        <v>734</v>
      </c>
      <c r="E298" s="261" t="s">
        <v>531</v>
      </c>
      <c r="F298" s="246">
        <v>1</v>
      </c>
      <c r="G298" s="245">
        <v>47.9</v>
      </c>
      <c r="H298" s="245"/>
      <c r="I298" s="245"/>
      <c r="J298" s="245">
        <v>15.4</v>
      </c>
      <c r="K298" s="245">
        <v>8</v>
      </c>
      <c r="L298" s="245">
        <v>10.3</v>
      </c>
      <c r="M298" s="315"/>
      <c r="N298" s="245">
        <v>82.6</v>
      </c>
      <c r="O298" s="245"/>
      <c r="P298" s="245"/>
      <c r="Q298" s="245"/>
      <c r="R298" s="245"/>
      <c r="S298" s="245">
        <f t="shared" si="2"/>
        <v>82.6</v>
      </c>
      <c r="T298" s="278"/>
      <c r="U298" s="245"/>
    </row>
    <row r="299" spans="4:21" ht="47.25">
      <c r="D299" s="294" t="s">
        <v>735</v>
      </c>
      <c r="E299" s="261" t="s">
        <v>534</v>
      </c>
      <c r="F299" s="246">
        <v>1</v>
      </c>
      <c r="G299" s="245">
        <v>24.5</v>
      </c>
      <c r="H299" s="245"/>
      <c r="I299" s="245"/>
      <c r="J299" s="245">
        <v>7.9</v>
      </c>
      <c r="K299" s="245">
        <v>4.0999999999999996</v>
      </c>
      <c r="L299" s="245">
        <v>18.8</v>
      </c>
      <c r="M299" s="315"/>
      <c r="N299" s="245">
        <v>76.900000000000006</v>
      </c>
      <c r="O299" s="245"/>
      <c r="P299" s="245"/>
      <c r="Q299" s="245"/>
      <c r="R299" s="245"/>
      <c r="S299" s="245">
        <f t="shared" si="2"/>
        <v>76.900000000000006</v>
      </c>
      <c r="T299" s="278"/>
      <c r="U299" s="245"/>
    </row>
    <row r="300" spans="4:21" ht="47.25">
      <c r="D300" s="294" t="s">
        <v>736</v>
      </c>
      <c r="E300" s="261" t="s">
        <v>535</v>
      </c>
      <c r="F300" s="246">
        <v>1</v>
      </c>
      <c r="G300" s="245">
        <v>47.9</v>
      </c>
      <c r="H300" s="245"/>
      <c r="I300" s="245"/>
      <c r="J300" s="245">
        <v>15.4</v>
      </c>
      <c r="K300" s="245">
        <v>8</v>
      </c>
      <c r="L300" s="245">
        <v>10.3</v>
      </c>
      <c r="M300" s="315"/>
      <c r="N300" s="245">
        <v>82.6</v>
      </c>
      <c r="O300" s="245"/>
      <c r="P300" s="245"/>
      <c r="Q300" s="245"/>
      <c r="R300" s="245"/>
      <c r="S300" s="245">
        <f t="shared" si="2"/>
        <v>82.6</v>
      </c>
      <c r="T300" s="278"/>
      <c r="U300" s="245"/>
    </row>
    <row r="301" spans="4:21" ht="47.25">
      <c r="D301" s="294" t="s">
        <v>737</v>
      </c>
      <c r="E301" s="261" t="s">
        <v>537</v>
      </c>
      <c r="F301" s="246">
        <v>1</v>
      </c>
      <c r="G301" s="245">
        <v>15.3</v>
      </c>
      <c r="H301" s="245"/>
      <c r="I301" s="245"/>
      <c r="J301" s="245">
        <v>4.9000000000000004</v>
      </c>
      <c r="K301" s="245">
        <v>2.6</v>
      </c>
      <c r="L301" s="245">
        <v>22.3</v>
      </c>
      <c r="M301" s="315"/>
      <c r="N301" s="245">
        <v>57</v>
      </c>
      <c r="O301" s="245"/>
      <c r="P301" s="245"/>
      <c r="Q301" s="245"/>
      <c r="R301" s="245"/>
      <c r="S301" s="245">
        <f t="shared" si="2"/>
        <v>57</v>
      </c>
      <c r="T301" s="278"/>
      <c r="U301" s="245"/>
    </row>
    <row r="302" spans="4:21" ht="47.25">
      <c r="D302" s="294" t="s">
        <v>738</v>
      </c>
      <c r="E302" s="261" t="s">
        <v>537</v>
      </c>
      <c r="F302" s="246">
        <v>1</v>
      </c>
      <c r="G302" s="245">
        <v>15.3</v>
      </c>
      <c r="H302" s="245"/>
      <c r="I302" s="245"/>
      <c r="J302" s="245">
        <v>4.9000000000000004</v>
      </c>
      <c r="K302" s="245">
        <v>2.6</v>
      </c>
      <c r="L302" s="245">
        <v>22.3</v>
      </c>
      <c r="M302" s="315"/>
      <c r="N302" s="245">
        <v>57</v>
      </c>
      <c r="O302" s="245"/>
      <c r="P302" s="245"/>
      <c r="Q302" s="245"/>
      <c r="R302" s="245"/>
      <c r="S302" s="245">
        <f t="shared" si="2"/>
        <v>57</v>
      </c>
      <c r="T302" s="278"/>
      <c r="U302" s="245"/>
    </row>
    <row r="303" spans="4:21" ht="47.25">
      <c r="D303" s="294" t="s">
        <v>739</v>
      </c>
      <c r="E303" s="261" t="s">
        <v>537</v>
      </c>
      <c r="F303" s="246">
        <v>1</v>
      </c>
      <c r="G303" s="245">
        <v>15.3</v>
      </c>
      <c r="H303" s="245"/>
      <c r="I303" s="245"/>
      <c r="J303" s="245">
        <v>4.9000000000000004</v>
      </c>
      <c r="K303" s="245">
        <v>2.6</v>
      </c>
      <c r="L303" s="245">
        <v>22.3</v>
      </c>
      <c r="M303" s="315"/>
      <c r="N303" s="245">
        <v>57</v>
      </c>
      <c r="O303" s="245"/>
      <c r="P303" s="245"/>
      <c r="Q303" s="245"/>
      <c r="R303" s="245"/>
      <c r="S303" s="245">
        <f t="shared" si="2"/>
        <v>57</v>
      </c>
      <c r="T303" s="278"/>
      <c r="U303" s="245"/>
    </row>
    <row r="304" spans="4:21" ht="47.25">
      <c r="D304" s="294" t="s">
        <v>740</v>
      </c>
      <c r="E304" s="261" t="s">
        <v>537</v>
      </c>
      <c r="F304" s="246">
        <v>1</v>
      </c>
      <c r="G304" s="245">
        <v>15.3</v>
      </c>
      <c r="H304" s="245"/>
      <c r="I304" s="245"/>
      <c r="J304" s="245">
        <v>4.9000000000000004</v>
      </c>
      <c r="K304" s="245">
        <v>2.6</v>
      </c>
      <c r="L304" s="245">
        <v>22.3</v>
      </c>
      <c r="M304" s="315"/>
      <c r="N304" s="245">
        <v>57</v>
      </c>
      <c r="O304" s="245"/>
      <c r="P304" s="245"/>
      <c r="Q304" s="245"/>
      <c r="R304" s="245"/>
      <c r="S304" s="245">
        <f t="shared" si="2"/>
        <v>57</v>
      </c>
      <c r="T304" s="278"/>
      <c r="U304" s="245"/>
    </row>
    <row r="305" spans="4:21" ht="47.25">
      <c r="D305" s="294" t="s">
        <v>741</v>
      </c>
      <c r="E305" s="261" t="s">
        <v>537</v>
      </c>
      <c r="F305" s="246">
        <v>1</v>
      </c>
      <c r="G305" s="245">
        <v>15.3</v>
      </c>
      <c r="H305" s="245"/>
      <c r="I305" s="245"/>
      <c r="J305" s="245">
        <v>4.9000000000000004</v>
      </c>
      <c r="K305" s="245">
        <v>2.6</v>
      </c>
      <c r="L305" s="245">
        <v>22.3</v>
      </c>
      <c r="M305" s="315"/>
      <c r="N305" s="245">
        <v>57</v>
      </c>
      <c r="O305" s="245"/>
      <c r="P305" s="245"/>
      <c r="Q305" s="245"/>
      <c r="R305" s="245"/>
      <c r="S305" s="245">
        <f t="shared" si="2"/>
        <v>57</v>
      </c>
      <c r="T305" s="278"/>
      <c r="U305" s="245"/>
    </row>
    <row r="306" spans="4:21" ht="47.25">
      <c r="D306" s="294" t="s">
        <v>742</v>
      </c>
      <c r="E306" s="261" t="s">
        <v>538</v>
      </c>
      <c r="F306" s="246">
        <v>1</v>
      </c>
      <c r="G306" s="245">
        <v>13.8</v>
      </c>
      <c r="H306" s="245"/>
      <c r="I306" s="245"/>
      <c r="J306" s="245">
        <v>4.5</v>
      </c>
      <c r="K306" s="245">
        <v>2.2999999999999998</v>
      </c>
      <c r="L306" s="245">
        <v>14.8</v>
      </c>
      <c r="M306" s="315"/>
      <c r="N306" s="245">
        <v>34.200000000000003</v>
      </c>
      <c r="O306" s="245"/>
      <c r="P306" s="245"/>
      <c r="Q306" s="245"/>
      <c r="R306" s="245"/>
      <c r="S306" s="245">
        <f t="shared" si="2"/>
        <v>34.200000000000003</v>
      </c>
      <c r="T306" s="278"/>
      <c r="U306" s="245"/>
    </row>
    <row r="307" spans="4:21" ht="47.25">
      <c r="D307" s="294" t="s">
        <v>743</v>
      </c>
      <c r="E307" s="261" t="s">
        <v>537</v>
      </c>
      <c r="F307" s="246">
        <v>1</v>
      </c>
      <c r="G307" s="245">
        <v>15.3</v>
      </c>
      <c r="H307" s="245"/>
      <c r="I307" s="245"/>
      <c r="J307" s="245">
        <v>4.9000000000000004</v>
      </c>
      <c r="K307" s="245">
        <v>2.6</v>
      </c>
      <c r="L307" s="245">
        <v>22.3</v>
      </c>
      <c r="M307" s="315"/>
      <c r="N307" s="245">
        <v>57</v>
      </c>
      <c r="O307" s="245"/>
      <c r="P307" s="245"/>
      <c r="Q307" s="245"/>
      <c r="R307" s="245"/>
      <c r="S307" s="245">
        <f t="shared" si="2"/>
        <v>57</v>
      </c>
      <c r="T307" s="278"/>
      <c r="U307" s="245"/>
    </row>
    <row r="308" spans="4:21" ht="47.25">
      <c r="D308" s="294" t="s">
        <v>744</v>
      </c>
      <c r="E308" s="261" t="s">
        <v>541</v>
      </c>
      <c r="F308" s="246">
        <v>1</v>
      </c>
      <c r="G308" s="245">
        <v>47.9</v>
      </c>
      <c r="H308" s="245"/>
      <c r="I308" s="245"/>
      <c r="J308" s="245">
        <v>15.4</v>
      </c>
      <c r="K308" s="245">
        <v>8</v>
      </c>
      <c r="L308" s="245">
        <v>10.3</v>
      </c>
      <c r="M308" s="315"/>
      <c r="N308" s="245">
        <v>82.6</v>
      </c>
      <c r="O308" s="245"/>
      <c r="P308" s="245"/>
      <c r="Q308" s="245"/>
      <c r="R308" s="245"/>
      <c r="S308" s="245">
        <f t="shared" si="2"/>
        <v>82.6</v>
      </c>
      <c r="T308" s="278"/>
      <c r="U308" s="245"/>
    </row>
    <row r="309" spans="4:21" ht="47.25">
      <c r="D309" s="294" t="s">
        <v>745</v>
      </c>
      <c r="E309" s="261" t="s">
        <v>542</v>
      </c>
      <c r="F309" s="246">
        <v>1</v>
      </c>
      <c r="G309" s="245">
        <v>15.3</v>
      </c>
      <c r="H309" s="245"/>
      <c r="I309" s="245"/>
      <c r="J309" s="245">
        <v>4.9000000000000004</v>
      </c>
      <c r="K309" s="245">
        <v>2.6</v>
      </c>
      <c r="L309" s="245">
        <v>22.3</v>
      </c>
      <c r="M309" s="315"/>
      <c r="N309" s="245">
        <v>57</v>
      </c>
      <c r="O309" s="245"/>
      <c r="P309" s="245"/>
      <c r="Q309" s="245"/>
      <c r="R309" s="245"/>
      <c r="S309" s="245">
        <f t="shared" si="2"/>
        <v>57</v>
      </c>
      <c r="T309" s="278"/>
      <c r="U309" s="245"/>
    </row>
    <row r="310" spans="4:21" ht="47.25">
      <c r="D310" s="294" t="s">
        <v>746</v>
      </c>
      <c r="E310" s="261" t="s">
        <v>542</v>
      </c>
      <c r="F310" s="246">
        <v>1</v>
      </c>
      <c r="G310" s="245">
        <v>15.3</v>
      </c>
      <c r="H310" s="245"/>
      <c r="I310" s="245"/>
      <c r="J310" s="245">
        <v>4.9000000000000004</v>
      </c>
      <c r="K310" s="245">
        <v>2.6</v>
      </c>
      <c r="L310" s="245">
        <v>22.3</v>
      </c>
      <c r="M310" s="315"/>
      <c r="N310" s="245">
        <v>57</v>
      </c>
      <c r="O310" s="245"/>
      <c r="P310" s="245"/>
      <c r="Q310" s="245"/>
      <c r="R310" s="245"/>
      <c r="S310" s="245">
        <f t="shared" si="2"/>
        <v>57</v>
      </c>
      <c r="T310" s="278"/>
      <c r="U310" s="245"/>
    </row>
    <row r="311" spans="4:21" ht="47.25">
      <c r="D311" s="294" t="s">
        <v>747</v>
      </c>
      <c r="E311" s="261" t="s">
        <v>543</v>
      </c>
      <c r="F311" s="246">
        <v>1</v>
      </c>
      <c r="G311" s="245">
        <v>13.8</v>
      </c>
      <c r="H311" s="245"/>
      <c r="I311" s="245"/>
      <c r="J311" s="245">
        <v>4.5</v>
      </c>
      <c r="K311" s="245">
        <v>2.2999999999999998</v>
      </c>
      <c r="L311" s="245">
        <v>14.8</v>
      </c>
      <c r="M311" s="315"/>
      <c r="N311" s="245">
        <v>34.200000000000003</v>
      </c>
      <c r="O311" s="245"/>
      <c r="P311" s="245"/>
      <c r="Q311" s="245"/>
      <c r="R311" s="245"/>
      <c r="S311" s="245">
        <f t="shared" si="2"/>
        <v>34.200000000000003</v>
      </c>
      <c r="T311" s="278"/>
      <c r="U311" s="245"/>
    </row>
    <row r="312" spans="4:21" ht="47.25">
      <c r="D312" s="294" t="s">
        <v>748</v>
      </c>
      <c r="E312" s="261" t="s">
        <v>549</v>
      </c>
      <c r="F312" s="246">
        <v>1</v>
      </c>
      <c r="G312" s="245">
        <v>13.8</v>
      </c>
      <c r="H312" s="245"/>
      <c r="I312" s="245"/>
      <c r="J312" s="245">
        <v>4.5</v>
      </c>
      <c r="K312" s="245">
        <v>2.2999999999999998</v>
      </c>
      <c r="L312" s="245">
        <v>14.8</v>
      </c>
      <c r="M312" s="315"/>
      <c r="N312" s="245">
        <v>34.200000000000003</v>
      </c>
      <c r="O312" s="245"/>
      <c r="P312" s="245"/>
      <c r="Q312" s="245"/>
      <c r="R312" s="245"/>
      <c r="S312" s="245">
        <f t="shared" si="2"/>
        <v>34.200000000000003</v>
      </c>
      <c r="T312" s="278"/>
      <c r="U312" s="245"/>
    </row>
    <row r="313" spans="4:21" ht="47.25">
      <c r="D313" s="294" t="s">
        <v>749</v>
      </c>
      <c r="E313" s="261" t="s">
        <v>550</v>
      </c>
      <c r="F313" s="246">
        <v>1</v>
      </c>
      <c r="G313" s="245">
        <v>47.9</v>
      </c>
      <c r="H313" s="245"/>
      <c r="I313" s="245"/>
      <c r="J313" s="245">
        <v>15.4</v>
      </c>
      <c r="K313" s="245">
        <v>8</v>
      </c>
      <c r="L313" s="245">
        <v>10.3</v>
      </c>
      <c r="M313" s="315"/>
      <c r="N313" s="245">
        <v>82.6</v>
      </c>
      <c r="O313" s="245"/>
      <c r="P313" s="245"/>
      <c r="Q313" s="245"/>
      <c r="R313" s="245"/>
      <c r="S313" s="245">
        <f t="shared" si="2"/>
        <v>82.6</v>
      </c>
      <c r="T313" s="278"/>
      <c r="U313" s="245"/>
    </row>
    <row r="314" spans="4:21" ht="47.25">
      <c r="D314" s="294" t="s">
        <v>750</v>
      </c>
      <c r="E314" s="261" t="s">
        <v>553</v>
      </c>
      <c r="F314" s="246">
        <v>1</v>
      </c>
      <c r="G314" s="245">
        <v>13.8</v>
      </c>
      <c r="H314" s="245"/>
      <c r="I314" s="245"/>
      <c r="J314" s="245">
        <v>4.5</v>
      </c>
      <c r="K314" s="245">
        <v>2.2999999999999998</v>
      </c>
      <c r="L314" s="245">
        <v>14.8</v>
      </c>
      <c r="M314" s="315"/>
      <c r="N314" s="245">
        <v>34.200000000000003</v>
      </c>
      <c r="O314" s="245"/>
      <c r="P314" s="245"/>
      <c r="Q314" s="245"/>
      <c r="R314" s="245"/>
      <c r="S314" s="245">
        <f t="shared" si="2"/>
        <v>34.200000000000003</v>
      </c>
      <c r="T314" s="278"/>
      <c r="U314" s="245"/>
    </row>
    <row r="315" spans="4:21" ht="47.25">
      <c r="D315" s="294" t="s">
        <v>751</v>
      </c>
      <c r="E315" s="261" t="s">
        <v>553</v>
      </c>
      <c r="F315" s="246">
        <v>1</v>
      </c>
      <c r="G315" s="245">
        <v>13.8</v>
      </c>
      <c r="H315" s="245"/>
      <c r="I315" s="245"/>
      <c r="J315" s="245">
        <v>4.5</v>
      </c>
      <c r="K315" s="245">
        <v>2.2999999999999998</v>
      </c>
      <c r="L315" s="245">
        <v>14.8</v>
      </c>
      <c r="M315" s="315"/>
      <c r="N315" s="245">
        <v>34.200000000000003</v>
      </c>
      <c r="O315" s="245"/>
      <c r="P315" s="245"/>
      <c r="Q315" s="245"/>
      <c r="R315" s="245"/>
      <c r="S315" s="245">
        <f t="shared" si="2"/>
        <v>34.200000000000003</v>
      </c>
      <c r="T315" s="278"/>
      <c r="U315" s="245"/>
    </row>
    <row r="316" spans="4:21" ht="47.25">
      <c r="D316" s="294" t="s">
        <v>752</v>
      </c>
      <c r="E316" s="261" t="s">
        <v>554</v>
      </c>
      <c r="F316" s="246">
        <v>1</v>
      </c>
      <c r="G316" s="245">
        <v>47.9</v>
      </c>
      <c r="H316" s="245"/>
      <c r="I316" s="245"/>
      <c r="J316" s="245">
        <v>15.4</v>
      </c>
      <c r="K316" s="245">
        <v>8</v>
      </c>
      <c r="L316" s="245">
        <v>10.3</v>
      </c>
      <c r="M316" s="315"/>
      <c r="N316" s="245">
        <v>82.6</v>
      </c>
      <c r="O316" s="245"/>
      <c r="P316" s="245"/>
      <c r="Q316" s="245"/>
      <c r="R316" s="245"/>
      <c r="S316" s="245">
        <f t="shared" si="2"/>
        <v>82.6</v>
      </c>
      <c r="T316" s="278"/>
      <c r="U316" s="245"/>
    </row>
    <row r="317" spans="4:21" ht="47.25">
      <c r="D317" s="294" t="s">
        <v>753</v>
      </c>
      <c r="E317" s="261" t="s">
        <v>555</v>
      </c>
      <c r="F317" s="246">
        <v>1</v>
      </c>
      <c r="G317" s="245">
        <v>7</v>
      </c>
      <c r="H317" s="245"/>
      <c r="I317" s="245"/>
      <c r="J317" s="245">
        <v>2.2000000000000002</v>
      </c>
      <c r="K317" s="245">
        <v>1.2</v>
      </c>
      <c r="L317" s="245">
        <v>34.299999999999997</v>
      </c>
      <c r="M317" s="315"/>
      <c r="N317" s="245">
        <v>39.9</v>
      </c>
      <c r="O317" s="245"/>
      <c r="P317" s="245"/>
      <c r="Q317" s="245"/>
      <c r="R317" s="245"/>
      <c r="S317" s="245">
        <f t="shared" si="2"/>
        <v>39.9</v>
      </c>
      <c r="T317" s="278"/>
      <c r="U317" s="245"/>
    </row>
    <row r="318" spans="4:21" ht="47.25">
      <c r="D318" s="294" t="s">
        <v>754</v>
      </c>
      <c r="E318" s="261" t="s">
        <v>558</v>
      </c>
      <c r="F318" s="246">
        <v>1</v>
      </c>
      <c r="G318" s="245">
        <v>19.8</v>
      </c>
      <c r="H318" s="245"/>
      <c r="I318" s="245"/>
      <c r="J318" s="245">
        <v>6.4</v>
      </c>
      <c r="K318" s="245">
        <v>3.3</v>
      </c>
      <c r="L318" s="245">
        <v>11.2</v>
      </c>
      <c r="M318" s="315"/>
      <c r="N318" s="245">
        <v>37.1</v>
      </c>
      <c r="O318" s="245"/>
      <c r="P318" s="245"/>
      <c r="Q318" s="245"/>
      <c r="R318" s="245"/>
      <c r="S318" s="245">
        <f t="shared" si="2"/>
        <v>37.1</v>
      </c>
      <c r="T318" s="278"/>
      <c r="U318" s="245"/>
    </row>
    <row r="319" spans="4:21" ht="47.25">
      <c r="D319" s="294" t="s">
        <v>755</v>
      </c>
      <c r="E319" s="261" t="s">
        <v>557</v>
      </c>
      <c r="F319" s="246">
        <v>1</v>
      </c>
      <c r="G319" s="245">
        <v>13.8</v>
      </c>
      <c r="H319" s="245"/>
      <c r="I319" s="245"/>
      <c r="J319" s="245">
        <v>4.5</v>
      </c>
      <c r="K319" s="245">
        <v>2.2999999999999998</v>
      </c>
      <c r="L319" s="245">
        <v>14.8</v>
      </c>
      <c r="M319" s="315"/>
      <c r="N319" s="245">
        <v>34.200000000000003</v>
      </c>
      <c r="O319" s="245"/>
      <c r="P319" s="245"/>
      <c r="Q319" s="245"/>
      <c r="R319" s="245"/>
      <c r="S319" s="245">
        <f t="shared" si="2"/>
        <v>34.200000000000003</v>
      </c>
      <c r="T319" s="278"/>
      <c r="U319" s="245"/>
    </row>
    <row r="320" spans="4:21" ht="47.25">
      <c r="D320" s="294" t="s">
        <v>756</v>
      </c>
      <c r="E320" s="261" t="s">
        <v>557</v>
      </c>
      <c r="F320" s="246">
        <v>1</v>
      </c>
      <c r="G320" s="245">
        <v>13.8</v>
      </c>
      <c r="H320" s="245"/>
      <c r="I320" s="245"/>
      <c r="J320" s="245">
        <v>4.5</v>
      </c>
      <c r="K320" s="245">
        <v>2.2999999999999998</v>
      </c>
      <c r="L320" s="245">
        <v>14.8</v>
      </c>
      <c r="M320" s="315"/>
      <c r="N320" s="245">
        <v>34.200000000000003</v>
      </c>
      <c r="O320" s="245"/>
      <c r="P320" s="245"/>
      <c r="Q320" s="245"/>
      <c r="R320" s="245"/>
      <c r="S320" s="245">
        <f t="shared" si="2"/>
        <v>34.200000000000003</v>
      </c>
      <c r="T320" s="278"/>
      <c r="U320" s="245"/>
    </row>
    <row r="321" spans="4:21" ht="47.25">
      <c r="D321" s="294" t="s">
        <v>757</v>
      </c>
      <c r="E321" s="261" t="s">
        <v>561</v>
      </c>
      <c r="F321" s="246">
        <v>1</v>
      </c>
      <c r="G321" s="245">
        <v>13.8</v>
      </c>
      <c r="H321" s="245"/>
      <c r="I321" s="245"/>
      <c r="J321" s="245">
        <v>4.5</v>
      </c>
      <c r="K321" s="245">
        <v>2.2999999999999998</v>
      </c>
      <c r="L321" s="245">
        <v>14.8</v>
      </c>
      <c r="M321" s="315"/>
      <c r="N321" s="245">
        <v>34.200000000000003</v>
      </c>
      <c r="O321" s="245"/>
      <c r="P321" s="245"/>
      <c r="Q321" s="245"/>
      <c r="R321" s="245"/>
      <c r="S321" s="245">
        <f t="shared" si="2"/>
        <v>34.200000000000003</v>
      </c>
      <c r="T321" s="278"/>
      <c r="U321" s="245"/>
    </row>
    <row r="322" spans="4:21" ht="47.25">
      <c r="D322" s="294" t="s">
        <v>758</v>
      </c>
      <c r="E322" s="261" t="s">
        <v>561</v>
      </c>
      <c r="F322" s="246">
        <v>1</v>
      </c>
      <c r="G322" s="245">
        <v>13.8</v>
      </c>
      <c r="H322" s="245"/>
      <c r="I322" s="245"/>
      <c r="J322" s="245">
        <v>4.5</v>
      </c>
      <c r="K322" s="245">
        <v>2.2999999999999998</v>
      </c>
      <c r="L322" s="245">
        <v>14.8</v>
      </c>
      <c r="M322" s="315"/>
      <c r="N322" s="245">
        <v>34.200000000000003</v>
      </c>
      <c r="O322" s="245"/>
      <c r="P322" s="245"/>
      <c r="Q322" s="245"/>
      <c r="R322" s="245"/>
      <c r="S322" s="245">
        <f t="shared" si="2"/>
        <v>34.200000000000003</v>
      </c>
      <c r="T322" s="278"/>
      <c r="U322" s="245"/>
    </row>
    <row r="323" spans="4:21" ht="47.25">
      <c r="D323" s="294" t="s">
        <v>759</v>
      </c>
      <c r="E323" s="261" t="s">
        <v>562</v>
      </c>
      <c r="F323" s="246">
        <v>1</v>
      </c>
      <c r="G323" s="245">
        <v>47.9</v>
      </c>
      <c r="H323" s="245"/>
      <c r="I323" s="245"/>
      <c r="J323" s="245">
        <v>15.4</v>
      </c>
      <c r="K323" s="245">
        <v>8</v>
      </c>
      <c r="L323" s="245">
        <v>10.3</v>
      </c>
      <c r="M323" s="315"/>
      <c r="N323" s="245">
        <v>82.6</v>
      </c>
      <c r="O323" s="245"/>
      <c r="P323" s="245"/>
      <c r="Q323" s="245"/>
      <c r="R323" s="245"/>
      <c r="S323" s="245">
        <f t="shared" si="2"/>
        <v>82.6</v>
      </c>
      <c r="T323" s="278"/>
      <c r="U323" s="245"/>
    </row>
    <row r="324" spans="4:21" ht="47.25">
      <c r="D324" s="294" t="s">
        <v>760</v>
      </c>
      <c r="E324" s="261" t="s">
        <v>563</v>
      </c>
      <c r="F324" s="246">
        <v>1</v>
      </c>
      <c r="G324" s="245">
        <v>7</v>
      </c>
      <c r="H324" s="245"/>
      <c r="I324" s="245"/>
      <c r="J324" s="245">
        <v>2.2000000000000002</v>
      </c>
      <c r="K324" s="245">
        <v>1.2</v>
      </c>
      <c r="L324" s="245">
        <v>34.299999999999997</v>
      </c>
      <c r="M324" s="315"/>
      <c r="N324" s="245">
        <v>39.9</v>
      </c>
      <c r="O324" s="245"/>
      <c r="P324" s="245"/>
      <c r="Q324" s="245"/>
      <c r="R324" s="245"/>
      <c r="S324" s="245">
        <f t="shared" si="2"/>
        <v>39.9</v>
      </c>
      <c r="T324" s="278"/>
      <c r="U324" s="245"/>
    </row>
    <row r="325" spans="4:21" ht="47.25">
      <c r="D325" s="294" t="s">
        <v>761</v>
      </c>
      <c r="E325" s="261" t="s">
        <v>564</v>
      </c>
      <c r="F325" s="246">
        <v>1</v>
      </c>
      <c r="G325" s="245">
        <v>13.8</v>
      </c>
      <c r="H325" s="245"/>
      <c r="I325" s="245"/>
      <c r="J325" s="245">
        <v>4.5</v>
      </c>
      <c r="K325" s="245">
        <v>2.2999999999999998</v>
      </c>
      <c r="L325" s="245">
        <v>14.8</v>
      </c>
      <c r="M325" s="315"/>
      <c r="N325" s="245">
        <v>34.200000000000003</v>
      </c>
      <c r="O325" s="245"/>
      <c r="P325" s="245"/>
      <c r="Q325" s="245"/>
      <c r="R325" s="245"/>
      <c r="S325" s="245">
        <f t="shared" si="2"/>
        <v>34.200000000000003</v>
      </c>
      <c r="T325" s="278"/>
      <c r="U325" s="245"/>
    </row>
    <row r="326" spans="4:21" ht="47.25">
      <c r="D326" s="294" t="s">
        <v>762</v>
      </c>
      <c r="E326" s="261" t="s">
        <v>564</v>
      </c>
      <c r="F326" s="246">
        <v>1</v>
      </c>
      <c r="G326" s="245">
        <v>13.8</v>
      </c>
      <c r="H326" s="245"/>
      <c r="I326" s="245"/>
      <c r="J326" s="245">
        <v>4.5</v>
      </c>
      <c r="K326" s="245">
        <v>2.2999999999999998</v>
      </c>
      <c r="L326" s="245">
        <v>14.8</v>
      </c>
      <c r="M326" s="315"/>
      <c r="N326" s="245">
        <v>34.200000000000003</v>
      </c>
      <c r="O326" s="245"/>
      <c r="P326" s="245"/>
      <c r="Q326" s="245"/>
      <c r="R326" s="245"/>
      <c r="S326" s="245">
        <f t="shared" si="2"/>
        <v>34.200000000000003</v>
      </c>
      <c r="T326" s="278"/>
      <c r="U326" s="245"/>
    </row>
    <row r="327" spans="4:21" ht="47.25">
      <c r="D327" s="294" t="s">
        <v>763</v>
      </c>
      <c r="E327" s="261" t="s">
        <v>564</v>
      </c>
      <c r="F327" s="246">
        <v>1</v>
      </c>
      <c r="G327" s="245">
        <v>13.8</v>
      </c>
      <c r="H327" s="245"/>
      <c r="I327" s="245"/>
      <c r="J327" s="245">
        <v>4.5</v>
      </c>
      <c r="K327" s="245">
        <v>2.2999999999999998</v>
      </c>
      <c r="L327" s="245">
        <v>14.8</v>
      </c>
      <c r="M327" s="315"/>
      <c r="N327" s="245">
        <v>34.200000000000003</v>
      </c>
      <c r="O327" s="245"/>
      <c r="P327" s="245"/>
      <c r="Q327" s="245"/>
      <c r="R327" s="245"/>
      <c r="S327" s="245">
        <f t="shared" si="2"/>
        <v>34.200000000000003</v>
      </c>
      <c r="T327" s="278"/>
      <c r="U327" s="245"/>
    </row>
    <row r="328" spans="4:21" ht="47.25">
      <c r="D328" s="294" t="s">
        <v>764</v>
      </c>
      <c r="E328" s="261" t="s">
        <v>565</v>
      </c>
      <c r="F328" s="246">
        <v>1</v>
      </c>
      <c r="G328" s="245">
        <v>15.3</v>
      </c>
      <c r="H328" s="245"/>
      <c r="I328" s="245"/>
      <c r="J328" s="245">
        <v>4.9000000000000004</v>
      </c>
      <c r="K328" s="245">
        <v>2.6</v>
      </c>
      <c r="L328" s="245">
        <v>22.3</v>
      </c>
      <c r="M328" s="315"/>
      <c r="N328" s="245">
        <v>57</v>
      </c>
      <c r="O328" s="245"/>
      <c r="P328" s="245"/>
      <c r="Q328" s="245"/>
      <c r="R328" s="245"/>
      <c r="S328" s="245">
        <f t="shared" si="2"/>
        <v>57</v>
      </c>
      <c r="T328" s="278"/>
      <c r="U328" s="245"/>
    </row>
    <row r="329" spans="4:21" ht="47.25">
      <c r="D329" s="294" t="s">
        <v>765</v>
      </c>
      <c r="E329" s="261" t="s">
        <v>565</v>
      </c>
      <c r="F329" s="246">
        <v>1</v>
      </c>
      <c r="G329" s="245">
        <v>15.3</v>
      </c>
      <c r="H329" s="245"/>
      <c r="I329" s="245"/>
      <c r="J329" s="245">
        <v>4.9000000000000004</v>
      </c>
      <c r="K329" s="245">
        <v>2.6</v>
      </c>
      <c r="L329" s="245">
        <v>22.3</v>
      </c>
      <c r="M329" s="315"/>
      <c r="N329" s="245">
        <v>57</v>
      </c>
      <c r="O329" s="245"/>
      <c r="P329" s="245"/>
      <c r="Q329" s="245"/>
      <c r="R329" s="245"/>
      <c r="S329" s="245">
        <f t="shared" si="2"/>
        <v>57</v>
      </c>
      <c r="T329" s="278"/>
      <c r="U329" s="245"/>
    </row>
    <row r="330" spans="4:21" ht="47.25">
      <c r="D330" s="294" t="s">
        <v>766</v>
      </c>
      <c r="E330" s="261" t="s">
        <v>565</v>
      </c>
      <c r="F330" s="246">
        <v>1</v>
      </c>
      <c r="G330" s="245">
        <v>15.3</v>
      </c>
      <c r="H330" s="245"/>
      <c r="I330" s="245"/>
      <c r="J330" s="245">
        <v>4.9000000000000004</v>
      </c>
      <c r="K330" s="245">
        <v>2.6</v>
      </c>
      <c r="L330" s="245">
        <v>22.3</v>
      </c>
      <c r="M330" s="315"/>
      <c r="N330" s="245">
        <v>57</v>
      </c>
      <c r="O330" s="245"/>
      <c r="P330" s="245"/>
      <c r="Q330" s="245"/>
      <c r="R330" s="245"/>
      <c r="S330" s="245">
        <f t="shared" si="2"/>
        <v>57</v>
      </c>
      <c r="T330" s="278"/>
      <c r="U330" s="245"/>
    </row>
    <row r="331" spans="4:21" ht="47.25">
      <c r="D331" s="294" t="s">
        <v>767</v>
      </c>
      <c r="E331" s="261" t="s">
        <v>565</v>
      </c>
      <c r="F331" s="246">
        <v>1</v>
      </c>
      <c r="G331" s="245">
        <v>15.3</v>
      </c>
      <c r="H331" s="245"/>
      <c r="I331" s="245"/>
      <c r="J331" s="245">
        <v>4.9000000000000004</v>
      </c>
      <c r="K331" s="245">
        <v>2.6</v>
      </c>
      <c r="L331" s="245">
        <v>22.3</v>
      </c>
      <c r="M331" s="315"/>
      <c r="N331" s="245">
        <v>57</v>
      </c>
      <c r="O331" s="245"/>
      <c r="P331" s="245"/>
      <c r="Q331" s="245"/>
      <c r="R331" s="245"/>
      <c r="S331" s="245">
        <f t="shared" si="2"/>
        <v>57</v>
      </c>
      <c r="T331" s="278"/>
      <c r="U331" s="245"/>
    </row>
    <row r="332" spans="4:21" ht="47.25">
      <c r="D332" s="294" t="s">
        <v>768</v>
      </c>
      <c r="E332" s="261" t="s">
        <v>565</v>
      </c>
      <c r="F332" s="246">
        <v>1</v>
      </c>
      <c r="G332" s="245">
        <v>15.3</v>
      </c>
      <c r="H332" s="245"/>
      <c r="I332" s="245"/>
      <c r="J332" s="245">
        <v>4.9000000000000004</v>
      </c>
      <c r="K332" s="245">
        <v>2.6</v>
      </c>
      <c r="L332" s="245">
        <v>22.3</v>
      </c>
      <c r="M332" s="315"/>
      <c r="N332" s="245">
        <v>57</v>
      </c>
      <c r="O332" s="245"/>
      <c r="P332" s="245"/>
      <c r="Q332" s="245"/>
      <c r="R332" s="245"/>
      <c r="S332" s="245">
        <f t="shared" si="2"/>
        <v>57</v>
      </c>
      <c r="T332" s="278"/>
      <c r="U332" s="245"/>
    </row>
    <row r="333" spans="4:21" ht="47.25">
      <c r="D333" s="294" t="s">
        <v>769</v>
      </c>
      <c r="E333" s="261" t="s">
        <v>565</v>
      </c>
      <c r="F333" s="246">
        <v>1</v>
      </c>
      <c r="G333" s="245">
        <v>15.3</v>
      </c>
      <c r="H333" s="245"/>
      <c r="I333" s="245"/>
      <c r="J333" s="245">
        <v>4.9000000000000004</v>
      </c>
      <c r="K333" s="245">
        <v>2.6</v>
      </c>
      <c r="L333" s="245">
        <v>22.3</v>
      </c>
      <c r="M333" s="315"/>
      <c r="N333" s="245">
        <v>57</v>
      </c>
      <c r="O333" s="245"/>
      <c r="P333" s="245"/>
      <c r="Q333" s="245"/>
      <c r="R333" s="245"/>
      <c r="S333" s="245">
        <f t="shared" si="2"/>
        <v>57</v>
      </c>
      <c r="T333" s="278"/>
      <c r="U333" s="245"/>
    </row>
    <row r="334" spans="4:21" ht="47.25">
      <c r="D334" s="294" t="s">
        <v>770</v>
      </c>
      <c r="E334" s="261" t="s">
        <v>566</v>
      </c>
      <c r="F334" s="246">
        <v>1</v>
      </c>
      <c r="G334" s="245">
        <v>7</v>
      </c>
      <c r="H334" s="245"/>
      <c r="I334" s="245"/>
      <c r="J334" s="245">
        <v>2.2000000000000002</v>
      </c>
      <c r="K334" s="245">
        <v>1.2</v>
      </c>
      <c r="L334" s="245">
        <v>34.299999999999997</v>
      </c>
      <c r="M334" s="315"/>
      <c r="N334" s="245">
        <v>39.9</v>
      </c>
      <c r="O334" s="245"/>
      <c r="P334" s="245"/>
      <c r="Q334" s="245"/>
      <c r="R334" s="245"/>
      <c r="S334" s="245">
        <f t="shared" si="2"/>
        <v>39.9</v>
      </c>
      <c r="T334" s="278"/>
      <c r="U334" s="245"/>
    </row>
    <row r="335" spans="4:21" ht="47.25">
      <c r="D335" s="294" t="s">
        <v>771</v>
      </c>
      <c r="E335" s="261" t="s">
        <v>565</v>
      </c>
      <c r="F335" s="246">
        <v>1</v>
      </c>
      <c r="G335" s="245">
        <v>15.3</v>
      </c>
      <c r="H335" s="245"/>
      <c r="I335" s="245"/>
      <c r="J335" s="245">
        <v>4.9000000000000004</v>
      </c>
      <c r="K335" s="245">
        <v>2.6</v>
      </c>
      <c r="L335" s="245">
        <v>22.3</v>
      </c>
      <c r="M335" s="315"/>
      <c r="N335" s="245">
        <v>57</v>
      </c>
      <c r="O335" s="245"/>
      <c r="P335" s="245"/>
      <c r="Q335" s="245"/>
      <c r="R335" s="245"/>
      <c r="S335" s="245">
        <f t="shared" si="2"/>
        <v>57</v>
      </c>
      <c r="T335" s="278"/>
      <c r="U335" s="245"/>
    </row>
    <row r="336" spans="4:21" ht="47.25">
      <c r="D336" s="294" t="s">
        <v>772</v>
      </c>
      <c r="E336" s="261" t="s">
        <v>568</v>
      </c>
      <c r="F336" s="246">
        <v>1</v>
      </c>
      <c r="G336" s="245">
        <v>47.9</v>
      </c>
      <c r="H336" s="245"/>
      <c r="I336" s="245"/>
      <c r="J336" s="245">
        <v>15.4</v>
      </c>
      <c r="K336" s="245">
        <v>8</v>
      </c>
      <c r="L336" s="245">
        <v>10.3</v>
      </c>
      <c r="M336" s="315"/>
      <c r="N336" s="245">
        <v>82.6</v>
      </c>
      <c r="O336" s="245"/>
      <c r="P336" s="245"/>
      <c r="Q336" s="245"/>
      <c r="R336" s="245"/>
      <c r="S336" s="245">
        <f t="shared" si="2"/>
        <v>82.6</v>
      </c>
      <c r="T336" s="278"/>
      <c r="U336" s="245"/>
    </row>
    <row r="337" spans="4:21" ht="47.25">
      <c r="D337" s="294" t="s">
        <v>773</v>
      </c>
      <c r="E337" s="261" t="s">
        <v>569</v>
      </c>
      <c r="F337" s="246">
        <v>1</v>
      </c>
      <c r="G337" s="245">
        <v>13.8</v>
      </c>
      <c r="H337" s="245"/>
      <c r="I337" s="245"/>
      <c r="J337" s="245">
        <v>4.5</v>
      </c>
      <c r="K337" s="245">
        <v>2.2999999999999998</v>
      </c>
      <c r="L337" s="245">
        <v>14.8</v>
      </c>
      <c r="M337" s="315"/>
      <c r="N337" s="245">
        <v>34.200000000000003</v>
      </c>
      <c r="O337" s="245"/>
      <c r="P337" s="245"/>
      <c r="Q337" s="245"/>
      <c r="R337" s="245"/>
      <c r="S337" s="245">
        <f t="shared" si="2"/>
        <v>34.200000000000003</v>
      </c>
      <c r="T337" s="278"/>
      <c r="U337" s="245"/>
    </row>
    <row r="338" spans="4:21" ht="47.25">
      <c r="D338" s="294" t="s">
        <v>774</v>
      </c>
      <c r="E338" s="261" t="s">
        <v>570</v>
      </c>
      <c r="F338" s="246">
        <v>1</v>
      </c>
      <c r="G338" s="245">
        <v>7</v>
      </c>
      <c r="H338" s="245"/>
      <c r="I338" s="245"/>
      <c r="J338" s="245">
        <v>2.2000000000000002</v>
      </c>
      <c r="K338" s="245">
        <v>1.2</v>
      </c>
      <c r="L338" s="245">
        <v>34.299999999999997</v>
      </c>
      <c r="M338" s="315"/>
      <c r="N338" s="245">
        <v>39.9</v>
      </c>
      <c r="O338" s="245"/>
      <c r="P338" s="245"/>
      <c r="Q338" s="245"/>
      <c r="R338" s="245"/>
      <c r="S338" s="245">
        <f t="shared" si="2"/>
        <v>39.9</v>
      </c>
      <c r="T338" s="278"/>
      <c r="U338" s="245"/>
    </row>
    <row r="339" spans="4:21" ht="47.25">
      <c r="D339" s="294" t="s">
        <v>775</v>
      </c>
      <c r="E339" s="261" t="s">
        <v>571</v>
      </c>
      <c r="F339" s="246">
        <v>1</v>
      </c>
      <c r="G339" s="245">
        <v>24.5</v>
      </c>
      <c r="H339" s="245"/>
      <c r="I339" s="245"/>
      <c r="J339" s="245">
        <v>7.9</v>
      </c>
      <c r="K339" s="245">
        <v>4.0999999999999996</v>
      </c>
      <c r="L339" s="245">
        <v>18.8</v>
      </c>
      <c r="M339" s="315"/>
      <c r="N339" s="245">
        <v>76.900000000000006</v>
      </c>
      <c r="O339" s="245"/>
      <c r="P339" s="245"/>
      <c r="Q339" s="245"/>
      <c r="R339" s="245"/>
      <c r="S339" s="245">
        <f t="shared" si="2"/>
        <v>76.900000000000006</v>
      </c>
      <c r="T339" s="278"/>
      <c r="U339" s="245"/>
    </row>
    <row r="340" spans="4:21" ht="47.25">
      <c r="D340" s="294" t="s">
        <v>776</v>
      </c>
      <c r="E340" s="261" t="s">
        <v>574</v>
      </c>
      <c r="F340" s="246">
        <v>1</v>
      </c>
      <c r="G340" s="245">
        <v>15.3</v>
      </c>
      <c r="H340" s="245"/>
      <c r="I340" s="245"/>
      <c r="J340" s="245">
        <v>4.9000000000000004</v>
      </c>
      <c r="K340" s="245">
        <v>2.6</v>
      </c>
      <c r="L340" s="245">
        <v>22.3</v>
      </c>
      <c r="M340" s="315"/>
      <c r="N340" s="245">
        <v>57</v>
      </c>
      <c r="O340" s="245"/>
      <c r="P340" s="245"/>
      <c r="Q340" s="245"/>
      <c r="R340" s="245"/>
      <c r="S340" s="245">
        <f t="shared" si="2"/>
        <v>57</v>
      </c>
      <c r="T340" s="278"/>
      <c r="U340" s="245"/>
    </row>
    <row r="341" spans="4:21" ht="47.25">
      <c r="D341" s="294" t="s">
        <v>777</v>
      </c>
      <c r="E341" s="261" t="s">
        <v>574</v>
      </c>
      <c r="F341" s="246">
        <v>1</v>
      </c>
      <c r="G341" s="245">
        <v>15.3</v>
      </c>
      <c r="H341" s="245"/>
      <c r="I341" s="245"/>
      <c r="J341" s="245">
        <v>4.9000000000000004</v>
      </c>
      <c r="K341" s="245">
        <v>2.6</v>
      </c>
      <c r="L341" s="245">
        <v>22.3</v>
      </c>
      <c r="M341" s="315"/>
      <c r="N341" s="245">
        <v>57</v>
      </c>
      <c r="O341" s="245"/>
      <c r="P341" s="245"/>
      <c r="Q341" s="245"/>
      <c r="R341" s="245"/>
      <c r="S341" s="245">
        <f t="shared" si="2"/>
        <v>57</v>
      </c>
      <c r="T341" s="278"/>
      <c r="U341" s="245"/>
    </row>
    <row r="342" spans="4:21" ht="47.25">
      <c r="D342" s="294" t="s">
        <v>778</v>
      </c>
      <c r="E342" s="261" t="s">
        <v>574</v>
      </c>
      <c r="F342" s="246">
        <v>1</v>
      </c>
      <c r="G342" s="245">
        <v>15.3</v>
      </c>
      <c r="H342" s="245"/>
      <c r="I342" s="245"/>
      <c r="J342" s="245">
        <v>4.9000000000000004</v>
      </c>
      <c r="K342" s="245">
        <v>2.6</v>
      </c>
      <c r="L342" s="245">
        <v>22.3</v>
      </c>
      <c r="M342" s="315"/>
      <c r="N342" s="245">
        <v>57</v>
      </c>
      <c r="O342" s="245"/>
      <c r="P342" s="245"/>
      <c r="Q342" s="245"/>
      <c r="R342" s="245"/>
      <c r="S342" s="245">
        <f t="shared" si="2"/>
        <v>57</v>
      </c>
      <c r="T342" s="278"/>
      <c r="U342" s="245"/>
    </row>
    <row r="343" spans="4:21" ht="47.25">
      <c r="D343" s="294" t="s">
        <v>779</v>
      </c>
      <c r="E343" s="261" t="s">
        <v>574</v>
      </c>
      <c r="F343" s="246">
        <v>1</v>
      </c>
      <c r="G343" s="245">
        <v>15.3</v>
      </c>
      <c r="H343" s="245"/>
      <c r="I343" s="245"/>
      <c r="J343" s="245">
        <v>4.9000000000000004</v>
      </c>
      <c r="K343" s="245">
        <v>2.6</v>
      </c>
      <c r="L343" s="245">
        <v>22.3</v>
      </c>
      <c r="M343" s="315"/>
      <c r="N343" s="245">
        <v>57</v>
      </c>
      <c r="O343" s="245"/>
      <c r="P343" s="245"/>
      <c r="Q343" s="245"/>
      <c r="R343" s="245"/>
      <c r="S343" s="245">
        <f t="shared" si="2"/>
        <v>57</v>
      </c>
      <c r="T343" s="278"/>
      <c r="U343" s="245"/>
    </row>
    <row r="344" spans="4:21" ht="47.25">
      <c r="D344" s="294" t="s">
        <v>780</v>
      </c>
      <c r="E344" s="261" t="s">
        <v>575</v>
      </c>
      <c r="F344" s="246">
        <v>1</v>
      </c>
      <c r="G344" s="245">
        <v>24.5</v>
      </c>
      <c r="H344" s="245"/>
      <c r="I344" s="245"/>
      <c r="J344" s="245">
        <v>7.9</v>
      </c>
      <c r="K344" s="245">
        <v>4.0999999999999996</v>
      </c>
      <c r="L344" s="245">
        <v>18.8</v>
      </c>
      <c r="M344" s="315"/>
      <c r="N344" s="245">
        <v>76.900000000000006</v>
      </c>
      <c r="O344" s="245"/>
      <c r="P344" s="245"/>
      <c r="Q344" s="245"/>
      <c r="R344" s="245"/>
      <c r="S344" s="245">
        <f t="shared" si="2"/>
        <v>76.900000000000006</v>
      </c>
      <c r="T344" s="278"/>
      <c r="U344" s="245"/>
    </row>
    <row r="345" spans="4:21" ht="47.25">
      <c r="D345" s="294" t="s">
        <v>781</v>
      </c>
      <c r="E345" s="261" t="s">
        <v>576</v>
      </c>
      <c r="F345" s="246">
        <v>1</v>
      </c>
      <c r="G345" s="245">
        <v>47.9</v>
      </c>
      <c r="H345" s="245"/>
      <c r="I345" s="245"/>
      <c r="J345" s="245">
        <v>15.4</v>
      </c>
      <c r="K345" s="245">
        <v>8</v>
      </c>
      <c r="L345" s="245">
        <v>10.3</v>
      </c>
      <c r="M345" s="315"/>
      <c r="N345" s="245">
        <v>82.6</v>
      </c>
      <c r="O345" s="245"/>
      <c r="P345" s="245"/>
      <c r="Q345" s="245"/>
      <c r="R345" s="245"/>
      <c r="S345" s="245">
        <f t="shared" si="2"/>
        <v>82.6</v>
      </c>
      <c r="T345" s="278"/>
      <c r="U345" s="245"/>
    </row>
    <row r="346" spans="4:21" ht="47.25">
      <c r="D346" s="294" t="s">
        <v>782</v>
      </c>
      <c r="E346" s="261" t="s">
        <v>575</v>
      </c>
      <c r="F346" s="246">
        <v>1</v>
      </c>
      <c r="G346" s="245">
        <v>24.5</v>
      </c>
      <c r="H346" s="245"/>
      <c r="I346" s="245"/>
      <c r="J346" s="245">
        <v>7.9</v>
      </c>
      <c r="K346" s="245">
        <v>4.0999999999999996</v>
      </c>
      <c r="L346" s="245">
        <v>18.8</v>
      </c>
      <c r="M346" s="315"/>
      <c r="N346" s="245">
        <v>76.900000000000006</v>
      </c>
      <c r="O346" s="245"/>
      <c r="P346" s="245"/>
      <c r="Q346" s="245"/>
      <c r="R346" s="245"/>
      <c r="S346" s="245">
        <f t="shared" si="2"/>
        <v>76.900000000000006</v>
      </c>
      <c r="T346" s="278"/>
      <c r="U346" s="245"/>
    </row>
    <row r="347" spans="4:21" ht="47.25">
      <c r="D347" s="294" t="s">
        <v>783</v>
      </c>
      <c r="E347" s="261" t="s">
        <v>577</v>
      </c>
      <c r="F347" s="246">
        <v>1</v>
      </c>
      <c r="G347" s="245">
        <v>47.9</v>
      </c>
      <c r="H347" s="245"/>
      <c r="I347" s="245"/>
      <c r="J347" s="245">
        <v>15.4</v>
      </c>
      <c r="K347" s="245">
        <v>8</v>
      </c>
      <c r="L347" s="245">
        <v>10.3</v>
      </c>
      <c r="M347" s="315"/>
      <c r="N347" s="245">
        <v>82.6</v>
      </c>
      <c r="O347" s="245"/>
      <c r="P347" s="245"/>
      <c r="Q347" s="245"/>
      <c r="R347" s="245"/>
      <c r="S347" s="245">
        <f t="shared" si="2"/>
        <v>82.6</v>
      </c>
      <c r="T347" s="278"/>
      <c r="U347" s="245"/>
    </row>
    <row r="348" spans="4:21" ht="47.25">
      <c r="D348" s="294" t="s">
        <v>784</v>
      </c>
      <c r="E348" s="261" t="s">
        <v>580</v>
      </c>
      <c r="F348" s="246">
        <v>1</v>
      </c>
      <c r="G348" s="245">
        <v>13.9</v>
      </c>
      <c r="H348" s="245"/>
      <c r="I348" s="245"/>
      <c r="J348" s="245">
        <v>4.5</v>
      </c>
      <c r="K348" s="245">
        <v>2.2999999999999998</v>
      </c>
      <c r="L348" s="245">
        <v>14.7</v>
      </c>
      <c r="M348" s="315"/>
      <c r="N348" s="245">
        <v>34.200000000000003</v>
      </c>
      <c r="O348" s="245"/>
      <c r="P348" s="245"/>
      <c r="Q348" s="245"/>
      <c r="R348" s="245"/>
      <c r="S348" s="245">
        <f t="shared" si="2"/>
        <v>34.200000000000003</v>
      </c>
      <c r="T348" s="278"/>
      <c r="U348" s="245"/>
    </row>
    <row r="349" spans="4:21" ht="47.25">
      <c r="D349" s="294" t="s">
        <v>785</v>
      </c>
      <c r="E349" s="261" t="s">
        <v>581</v>
      </c>
      <c r="F349" s="246">
        <v>1</v>
      </c>
      <c r="G349" s="245">
        <v>15.3</v>
      </c>
      <c r="H349" s="245"/>
      <c r="I349" s="245"/>
      <c r="J349" s="245">
        <v>4.9000000000000004</v>
      </c>
      <c r="K349" s="245">
        <v>2.6</v>
      </c>
      <c r="L349" s="245">
        <v>22.3</v>
      </c>
      <c r="M349" s="315"/>
      <c r="N349" s="245">
        <v>57</v>
      </c>
      <c r="O349" s="245"/>
      <c r="P349" s="245"/>
      <c r="Q349" s="245"/>
      <c r="R349" s="245"/>
      <c r="S349" s="245">
        <f t="shared" si="2"/>
        <v>57</v>
      </c>
      <c r="T349" s="278"/>
      <c r="U349" s="245"/>
    </row>
    <row r="350" spans="4:21" ht="47.25">
      <c r="D350" s="294" t="s">
        <v>786</v>
      </c>
      <c r="E350" s="261" t="s">
        <v>581</v>
      </c>
      <c r="F350" s="246">
        <v>1</v>
      </c>
      <c r="G350" s="245">
        <v>15.3</v>
      </c>
      <c r="H350" s="245"/>
      <c r="I350" s="245"/>
      <c r="J350" s="245">
        <v>4.9000000000000004</v>
      </c>
      <c r="K350" s="245">
        <v>2.6</v>
      </c>
      <c r="L350" s="245">
        <v>22.3</v>
      </c>
      <c r="M350" s="315"/>
      <c r="N350" s="245">
        <v>57</v>
      </c>
      <c r="O350" s="245"/>
      <c r="P350" s="245"/>
      <c r="Q350" s="245"/>
      <c r="R350" s="245"/>
      <c r="S350" s="245">
        <f t="shared" si="2"/>
        <v>57</v>
      </c>
      <c r="T350" s="278"/>
      <c r="U350" s="245"/>
    </row>
    <row r="351" spans="4:21" ht="47.25">
      <c r="D351" s="294" t="s">
        <v>787</v>
      </c>
      <c r="E351" s="261" t="s">
        <v>581</v>
      </c>
      <c r="F351" s="246">
        <v>1</v>
      </c>
      <c r="G351" s="245">
        <v>15.3</v>
      </c>
      <c r="H351" s="245"/>
      <c r="I351" s="245"/>
      <c r="J351" s="245">
        <v>4.9000000000000004</v>
      </c>
      <c r="K351" s="245">
        <v>2.6</v>
      </c>
      <c r="L351" s="245">
        <v>22.3</v>
      </c>
      <c r="M351" s="315"/>
      <c r="N351" s="245">
        <v>57</v>
      </c>
      <c r="O351" s="245"/>
      <c r="P351" s="245"/>
      <c r="Q351" s="245"/>
      <c r="R351" s="245"/>
      <c r="S351" s="245">
        <f t="shared" si="2"/>
        <v>57</v>
      </c>
      <c r="T351" s="278"/>
      <c r="U351" s="245"/>
    </row>
    <row r="352" spans="4:21" ht="47.25">
      <c r="D352" s="294" t="s">
        <v>788</v>
      </c>
      <c r="E352" s="261" t="s">
        <v>581</v>
      </c>
      <c r="F352" s="246">
        <v>1</v>
      </c>
      <c r="G352" s="245">
        <v>15.3</v>
      </c>
      <c r="H352" s="245"/>
      <c r="I352" s="245"/>
      <c r="J352" s="245">
        <v>4.9000000000000004</v>
      </c>
      <c r="K352" s="245">
        <v>2.6</v>
      </c>
      <c r="L352" s="245">
        <v>22.3</v>
      </c>
      <c r="M352" s="315"/>
      <c r="N352" s="245">
        <v>57</v>
      </c>
      <c r="O352" s="245"/>
      <c r="P352" s="245"/>
      <c r="Q352" s="245"/>
      <c r="R352" s="245"/>
      <c r="S352" s="245">
        <f t="shared" si="2"/>
        <v>57</v>
      </c>
      <c r="T352" s="278"/>
      <c r="U352" s="245"/>
    </row>
    <row r="353" spans="4:21" ht="47.25">
      <c r="D353" s="294" t="s">
        <v>789</v>
      </c>
      <c r="E353" s="261" t="s">
        <v>582</v>
      </c>
      <c r="F353" s="246">
        <v>1</v>
      </c>
      <c r="G353" s="245">
        <v>13.8</v>
      </c>
      <c r="H353" s="245"/>
      <c r="I353" s="245"/>
      <c r="J353" s="245">
        <v>4.5</v>
      </c>
      <c r="K353" s="245">
        <v>2.2999999999999998</v>
      </c>
      <c r="L353" s="245">
        <v>14.8</v>
      </c>
      <c r="M353" s="315"/>
      <c r="N353" s="245">
        <v>34.200000000000003</v>
      </c>
      <c r="O353" s="245"/>
      <c r="P353" s="245"/>
      <c r="Q353" s="245"/>
      <c r="R353" s="245"/>
      <c r="S353" s="245">
        <f t="shared" si="2"/>
        <v>34.200000000000003</v>
      </c>
      <c r="T353" s="278"/>
      <c r="U353" s="245"/>
    </row>
    <row r="354" spans="4:21" ht="47.25">
      <c r="D354" s="294" t="s">
        <v>790</v>
      </c>
      <c r="E354" s="261" t="s">
        <v>585</v>
      </c>
      <c r="F354" s="246">
        <v>1</v>
      </c>
      <c r="G354" s="245">
        <v>15.3</v>
      </c>
      <c r="H354" s="245"/>
      <c r="I354" s="245"/>
      <c r="J354" s="245">
        <v>4.9000000000000004</v>
      </c>
      <c r="K354" s="245">
        <v>2.6</v>
      </c>
      <c r="L354" s="245">
        <v>22.3</v>
      </c>
      <c r="M354" s="315"/>
      <c r="N354" s="245">
        <v>57</v>
      </c>
      <c r="O354" s="245"/>
      <c r="P354" s="245"/>
      <c r="Q354" s="245"/>
      <c r="R354" s="245"/>
      <c r="S354" s="245">
        <f t="shared" si="2"/>
        <v>57</v>
      </c>
      <c r="T354" s="278"/>
      <c r="U354" s="245"/>
    </row>
    <row r="355" spans="4:21" ht="47.25">
      <c r="D355" s="294" t="s">
        <v>791</v>
      </c>
      <c r="E355" s="261" t="s">
        <v>585</v>
      </c>
      <c r="F355" s="246">
        <v>1</v>
      </c>
      <c r="G355" s="245">
        <v>15.3</v>
      </c>
      <c r="H355" s="245"/>
      <c r="I355" s="245"/>
      <c r="J355" s="245">
        <v>4.9000000000000004</v>
      </c>
      <c r="K355" s="245">
        <v>2.6</v>
      </c>
      <c r="L355" s="245">
        <v>22.3</v>
      </c>
      <c r="M355" s="315"/>
      <c r="N355" s="245">
        <v>57</v>
      </c>
      <c r="O355" s="245"/>
      <c r="P355" s="245"/>
      <c r="Q355" s="245"/>
      <c r="R355" s="245"/>
      <c r="S355" s="245">
        <f t="shared" si="2"/>
        <v>57</v>
      </c>
      <c r="T355" s="278"/>
      <c r="U355" s="245"/>
    </row>
    <row r="356" spans="4:21" ht="47.25">
      <c r="D356" s="294" t="s">
        <v>792</v>
      </c>
      <c r="E356" s="261" t="s">
        <v>585</v>
      </c>
      <c r="F356" s="246">
        <v>1</v>
      </c>
      <c r="G356" s="245">
        <v>15.3</v>
      </c>
      <c r="H356" s="245"/>
      <c r="I356" s="245"/>
      <c r="J356" s="245">
        <v>4.9000000000000004</v>
      </c>
      <c r="K356" s="245">
        <v>2.6</v>
      </c>
      <c r="L356" s="245">
        <v>22.3</v>
      </c>
      <c r="M356" s="315"/>
      <c r="N356" s="245">
        <v>57</v>
      </c>
      <c r="O356" s="245"/>
      <c r="P356" s="245"/>
      <c r="Q356" s="245"/>
      <c r="R356" s="245"/>
      <c r="S356" s="245">
        <f t="shared" si="2"/>
        <v>57</v>
      </c>
      <c r="T356" s="278"/>
      <c r="U356" s="245"/>
    </row>
    <row r="357" spans="4:21" ht="47.25">
      <c r="D357" s="294" t="s">
        <v>793</v>
      </c>
      <c r="E357" s="261" t="s">
        <v>585</v>
      </c>
      <c r="F357" s="246">
        <v>1</v>
      </c>
      <c r="G357" s="245">
        <v>15.3</v>
      </c>
      <c r="H357" s="245"/>
      <c r="I357" s="245"/>
      <c r="J357" s="245">
        <v>4.9000000000000004</v>
      </c>
      <c r="K357" s="245">
        <v>2.6</v>
      </c>
      <c r="L357" s="245">
        <v>22.3</v>
      </c>
      <c r="M357" s="315"/>
      <c r="N357" s="245">
        <v>57</v>
      </c>
      <c r="O357" s="245"/>
      <c r="P357" s="245"/>
      <c r="Q357" s="245"/>
      <c r="R357" s="245"/>
      <c r="S357" s="245">
        <f t="shared" si="2"/>
        <v>57</v>
      </c>
      <c r="T357" s="278"/>
      <c r="U357" s="245"/>
    </row>
    <row r="358" spans="4:21" ht="47.25">
      <c r="D358" s="294" t="s">
        <v>794</v>
      </c>
      <c r="E358" s="261" t="s">
        <v>586</v>
      </c>
      <c r="F358" s="246">
        <v>1</v>
      </c>
      <c r="G358" s="245">
        <v>13.9</v>
      </c>
      <c r="H358" s="245"/>
      <c r="I358" s="245"/>
      <c r="J358" s="245">
        <v>4.5</v>
      </c>
      <c r="K358" s="245">
        <v>2.2999999999999998</v>
      </c>
      <c r="L358" s="245">
        <v>14.7</v>
      </c>
      <c r="M358" s="315"/>
      <c r="N358" s="245">
        <v>34.200000000000003</v>
      </c>
      <c r="O358" s="245"/>
      <c r="P358" s="245"/>
      <c r="Q358" s="245"/>
      <c r="R358" s="245"/>
      <c r="S358" s="245">
        <f t="shared" si="2"/>
        <v>34.200000000000003</v>
      </c>
      <c r="T358" s="278"/>
      <c r="U358" s="245"/>
    </row>
    <row r="359" spans="4:21" ht="47.25">
      <c r="D359" s="294" t="s">
        <v>795</v>
      </c>
      <c r="E359" s="261" t="s">
        <v>587</v>
      </c>
      <c r="F359" s="246">
        <v>1</v>
      </c>
      <c r="G359" s="245">
        <v>15.3</v>
      </c>
      <c r="H359" s="245"/>
      <c r="I359" s="245"/>
      <c r="J359" s="245">
        <v>4.9000000000000004</v>
      </c>
      <c r="K359" s="245">
        <v>2.6</v>
      </c>
      <c r="L359" s="245">
        <v>22.3</v>
      </c>
      <c r="M359" s="315"/>
      <c r="N359" s="245">
        <v>57</v>
      </c>
      <c r="O359" s="245"/>
      <c r="P359" s="245"/>
      <c r="Q359" s="245"/>
      <c r="R359" s="245"/>
      <c r="S359" s="245">
        <f t="shared" si="2"/>
        <v>57</v>
      </c>
      <c r="T359" s="278"/>
      <c r="U359" s="245"/>
    </row>
    <row r="360" spans="4:21" ht="47.25">
      <c r="D360" s="294" t="s">
        <v>796</v>
      </c>
      <c r="E360" s="261" t="s">
        <v>587</v>
      </c>
      <c r="F360" s="246">
        <v>1</v>
      </c>
      <c r="G360" s="245">
        <v>15.3</v>
      </c>
      <c r="H360" s="245"/>
      <c r="I360" s="245"/>
      <c r="J360" s="245">
        <v>4.9000000000000004</v>
      </c>
      <c r="K360" s="245">
        <v>2.6</v>
      </c>
      <c r="L360" s="245">
        <v>22.3</v>
      </c>
      <c r="M360" s="315"/>
      <c r="N360" s="245">
        <v>57</v>
      </c>
      <c r="O360" s="245"/>
      <c r="P360" s="245"/>
      <c r="Q360" s="245"/>
      <c r="R360" s="245"/>
      <c r="S360" s="245">
        <f t="shared" si="2"/>
        <v>57</v>
      </c>
      <c r="T360" s="278"/>
      <c r="U360" s="245"/>
    </row>
    <row r="361" spans="4:21" ht="47.25">
      <c r="D361" s="294" t="s">
        <v>797</v>
      </c>
      <c r="E361" s="261" t="s">
        <v>588</v>
      </c>
      <c r="F361" s="246">
        <v>1</v>
      </c>
      <c r="G361" s="245">
        <v>7</v>
      </c>
      <c r="H361" s="245"/>
      <c r="I361" s="245"/>
      <c r="J361" s="245">
        <v>2.2000000000000002</v>
      </c>
      <c r="K361" s="245">
        <v>1.2</v>
      </c>
      <c r="L361" s="245">
        <v>34.299999999999997</v>
      </c>
      <c r="M361" s="315"/>
      <c r="N361" s="245">
        <v>39.9</v>
      </c>
      <c r="O361" s="245"/>
      <c r="P361" s="245"/>
      <c r="Q361" s="245"/>
      <c r="R361" s="245"/>
      <c r="S361" s="245">
        <f t="shared" si="2"/>
        <v>39.9</v>
      </c>
      <c r="T361" s="278"/>
      <c r="U361" s="245"/>
    </row>
    <row r="362" spans="4:21" ht="47.25">
      <c r="D362" s="294" t="s">
        <v>798</v>
      </c>
      <c r="E362" s="261" t="s">
        <v>587</v>
      </c>
      <c r="F362" s="246">
        <v>1</v>
      </c>
      <c r="G362" s="245">
        <v>15.3</v>
      </c>
      <c r="H362" s="245"/>
      <c r="I362" s="245"/>
      <c r="J362" s="245">
        <v>4.9000000000000004</v>
      </c>
      <c r="K362" s="245">
        <v>2.6</v>
      </c>
      <c r="L362" s="245">
        <v>22.3</v>
      </c>
      <c r="M362" s="315"/>
      <c r="N362" s="245">
        <v>57</v>
      </c>
      <c r="O362" s="245"/>
      <c r="P362" s="245"/>
      <c r="Q362" s="245"/>
      <c r="R362" s="245"/>
      <c r="S362" s="245">
        <f t="shared" si="2"/>
        <v>57</v>
      </c>
      <c r="T362" s="278"/>
      <c r="U362" s="245"/>
    </row>
    <row r="363" spans="4:21" ht="47.25">
      <c r="D363" s="294" t="s">
        <v>799</v>
      </c>
      <c r="E363" s="261" t="s">
        <v>587</v>
      </c>
      <c r="F363" s="246">
        <v>1</v>
      </c>
      <c r="G363" s="245">
        <v>15.3</v>
      </c>
      <c r="H363" s="245"/>
      <c r="I363" s="245"/>
      <c r="J363" s="245">
        <v>4.9000000000000004</v>
      </c>
      <c r="K363" s="245">
        <v>2.6</v>
      </c>
      <c r="L363" s="245">
        <v>22.3</v>
      </c>
      <c r="M363" s="315"/>
      <c r="N363" s="245">
        <v>57</v>
      </c>
      <c r="O363" s="245"/>
      <c r="P363" s="245"/>
      <c r="Q363" s="245"/>
      <c r="R363" s="245"/>
      <c r="S363" s="245">
        <f t="shared" si="2"/>
        <v>57</v>
      </c>
      <c r="T363" s="278"/>
      <c r="U363" s="245"/>
    </row>
    <row r="364" spans="4:21" ht="47.25">
      <c r="D364" s="294" t="s">
        <v>800</v>
      </c>
      <c r="E364" s="261" t="s">
        <v>587</v>
      </c>
      <c r="F364" s="246">
        <v>1</v>
      </c>
      <c r="G364" s="245">
        <v>15.3</v>
      </c>
      <c r="H364" s="245"/>
      <c r="I364" s="245"/>
      <c r="J364" s="245">
        <v>4.9000000000000004</v>
      </c>
      <c r="K364" s="245">
        <v>2.6</v>
      </c>
      <c r="L364" s="245">
        <v>22.3</v>
      </c>
      <c r="M364" s="315"/>
      <c r="N364" s="245">
        <v>57</v>
      </c>
      <c r="O364" s="245"/>
      <c r="P364" s="245"/>
      <c r="Q364" s="245"/>
      <c r="R364" s="245"/>
      <c r="S364" s="245">
        <f t="shared" si="2"/>
        <v>57</v>
      </c>
      <c r="T364" s="278"/>
      <c r="U364" s="245"/>
    </row>
    <row r="365" spans="4:21" ht="47.25">
      <c r="D365" s="294" t="s">
        <v>801</v>
      </c>
      <c r="E365" s="261" t="s">
        <v>589</v>
      </c>
      <c r="F365" s="246">
        <v>1</v>
      </c>
      <c r="G365" s="245">
        <v>47.9</v>
      </c>
      <c r="H365" s="245"/>
      <c r="I365" s="245"/>
      <c r="J365" s="245">
        <v>15.4</v>
      </c>
      <c r="K365" s="245">
        <v>8</v>
      </c>
      <c r="L365" s="245">
        <v>10.3</v>
      </c>
      <c r="M365" s="315"/>
      <c r="N365" s="245">
        <v>82.6</v>
      </c>
      <c r="O365" s="245"/>
      <c r="P365" s="245"/>
      <c r="Q365" s="245"/>
      <c r="R365" s="245"/>
      <c r="S365" s="245">
        <f t="shared" si="2"/>
        <v>82.6</v>
      </c>
      <c r="T365" s="278"/>
      <c r="U365" s="245"/>
    </row>
    <row r="366" spans="4:21" ht="47.25">
      <c r="D366" s="294" t="s">
        <v>802</v>
      </c>
      <c r="E366" s="261" t="s">
        <v>589</v>
      </c>
      <c r="F366" s="246">
        <v>1</v>
      </c>
      <c r="G366" s="245">
        <v>47.9</v>
      </c>
      <c r="H366" s="245"/>
      <c r="I366" s="245"/>
      <c r="J366" s="245">
        <v>15.4</v>
      </c>
      <c r="K366" s="245">
        <v>8</v>
      </c>
      <c r="L366" s="245">
        <v>10.3</v>
      </c>
      <c r="M366" s="315"/>
      <c r="N366" s="245">
        <v>82.6</v>
      </c>
      <c r="O366" s="245"/>
      <c r="P366" s="245"/>
      <c r="Q366" s="245"/>
      <c r="R366" s="245"/>
      <c r="S366" s="245">
        <f t="shared" si="2"/>
        <v>82.6</v>
      </c>
      <c r="T366" s="278"/>
      <c r="U366" s="245"/>
    </row>
    <row r="367" spans="4:21" ht="47.25">
      <c r="D367" s="294" t="s">
        <v>803</v>
      </c>
      <c r="E367" s="261" t="s">
        <v>589</v>
      </c>
      <c r="F367" s="246">
        <v>1</v>
      </c>
      <c r="G367" s="245">
        <v>47.9</v>
      </c>
      <c r="H367" s="245"/>
      <c r="I367" s="245"/>
      <c r="J367" s="245">
        <v>15.4</v>
      </c>
      <c r="K367" s="245">
        <v>8</v>
      </c>
      <c r="L367" s="245">
        <v>10.3</v>
      </c>
      <c r="M367" s="315"/>
      <c r="N367" s="245">
        <v>82.6</v>
      </c>
      <c r="O367" s="245"/>
      <c r="P367" s="245"/>
      <c r="Q367" s="245"/>
      <c r="R367" s="245"/>
      <c r="S367" s="245">
        <f t="shared" si="2"/>
        <v>82.6</v>
      </c>
      <c r="T367" s="278"/>
      <c r="U367" s="245"/>
    </row>
    <row r="368" spans="4:21" ht="47.25">
      <c r="D368" s="294" t="s">
        <v>804</v>
      </c>
      <c r="E368" s="261" t="s">
        <v>587</v>
      </c>
      <c r="F368" s="246">
        <v>1</v>
      </c>
      <c r="G368" s="245">
        <v>15.3</v>
      </c>
      <c r="H368" s="245"/>
      <c r="I368" s="245"/>
      <c r="J368" s="245">
        <v>4.9000000000000004</v>
      </c>
      <c r="K368" s="245">
        <v>2.6</v>
      </c>
      <c r="L368" s="245">
        <v>22.3</v>
      </c>
      <c r="M368" s="315"/>
      <c r="N368" s="245">
        <v>57</v>
      </c>
      <c r="O368" s="245"/>
      <c r="P368" s="245"/>
      <c r="Q368" s="245"/>
      <c r="R368" s="245"/>
      <c r="S368" s="245">
        <f t="shared" si="2"/>
        <v>57</v>
      </c>
      <c r="T368" s="278"/>
      <c r="U368" s="245"/>
    </row>
    <row r="369" spans="4:21" ht="47.25">
      <c r="D369" s="294" t="s">
        <v>805</v>
      </c>
      <c r="E369" s="261" t="s">
        <v>587</v>
      </c>
      <c r="F369" s="246">
        <v>1</v>
      </c>
      <c r="G369" s="245">
        <v>15.3</v>
      </c>
      <c r="H369" s="245"/>
      <c r="I369" s="245"/>
      <c r="J369" s="245">
        <v>4.9000000000000004</v>
      </c>
      <c r="K369" s="245">
        <v>2.6</v>
      </c>
      <c r="L369" s="245">
        <v>22.3</v>
      </c>
      <c r="M369" s="315"/>
      <c r="N369" s="245">
        <v>57</v>
      </c>
      <c r="O369" s="245"/>
      <c r="P369" s="245"/>
      <c r="Q369" s="245"/>
      <c r="R369" s="245"/>
      <c r="S369" s="245">
        <f t="shared" si="2"/>
        <v>57</v>
      </c>
      <c r="T369" s="278"/>
      <c r="U369" s="245"/>
    </row>
    <row r="370" spans="4:21" ht="47.25">
      <c r="D370" s="294" t="s">
        <v>806</v>
      </c>
      <c r="E370" s="261" t="s">
        <v>587</v>
      </c>
      <c r="F370" s="246">
        <v>1</v>
      </c>
      <c r="G370" s="245">
        <v>15.3</v>
      </c>
      <c r="H370" s="245"/>
      <c r="I370" s="245"/>
      <c r="J370" s="245">
        <v>4.9000000000000004</v>
      </c>
      <c r="K370" s="245">
        <v>2.6</v>
      </c>
      <c r="L370" s="245">
        <v>22.3</v>
      </c>
      <c r="M370" s="315"/>
      <c r="N370" s="245">
        <v>57</v>
      </c>
      <c r="O370" s="245"/>
      <c r="P370" s="245"/>
      <c r="Q370" s="245"/>
      <c r="R370" s="245"/>
      <c r="S370" s="245">
        <f t="shared" si="2"/>
        <v>57</v>
      </c>
      <c r="T370" s="278"/>
      <c r="U370" s="245"/>
    </row>
    <row r="371" spans="4:21" ht="47.25">
      <c r="D371" s="294" t="s">
        <v>886</v>
      </c>
      <c r="E371" s="261" t="s">
        <v>885</v>
      </c>
      <c r="F371" s="246">
        <v>1</v>
      </c>
      <c r="G371" s="245">
        <v>312.2</v>
      </c>
      <c r="H371" s="245"/>
      <c r="I371" s="245"/>
      <c r="J371" s="245">
        <v>100.6</v>
      </c>
      <c r="K371" s="245">
        <v>52.1</v>
      </c>
      <c r="L371" s="245">
        <v>11.7</v>
      </c>
      <c r="M371" s="312"/>
      <c r="N371" s="245">
        <v>609.9</v>
      </c>
      <c r="O371" s="245"/>
      <c r="P371" s="245"/>
      <c r="Q371" s="245"/>
      <c r="R371" s="245"/>
      <c r="S371" s="245">
        <f t="shared" ref="S371" si="3">N371</f>
        <v>609.9</v>
      </c>
      <c r="T371" s="278"/>
      <c r="U371" s="245"/>
    </row>
    <row r="372" spans="4:21">
      <c r="D372" s="526" t="s">
        <v>10</v>
      </c>
      <c r="E372" s="527"/>
      <c r="F372" s="302"/>
      <c r="G372" s="303">
        <f>SUM(G148:G371)</f>
        <v>5161.0000000000127</v>
      </c>
      <c r="H372" s="303">
        <f>SUM(H148:H371)</f>
        <v>31.8</v>
      </c>
      <c r="I372" s="303"/>
      <c r="J372" s="303">
        <f>SUM(J148:J371)</f>
        <v>1667.400000000004</v>
      </c>
      <c r="K372" s="303">
        <f>SUM(K148:K371)</f>
        <v>868.30000000000098</v>
      </c>
      <c r="L372" s="303"/>
      <c r="M372" s="303"/>
      <c r="N372" s="303">
        <f>SUM(N148:N371)</f>
        <v>12993.000000000011</v>
      </c>
      <c r="O372" s="245"/>
      <c r="P372" s="302"/>
      <c r="Q372" s="245"/>
      <c r="R372" s="302"/>
      <c r="S372" s="302">
        <f>N372</f>
        <v>12993.000000000011</v>
      </c>
      <c r="T372" s="303"/>
      <c r="U372" s="245"/>
    </row>
    <row r="373" spans="4:21">
      <c r="M373" s="316"/>
    </row>
    <row r="374" spans="4:21">
      <c r="E374" s="9" t="s">
        <v>26</v>
      </c>
      <c r="F374" s="9"/>
      <c r="G374" s="293">
        <v>4504</v>
      </c>
      <c r="M374" s="316"/>
    </row>
    <row r="375" spans="4:21">
      <c r="E375" s="9" t="s">
        <v>27</v>
      </c>
      <c r="F375" s="9"/>
      <c r="G375" s="48">
        <f>(J141)*100/G374</f>
        <v>15.864297265976568</v>
      </c>
      <c r="H375" s="55" t="s">
        <v>14</v>
      </c>
      <c r="M375" s="316"/>
    </row>
    <row r="376" spans="4:21">
      <c r="G376" s="7"/>
      <c r="H376" s="55"/>
      <c r="M376" s="317"/>
      <c r="N376" s="2"/>
      <c r="O376" s="2"/>
      <c r="P376" s="2"/>
      <c r="Q376" s="2"/>
    </row>
    <row r="377" spans="4:21">
      <c r="E377" s="47" t="s">
        <v>38</v>
      </c>
      <c r="F377" s="47"/>
      <c r="I377" s="197"/>
      <c r="L377" s="7" t="s">
        <v>32</v>
      </c>
      <c r="M377" s="318"/>
      <c r="P377" s="7" t="s">
        <v>24</v>
      </c>
    </row>
    <row r="378" spans="4:21">
      <c r="E378" s="45"/>
      <c r="F378" s="45"/>
      <c r="G378" s="48"/>
      <c r="M378" s="316"/>
    </row>
    <row r="379" spans="4:21">
      <c r="E379" s="246">
        <v>2023</v>
      </c>
      <c r="F379" s="246"/>
      <c r="G379" s="278">
        <f>SUMIF(M:M,E379,J:J)</f>
        <v>108.3539533230467</v>
      </c>
      <c r="H379" s="297">
        <f>G379*100/G374</f>
        <v>2.4057272052186214</v>
      </c>
      <c r="I379" s="298"/>
      <c r="J379" s="299"/>
      <c r="K379" s="246">
        <v>2023</v>
      </c>
      <c r="L379" s="246"/>
      <c r="M379" s="278">
        <f>SUMIF(M17:M140,K379,G17:G140)</f>
        <v>336.91125068799994</v>
      </c>
      <c r="N379" s="300"/>
      <c r="O379" s="246">
        <v>2023</v>
      </c>
      <c r="P379" s="246"/>
      <c r="Q379" s="278">
        <f>SUMIF(M17:M140,O379,H17:H140)</f>
        <v>0</v>
      </c>
    </row>
    <row r="380" spans="4:21">
      <c r="E380" s="246">
        <v>2024</v>
      </c>
      <c r="F380" s="246"/>
      <c r="G380" s="301">
        <f>SUMIF(M:M,E380,J:J)</f>
        <v>102.13288351327337</v>
      </c>
      <c r="H380" s="300">
        <f>G380*100/G374</f>
        <v>2.2676039856410606</v>
      </c>
      <c r="I380" s="298"/>
      <c r="J380" s="299"/>
      <c r="K380" s="246">
        <v>2024</v>
      </c>
      <c r="L380" s="246"/>
      <c r="M380" s="278">
        <f>SUMIF(M17:M140,K380,G17:G140)</f>
        <v>267.76813865599979</v>
      </c>
      <c r="N380" s="300"/>
      <c r="O380" s="246">
        <v>2024</v>
      </c>
      <c r="P380" s="246"/>
      <c r="Q380" s="301">
        <f>SUMIF(M17:M140,O380,H17:H140)</f>
        <v>90.5</v>
      </c>
    </row>
    <row r="381" spans="4:21">
      <c r="E381" s="246">
        <v>2025</v>
      </c>
      <c r="F381" s="246"/>
      <c r="G381" s="301">
        <f>SUMIF(M:M,E381,J:J)</f>
        <v>167.38777815972441</v>
      </c>
      <c r="H381" s="300">
        <f>G381*100/G374</f>
        <v>3.7164249147363324</v>
      </c>
      <c r="I381" s="298"/>
      <c r="J381" s="299"/>
      <c r="K381" s="246">
        <v>2025</v>
      </c>
      <c r="L381" s="246"/>
      <c r="M381" s="301">
        <f>SUMIF(M17:M140,K381,G17:G140)</f>
        <v>520.55067596799995</v>
      </c>
      <c r="N381" s="300"/>
      <c r="O381" s="246">
        <v>2025</v>
      </c>
      <c r="P381" s="246"/>
      <c r="Q381" s="301">
        <f>SUMIF(M17:M140,O381,H17:H140)</f>
        <v>0</v>
      </c>
    </row>
    <row r="382" spans="4:21">
      <c r="E382" s="246">
        <v>2026</v>
      </c>
      <c r="F382" s="246"/>
      <c r="G382" s="301">
        <f>SUMIF(M:M,E382,J:J)</f>
        <v>155.5298971531891</v>
      </c>
      <c r="H382" s="300">
        <f>G382*100/G374</f>
        <v>3.4531504696533992</v>
      </c>
      <c r="I382" s="298"/>
      <c r="J382" s="299"/>
      <c r="K382" s="246">
        <v>2026</v>
      </c>
      <c r="L382" s="246"/>
      <c r="M382" s="301">
        <f>SUMIF(M17:M140,K382,G17:G140)</f>
        <v>483.8522048000001</v>
      </c>
      <c r="N382" s="300"/>
      <c r="O382" s="246">
        <v>2026</v>
      </c>
      <c r="P382" s="246"/>
      <c r="Q382" s="301">
        <f>SUMIF(M17:M140,O382,H17:H140)</f>
        <v>0</v>
      </c>
    </row>
    <row r="383" spans="4:21">
      <c r="E383" s="246">
        <v>2027</v>
      </c>
      <c r="F383" s="246"/>
      <c r="G383" s="301">
        <f>SUMIF(M:M,E383,J:J)</f>
        <v>181.1234367103518</v>
      </c>
      <c r="H383" s="300">
        <f>G383*100/G374</f>
        <v>4.0213906907271708</v>
      </c>
      <c r="I383" s="298"/>
      <c r="J383" s="299"/>
      <c r="K383" s="246">
        <v>2027</v>
      </c>
      <c r="L383" s="246"/>
      <c r="M383" s="301">
        <f>SUMIF(M17:M140,K383,G17:G140)</f>
        <v>563.47365887999968</v>
      </c>
      <c r="N383" s="300"/>
      <c r="O383" s="246">
        <v>2027</v>
      </c>
      <c r="P383" s="246"/>
      <c r="Q383" s="301">
        <f>SUMIF(M17:M140,O383,H17:H140)</f>
        <v>0</v>
      </c>
    </row>
    <row r="384" spans="4:21">
      <c r="E384" s="46" t="s">
        <v>37</v>
      </c>
      <c r="F384" s="46"/>
      <c r="G384" s="56">
        <f>SUM(G379:G383)</f>
        <v>714.52794885958542</v>
      </c>
      <c r="J384" s="173"/>
      <c r="M384" s="316"/>
    </row>
    <row r="385" spans="7:15" ht="16.5" thickBot="1">
      <c r="M385" s="316"/>
    </row>
    <row r="386" spans="7:15" ht="16.5" thickBot="1">
      <c r="M386" s="319"/>
    </row>
    <row r="387" spans="7:15" ht="16.5" thickBot="1">
      <c r="M387" s="320"/>
    </row>
    <row r="388" spans="7:15" ht="16.5" thickBot="1">
      <c r="M388" s="320"/>
    </row>
    <row r="389" spans="7:15">
      <c r="M389" s="316"/>
      <c r="O389" s="173"/>
    </row>
    <row r="390" spans="7:15">
      <c r="M390" s="316"/>
    </row>
    <row r="391" spans="7:15">
      <c r="M391" s="316"/>
    </row>
    <row r="392" spans="7:15" ht="16.5" thickBot="1">
      <c r="M392" s="316"/>
    </row>
    <row r="393" spans="7:15" ht="19.5" thickBot="1">
      <c r="G393" s="194"/>
      <c r="H393" s="173"/>
      <c r="I393" s="197"/>
      <c r="M393" s="316"/>
    </row>
    <row r="394" spans="7:15" ht="19.5" thickBot="1">
      <c r="G394" s="198"/>
      <c r="H394" s="173"/>
      <c r="I394" s="197"/>
      <c r="M394" s="316"/>
    </row>
    <row r="395" spans="7:15" ht="19.5" thickBot="1">
      <c r="G395" s="195"/>
      <c r="H395" s="173"/>
      <c r="I395" s="197"/>
      <c r="M395" s="316"/>
    </row>
    <row r="396" spans="7:15" ht="19.5" thickBot="1">
      <c r="G396" s="198"/>
      <c r="H396" s="196"/>
      <c r="I396" s="197"/>
      <c r="M396" s="316"/>
    </row>
    <row r="397" spans="7:15" ht="19.5" thickBot="1">
      <c r="G397" s="198"/>
      <c r="H397" s="173"/>
      <c r="I397" s="197"/>
      <c r="M397" s="316"/>
    </row>
    <row r="398" spans="7:15">
      <c r="G398" s="7"/>
      <c r="M398" s="316"/>
    </row>
    <row r="399" spans="7:15">
      <c r="M399" s="316"/>
    </row>
    <row r="400" spans="7:15">
      <c r="M400" s="316"/>
    </row>
    <row r="401" spans="5:13">
      <c r="M401" s="316"/>
    </row>
    <row r="402" spans="5:13">
      <c r="G402" s="21"/>
      <c r="H402" s="173"/>
      <c r="I402" s="197"/>
      <c r="M402" s="316"/>
    </row>
    <row r="403" spans="5:13">
      <c r="G403" s="21"/>
      <c r="H403" s="173"/>
      <c r="I403" s="197"/>
      <c r="M403" s="316"/>
    </row>
    <row r="404" spans="5:13">
      <c r="G404" s="21"/>
      <c r="H404" s="173"/>
      <c r="I404" s="197"/>
      <c r="M404" s="316"/>
    </row>
    <row r="405" spans="5:13">
      <c r="G405" s="21"/>
      <c r="H405" s="173"/>
      <c r="I405" s="197"/>
      <c r="M405" s="316"/>
    </row>
    <row r="406" spans="5:13">
      <c r="G406" s="21"/>
      <c r="H406" s="173"/>
      <c r="I406" s="197"/>
      <c r="M406" s="316"/>
    </row>
    <row r="407" spans="5:13">
      <c r="G407" s="21"/>
      <c r="H407" s="173"/>
      <c r="I407" s="197"/>
    </row>
    <row r="408" spans="5:13">
      <c r="G408" s="21"/>
      <c r="H408" s="173"/>
      <c r="I408" s="197"/>
    </row>
    <row r="409" spans="5:13">
      <c r="G409" s="7"/>
    </row>
    <row r="414" spans="5:13">
      <c r="E414" s="15"/>
    </row>
    <row r="415" spans="5:13">
      <c r="E415" s="15"/>
    </row>
    <row r="416" spans="5:13" ht="18.75">
      <c r="E416" s="67"/>
    </row>
    <row r="417" spans="5:5" ht="18.75">
      <c r="E417" s="67"/>
    </row>
    <row r="418" spans="5:5" ht="18.75">
      <c r="E418" s="67"/>
    </row>
    <row r="419" spans="5:5" ht="18.75">
      <c r="E419" s="67"/>
    </row>
    <row r="420" spans="5:5" ht="18.75">
      <c r="E420" s="67"/>
    </row>
  </sheetData>
  <mergeCells count="54">
    <mergeCell ref="D372:E372"/>
    <mergeCell ref="M144:M146"/>
    <mergeCell ref="N144:N146"/>
    <mergeCell ref="O144:U144"/>
    <mergeCell ref="G145:G146"/>
    <mergeCell ref="H145:H146"/>
    <mergeCell ref="I145:I146"/>
    <mergeCell ref="J145:J146"/>
    <mergeCell ref="O145:O146"/>
    <mergeCell ref="P145:P146"/>
    <mergeCell ref="Q145:Q146"/>
    <mergeCell ref="R145:R146"/>
    <mergeCell ref="S145:S146"/>
    <mergeCell ref="T145:T146"/>
    <mergeCell ref="U145:U146"/>
    <mergeCell ref="E147:U147"/>
    <mergeCell ref="Z53:AA53"/>
    <mergeCell ref="D141:E141"/>
    <mergeCell ref="D144:D146"/>
    <mergeCell ref="E144:E146"/>
    <mergeCell ref="F144:F146"/>
    <mergeCell ref="G144:J144"/>
    <mergeCell ref="K144:K146"/>
    <mergeCell ref="L144:L146"/>
    <mergeCell ref="D16:U16"/>
    <mergeCell ref="Z17:AA42"/>
    <mergeCell ref="Z47:AA47"/>
    <mergeCell ref="Z48:AA48"/>
    <mergeCell ref="R3:R4"/>
    <mergeCell ref="S3:S4"/>
    <mergeCell ref="T3:T4"/>
    <mergeCell ref="U3:U4"/>
    <mergeCell ref="D5:U5"/>
    <mergeCell ref="D13:U13"/>
    <mergeCell ref="M2:M4"/>
    <mergeCell ref="N2:N4"/>
    <mergeCell ref="O2:U2"/>
    <mergeCell ref="G3:G4"/>
    <mergeCell ref="H3:H4"/>
    <mergeCell ref="I3:I4"/>
    <mergeCell ref="J3:J4"/>
    <mergeCell ref="O3:O4"/>
    <mergeCell ref="P3:P4"/>
    <mergeCell ref="Q3:Q4"/>
    <mergeCell ref="E1:U1"/>
    <mergeCell ref="F2:F4"/>
    <mergeCell ref="G2:J2"/>
    <mergeCell ref="K2:K4"/>
    <mergeCell ref="L2:L4"/>
    <mergeCell ref="A2:A4"/>
    <mergeCell ref="B2:B4"/>
    <mergeCell ref="C2:C4"/>
    <mergeCell ref="D2:D4"/>
    <mergeCell ref="E2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4"/>
  <sheetViews>
    <sheetView zoomScale="80" zoomScaleNormal="80" workbookViewId="0">
      <selection activeCell="A3" sqref="A3"/>
    </sheetView>
  </sheetViews>
  <sheetFormatPr defaultRowHeight="15.75"/>
  <cols>
    <col min="1" max="1" width="85.7109375" style="77" customWidth="1"/>
    <col min="2" max="2" width="6.7109375" style="77" customWidth="1"/>
    <col min="3" max="3" width="9.28515625" style="77" customWidth="1"/>
    <col min="4" max="4" width="7.28515625" style="77" customWidth="1"/>
    <col min="5" max="5" width="7" style="126" customWidth="1"/>
    <col min="6" max="6" width="6.85546875" style="126" bestFit="1" customWidth="1"/>
    <col min="7" max="7" width="6.85546875" style="126" customWidth="1"/>
    <col min="8" max="8" width="6.28515625" style="126" customWidth="1"/>
    <col min="9" max="9" width="6.85546875" style="126" bestFit="1" customWidth="1"/>
    <col min="10" max="10" width="10.42578125" style="77" customWidth="1"/>
    <col min="11" max="11" width="6.5703125" style="77" customWidth="1"/>
    <col min="12" max="12" width="6.42578125" style="77" customWidth="1"/>
    <col min="13" max="13" width="6" style="77" customWidth="1"/>
    <col min="14" max="14" width="7" style="77" customWidth="1"/>
    <col min="15" max="15" width="5.7109375" style="77" customWidth="1"/>
    <col min="16" max="16" width="6.140625" style="77" customWidth="1"/>
    <col min="17" max="17" width="8.42578125" style="77" customWidth="1"/>
    <col min="18" max="18" width="10.28515625" style="77" customWidth="1"/>
    <col min="19" max="19" width="13.140625" style="77" bestFit="1" customWidth="1"/>
    <col min="20" max="16384" width="9.140625" style="77"/>
  </cols>
  <sheetData>
    <row r="1" spans="1:19" ht="104.25" customHeight="1">
      <c r="A1" s="378" t="s">
        <v>140</v>
      </c>
      <c r="B1" s="377" t="s">
        <v>141</v>
      </c>
      <c r="C1" s="377" t="s">
        <v>142</v>
      </c>
      <c r="D1" s="377" t="s">
        <v>143</v>
      </c>
      <c r="E1" s="377" t="s">
        <v>144</v>
      </c>
      <c r="F1" s="377" t="s">
        <v>145</v>
      </c>
      <c r="G1" s="377" t="s">
        <v>146</v>
      </c>
      <c r="H1" s="377"/>
      <c r="I1" s="377" t="s">
        <v>147</v>
      </c>
      <c r="J1" s="377" t="s">
        <v>148</v>
      </c>
      <c r="K1" s="377" t="s">
        <v>149</v>
      </c>
      <c r="L1" s="377"/>
      <c r="M1" s="377" t="s">
        <v>52</v>
      </c>
      <c r="N1" s="377" t="s">
        <v>41</v>
      </c>
      <c r="O1" s="377"/>
      <c r="P1" s="377"/>
      <c r="Q1" s="377" t="s">
        <v>48</v>
      </c>
      <c r="R1" s="377" t="s">
        <v>9</v>
      </c>
      <c r="S1" s="117"/>
    </row>
    <row r="2" spans="1:19" ht="77.25" customHeight="1">
      <c r="A2" s="378"/>
      <c r="B2" s="377"/>
      <c r="C2" s="377"/>
      <c r="D2" s="377"/>
      <c r="E2" s="377"/>
      <c r="F2" s="377"/>
      <c r="G2" s="118" t="s">
        <v>150</v>
      </c>
      <c r="H2" s="118" t="s">
        <v>151</v>
      </c>
      <c r="I2" s="377"/>
      <c r="J2" s="377"/>
      <c r="K2" s="118" t="s">
        <v>150</v>
      </c>
      <c r="L2" s="118" t="s">
        <v>151</v>
      </c>
      <c r="M2" s="377"/>
      <c r="N2" s="118" t="s">
        <v>24</v>
      </c>
      <c r="O2" s="118" t="s">
        <v>30</v>
      </c>
      <c r="P2" s="118" t="s">
        <v>31</v>
      </c>
      <c r="Q2" s="377"/>
      <c r="R2" s="377"/>
    </row>
    <row r="3" spans="1:19" ht="15.75" customHeight="1">
      <c r="A3" s="119" t="s">
        <v>152</v>
      </c>
      <c r="B3" s="71">
        <v>33</v>
      </c>
      <c r="C3" s="120">
        <v>5.7</v>
      </c>
      <c r="D3" s="120">
        <v>8.56</v>
      </c>
      <c r="E3" s="121">
        <v>4.3</v>
      </c>
      <c r="F3" s="122">
        <f>21/(21-E3)</f>
        <v>1.2574850299401199</v>
      </c>
      <c r="G3" s="123">
        <v>340</v>
      </c>
      <c r="H3" s="71">
        <v>118</v>
      </c>
      <c r="I3" s="124">
        <f>B3*(C3+(F3-1)*D3)*(273+G3)/273</f>
        <v>585.68303875764968</v>
      </c>
      <c r="J3" s="125">
        <v>0.56999999999999995</v>
      </c>
      <c r="K3" s="125">
        <v>0.27</v>
      </c>
      <c r="L3" s="125">
        <v>0.26</v>
      </c>
      <c r="M3" s="71">
        <v>2100</v>
      </c>
      <c r="N3" s="92">
        <f>I3*J3*(K3*G3-L3*H3)*M3/1000000*0.75*0.97</f>
        <v>31.172608180556121</v>
      </c>
      <c r="O3" s="92">
        <f>N3*0.16636*1.0937</f>
        <v>5.671791593498468</v>
      </c>
      <c r="P3" s="92">
        <f>(O3*2.38*210)/1000</f>
        <v>2.834761438430534</v>
      </c>
      <c r="Q3" s="92">
        <f>[39]Стоимость!B7</f>
        <v>15.5</v>
      </c>
      <c r="R3" s="92">
        <f>Q3/P3</f>
        <v>5.4678322450236152</v>
      </c>
    </row>
    <row r="4" spans="1:19" ht="15.75" customHeight="1">
      <c r="A4" s="119" t="s">
        <v>153</v>
      </c>
      <c r="B4" s="71">
        <v>29</v>
      </c>
      <c r="C4" s="120">
        <v>5.3</v>
      </c>
      <c r="D4" s="120">
        <v>8.56</v>
      </c>
      <c r="E4" s="121">
        <v>4.3</v>
      </c>
      <c r="F4" s="122">
        <f>21/(21-E4)</f>
        <v>1.2574850299401199</v>
      </c>
      <c r="G4" s="123">
        <v>345</v>
      </c>
      <c r="H4" s="71">
        <v>120</v>
      </c>
      <c r="I4" s="124">
        <f>B4*(C4+(F4-1)*D4)*(273+G4)/273</f>
        <v>492.62994801605589</v>
      </c>
      <c r="J4" s="125">
        <v>0.54</v>
      </c>
      <c r="K4" s="125">
        <v>0.25</v>
      </c>
      <c r="L4" s="125">
        <v>0.24</v>
      </c>
      <c r="M4" s="71">
        <v>3500</v>
      </c>
      <c r="N4" s="92">
        <f>I4*J4*(K4*G4-L4*H4)*M4/1000000*0.75*0.97</f>
        <v>38.913979416330477</v>
      </c>
      <c r="O4" s="92">
        <f t="shared" ref="O4:O6" si="0">N4*0.16636*1.0937</f>
        <v>7.0803180806918977</v>
      </c>
      <c r="P4" s="92">
        <f t="shared" ref="P4:P6" si="1">(O4*2.38*210)/1000</f>
        <v>3.53874297672981</v>
      </c>
      <c r="Q4" s="92">
        <f>[39]Стоимость!B13</f>
        <v>15.5</v>
      </c>
      <c r="R4" s="92">
        <f>Q4/P4</f>
        <v>4.3800864041060468</v>
      </c>
    </row>
    <row r="5" spans="1:19" ht="15.75" customHeight="1">
      <c r="A5" s="119" t="s">
        <v>154</v>
      </c>
      <c r="B5" s="71">
        <v>31</v>
      </c>
      <c r="C5" s="120">
        <v>5.5</v>
      </c>
      <c r="D5" s="120">
        <v>8.56</v>
      </c>
      <c r="E5" s="121">
        <v>4.3</v>
      </c>
      <c r="F5" s="122">
        <f t="shared" ref="F5:F6" si="2">21/(21-E5)</f>
        <v>1.2574850299401199</v>
      </c>
      <c r="G5" s="123">
        <v>349</v>
      </c>
      <c r="H5" s="71">
        <v>120</v>
      </c>
      <c r="I5" s="124">
        <f t="shared" ref="I5:I6" si="3">B5*(C5+(F5-1)*D5)*(273+G5)/273</f>
        <v>544.13887741001531</v>
      </c>
      <c r="J5" s="125">
        <v>0.55000000000000004</v>
      </c>
      <c r="K5" s="125">
        <v>0.26</v>
      </c>
      <c r="L5" s="125">
        <v>0.25</v>
      </c>
      <c r="M5" s="71">
        <v>4920</v>
      </c>
      <c r="N5" s="92">
        <f t="shared" ref="N5:N6" si="4">I5*J5*(K5*G5-L5*H5)*M5/1000000*0.75*0.97</f>
        <v>65.064685336703903</v>
      </c>
      <c r="O5" s="92">
        <f t="shared" si="0"/>
        <v>11.838384943244</v>
      </c>
      <c r="P5" s="92">
        <f t="shared" si="1"/>
        <v>5.9168247946333503</v>
      </c>
      <c r="Q5" s="92">
        <f>[39]Стоимость!B19</f>
        <v>15.5</v>
      </c>
      <c r="R5" s="92">
        <f t="shared" ref="R5:R7" si="5">Q5/P5</f>
        <v>2.6196482975224709</v>
      </c>
    </row>
    <row r="6" spans="1:19" ht="15.75" customHeight="1">
      <c r="A6" s="119" t="s">
        <v>155</v>
      </c>
      <c r="B6" s="71">
        <v>33</v>
      </c>
      <c r="C6" s="120">
        <v>5.7</v>
      </c>
      <c r="D6" s="120">
        <v>8.56</v>
      </c>
      <c r="E6" s="121">
        <v>4.3</v>
      </c>
      <c r="F6" s="122">
        <f t="shared" si="2"/>
        <v>1.2574850299401199</v>
      </c>
      <c r="G6" s="123">
        <v>340</v>
      </c>
      <c r="H6" s="71">
        <v>118</v>
      </c>
      <c r="I6" s="124">
        <f t="shared" si="3"/>
        <v>585.68303875764968</v>
      </c>
      <c r="J6" s="125">
        <v>0.56999999999999995</v>
      </c>
      <c r="K6" s="125">
        <v>0.27</v>
      </c>
      <c r="L6" s="125">
        <v>0.26</v>
      </c>
      <c r="M6" s="71">
        <v>4920</v>
      </c>
      <c r="N6" s="92">
        <f t="shared" si="4"/>
        <v>73.032967737302911</v>
      </c>
      <c r="O6" s="92">
        <f t="shared" si="0"/>
        <v>13.288197447624983</v>
      </c>
      <c r="P6" s="92">
        <f t="shared" si="1"/>
        <v>6.6414410843229659</v>
      </c>
      <c r="Q6" s="92">
        <f>[39]Стоимость!B25</f>
        <v>15.5</v>
      </c>
      <c r="R6" s="92">
        <f t="shared" si="5"/>
        <v>2.3338308362905673</v>
      </c>
    </row>
    <row r="7" spans="1:19" ht="15.75" customHeight="1">
      <c r="B7" s="126"/>
      <c r="C7" s="126"/>
      <c r="D7" s="126"/>
      <c r="G7" s="77"/>
      <c r="H7" s="77"/>
      <c r="I7" s="77"/>
      <c r="N7" s="127">
        <f>SUM(N3:N6)</f>
        <v>208.18424067089342</v>
      </c>
      <c r="O7" s="127">
        <f t="shared" ref="O7:Q7" si="6">SUM(O3:O6)</f>
        <v>37.878692065059347</v>
      </c>
      <c r="P7" s="127">
        <f t="shared" si="6"/>
        <v>18.93177029411666</v>
      </c>
      <c r="Q7" s="127">
        <f t="shared" si="6"/>
        <v>62</v>
      </c>
      <c r="R7" s="92">
        <f t="shared" si="5"/>
        <v>3.2749182478337726</v>
      </c>
    </row>
    <row r="8" spans="1:19" ht="15.75" customHeight="1">
      <c r="B8" s="126"/>
      <c r="C8" s="126"/>
      <c r="D8" s="126"/>
      <c r="G8" s="77"/>
      <c r="H8" s="77"/>
      <c r="I8" s="77"/>
    </row>
    <row r="9" spans="1:19" ht="15.75" customHeight="1">
      <c r="B9" s="126"/>
      <c r="C9" s="126"/>
      <c r="D9" s="126"/>
      <c r="G9" s="77"/>
      <c r="H9" s="77"/>
      <c r="I9" s="77"/>
    </row>
    <row r="10" spans="1:19" ht="15.75" customHeight="1">
      <c r="B10" s="126"/>
      <c r="C10" s="126"/>
      <c r="D10" s="126"/>
      <c r="G10" s="77"/>
      <c r="H10" s="77"/>
      <c r="I10" s="77"/>
    </row>
    <row r="11" spans="1:19" ht="15.75" customHeight="1">
      <c r="B11" s="126"/>
      <c r="C11" s="126"/>
      <c r="D11" s="126"/>
      <c r="G11" s="77"/>
      <c r="H11" s="77"/>
      <c r="I11" s="77"/>
    </row>
    <row r="12" spans="1:19" ht="15.75" customHeight="1">
      <c r="B12" s="126"/>
      <c r="C12" s="126"/>
      <c r="D12" s="126"/>
      <c r="G12" s="77"/>
      <c r="H12" s="77"/>
      <c r="I12" s="77"/>
    </row>
    <row r="13" spans="1:19" ht="15.75" customHeight="1">
      <c r="B13" s="126"/>
      <c r="C13" s="126"/>
      <c r="D13" s="126"/>
      <c r="G13" s="77"/>
      <c r="H13" s="77"/>
      <c r="I13" s="77"/>
    </row>
    <row r="14" spans="1:19" ht="15.75" customHeight="1">
      <c r="B14" s="126"/>
      <c r="C14" s="126"/>
      <c r="D14" s="126"/>
      <c r="G14" s="77"/>
      <c r="H14" s="77"/>
      <c r="I14" s="77"/>
    </row>
    <row r="15" spans="1:19" ht="15.75" customHeight="1">
      <c r="B15" s="126"/>
      <c r="C15" s="126"/>
      <c r="D15" s="126"/>
      <c r="G15" s="77"/>
      <c r="H15" s="77"/>
      <c r="I15" s="77"/>
    </row>
    <row r="16" spans="1:19" ht="15.75" customHeight="1">
      <c r="B16" s="126"/>
      <c r="C16" s="126"/>
      <c r="D16" s="126"/>
      <c r="G16" s="77"/>
      <c r="H16" s="77"/>
      <c r="I16" s="77"/>
    </row>
    <row r="17" spans="2:9" ht="15.75" customHeight="1">
      <c r="B17" s="126"/>
      <c r="C17" s="126"/>
      <c r="D17" s="126"/>
      <c r="G17" s="77"/>
      <c r="H17" s="77"/>
      <c r="I17" s="77"/>
    </row>
    <row r="18" spans="2:9" ht="15.75" customHeight="1">
      <c r="B18" s="126"/>
      <c r="C18" s="126"/>
      <c r="D18" s="126"/>
      <c r="G18" s="77"/>
      <c r="H18" s="77"/>
      <c r="I18" s="77"/>
    </row>
    <row r="19" spans="2:9" ht="15.75" customHeight="1">
      <c r="B19" s="126"/>
      <c r="C19" s="126"/>
      <c r="D19" s="126"/>
      <c r="G19" s="77"/>
      <c r="H19" s="77"/>
      <c r="I19" s="77"/>
    </row>
    <row r="20" spans="2:9" ht="15.75" customHeight="1">
      <c r="B20" s="126"/>
      <c r="C20" s="126"/>
      <c r="D20" s="126"/>
      <c r="G20" s="77"/>
      <c r="H20" s="77"/>
      <c r="I20" s="77"/>
    </row>
    <row r="21" spans="2:9" ht="15.75" customHeight="1">
      <c r="B21" s="126"/>
      <c r="C21" s="126"/>
      <c r="D21" s="126"/>
      <c r="G21" s="77"/>
      <c r="H21" s="77"/>
      <c r="I21" s="77"/>
    </row>
    <row r="22" spans="2:9" ht="15.75" customHeight="1">
      <c r="B22" s="126"/>
      <c r="C22" s="126"/>
      <c r="D22" s="126"/>
      <c r="G22" s="77"/>
      <c r="H22" s="77"/>
      <c r="I22" s="77"/>
    </row>
    <row r="23" spans="2:9" ht="15.75" customHeight="1">
      <c r="B23" s="126"/>
      <c r="C23" s="126"/>
      <c r="D23" s="126"/>
      <c r="G23" s="77"/>
      <c r="H23" s="77"/>
      <c r="I23" s="77"/>
    </row>
    <row r="24" spans="2:9" ht="15.75" customHeight="1">
      <c r="B24" s="126"/>
      <c r="C24" s="126"/>
      <c r="D24" s="126"/>
      <c r="G24" s="77"/>
      <c r="H24" s="77"/>
      <c r="I24" s="77"/>
    </row>
    <row r="25" spans="2:9" ht="15.75" customHeight="1">
      <c r="B25" s="126"/>
      <c r="C25" s="126"/>
      <c r="D25" s="126"/>
      <c r="G25" s="77"/>
      <c r="H25" s="77"/>
      <c r="I25" s="77"/>
    </row>
    <row r="26" spans="2:9" ht="15.75" customHeight="1">
      <c r="B26" s="126"/>
      <c r="C26" s="126"/>
      <c r="D26" s="126"/>
      <c r="G26" s="77"/>
      <c r="H26" s="77"/>
      <c r="I26" s="77"/>
    </row>
    <row r="27" spans="2:9" ht="15.75" customHeight="1">
      <c r="B27" s="126"/>
      <c r="C27" s="126"/>
      <c r="D27" s="126"/>
      <c r="G27" s="77"/>
      <c r="H27" s="77"/>
      <c r="I27" s="77"/>
    </row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/>
    <row r="54" spans="2:2" ht="15.75" customHeight="1"/>
    <row r="55" spans="2:2" ht="15.75" customHeight="1"/>
    <row r="56" spans="2:2" ht="60.75" customHeight="1"/>
    <row r="57" spans="2:2" ht="38.25" customHeight="1"/>
    <row r="58" spans="2:2" ht="45" customHeight="1"/>
    <row r="59" spans="2:2" ht="31.5" customHeight="1"/>
    <row r="60" spans="2:2" ht="35.25" customHeight="1">
      <c r="B60" s="127"/>
    </row>
    <row r="61" spans="2:2" ht="30.75" customHeight="1"/>
    <row r="62" spans="2:2" ht="29.25" customHeight="1"/>
    <row r="63" spans="2:2" ht="45.75" customHeight="1"/>
    <row r="64" spans="2:2" ht="33" customHeight="1"/>
    <row r="65" ht="30" customHeight="1"/>
    <row r="66" ht="33.75" customHeight="1"/>
    <row r="67" ht="30.75" customHeight="1"/>
    <row r="68" ht="32.25" customHeight="1"/>
    <row r="69" ht="17.25" customHeight="1"/>
    <row r="70" ht="15" customHeight="1"/>
    <row r="71" ht="19.5" customHeight="1"/>
    <row r="72" ht="36" customHeight="1"/>
    <row r="73" ht="31.5" customHeight="1"/>
    <row r="74" ht="18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19" ht="15.75" customHeight="1"/>
    <row r="82" spans="1:19" ht="15.75" customHeight="1"/>
    <row r="83" spans="1:19" ht="15.75" customHeight="1"/>
    <row r="84" spans="1:19" ht="15.75" customHeight="1"/>
    <row r="85" spans="1:19" ht="15.75" customHeight="1"/>
    <row r="86" spans="1:19" ht="15.75" customHeight="1"/>
    <row r="87" spans="1:19" ht="15.75" customHeight="1"/>
    <row r="88" spans="1:19" ht="15.75" customHeight="1"/>
    <row r="89" spans="1:19" ht="15.75" customHeight="1"/>
    <row r="90" spans="1:19" ht="15.75" customHeight="1"/>
    <row r="91" spans="1:19" ht="15.75" customHeight="1"/>
    <row r="92" spans="1:19" ht="15.75" customHeight="1"/>
    <row r="93" spans="1:19" ht="15.75" customHeight="1"/>
    <row r="94" spans="1:19" ht="15.75" customHeight="1"/>
    <row r="95" spans="1:19" ht="15.75" customHeight="1"/>
    <row r="96" spans="1:19" s="126" customFormat="1" ht="15.75" customHeight="1">
      <c r="A96" s="77"/>
      <c r="B96" s="77"/>
      <c r="C96" s="77"/>
      <c r="D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1:19" s="126" customFormat="1" ht="15.75" customHeight="1">
      <c r="A97" s="77"/>
      <c r="B97" s="77"/>
      <c r="C97" s="77"/>
      <c r="D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1:19" s="126" customFormat="1" ht="15.75" customHeight="1">
      <c r="A98" s="77"/>
      <c r="B98" s="77"/>
      <c r="C98" s="77"/>
      <c r="D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1:19" s="126" customFormat="1" ht="15.75" customHeight="1">
      <c r="A99" s="77"/>
      <c r="B99" s="77"/>
      <c r="C99" s="77"/>
      <c r="D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1:19" s="126" customFormat="1" ht="15.75" customHeight="1">
      <c r="A100" s="77"/>
      <c r="B100" s="77"/>
      <c r="C100" s="77"/>
      <c r="D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1:19" s="126" customFormat="1" ht="15.75" customHeight="1">
      <c r="A101" s="77"/>
      <c r="B101" s="77"/>
      <c r="C101" s="77"/>
      <c r="D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1:19" s="126" customFormat="1" ht="15.75" customHeight="1">
      <c r="A102" s="77"/>
      <c r="B102" s="77"/>
      <c r="C102" s="77"/>
      <c r="D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1:19" s="126" customFormat="1" ht="15.75" customHeight="1">
      <c r="A103" s="77"/>
      <c r="B103" s="77"/>
      <c r="C103" s="77"/>
      <c r="D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1:19" s="126" customFormat="1" ht="15.75" customHeight="1">
      <c r="A104" s="77"/>
      <c r="B104" s="77"/>
      <c r="C104" s="77"/>
      <c r="D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1:19" s="126" customFormat="1" ht="15.75" customHeight="1">
      <c r="A105" s="77"/>
      <c r="B105" s="77"/>
      <c r="C105" s="77"/>
      <c r="D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1:19" s="126" customFormat="1" ht="15.75" customHeight="1">
      <c r="A106" s="77"/>
      <c r="B106" s="77"/>
      <c r="C106" s="77"/>
      <c r="D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12" spans="1:19" ht="14.25" customHeight="1"/>
    <row r="121" ht="16.5" customHeight="1"/>
    <row r="129" ht="15.75" customHeight="1"/>
    <row r="130" ht="18.75" customHeight="1"/>
    <row r="193" ht="16.5" customHeight="1"/>
    <row r="230" ht="15.75" customHeight="1"/>
    <row r="235" ht="33.75" customHeight="1"/>
    <row r="257" ht="16.5" customHeight="1"/>
    <row r="277" ht="16.5" customHeight="1"/>
    <row r="283" ht="16.5" customHeight="1"/>
    <row r="290" ht="16.5" customHeight="1"/>
    <row r="294" ht="37.5" customHeight="1"/>
    <row r="295" ht="16.5" customHeight="1"/>
    <row r="299" ht="16.5" customHeight="1"/>
    <row r="302" ht="16.5" customHeight="1"/>
    <row r="305" ht="16.5" customHeight="1"/>
    <row r="308" ht="16.5" customHeight="1"/>
    <row r="311" ht="16.5" customHeight="1"/>
    <row r="314" ht="16.5" customHeight="1"/>
  </sheetData>
  <mergeCells count="14">
    <mergeCell ref="Q1:Q2"/>
    <mergeCell ref="R1:R2"/>
    <mergeCell ref="G1:H1"/>
    <mergeCell ref="I1:I2"/>
    <mergeCell ref="J1:J2"/>
    <mergeCell ref="K1:L1"/>
    <mergeCell ref="M1:M2"/>
    <mergeCell ref="N1:P1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8"/>
  <sheetViews>
    <sheetView topLeftCell="A10" zoomScale="90" zoomScaleNormal="90" zoomScaleSheetLayoutView="100" workbookViewId="0">
      <selection activeCell="I26" sqref="I26"/>
    </sheetView>
  </sheetViews>
  <sheetFormatPr defaultRowHeight="15.75"/>
  <cols>
    <col min="1" max="1" width="33.140625" style="106" bestFit="1" customWidth="1"/>
    <col min="2" max="2" width="7.140625" style="106" customWidth="1"/>
    <col min="3" max="3" width="6" style="106" customWidth="1"/>
    <col min="4" max="4" width="4.7109375" style="106" customWidth="1"/>
    <col min="5" max="5" width="4.28515625" style="106" customWidth="1"/>
    <col min="6" max="6" width="5.42578125" style="106" customWidth="1"/>
    <col min="7" max="7" width="6" style="106" customWidth="1"/>
    <col min="8" max="8" width="6.140625" style="106" customWidth="1"/>
    <col min="9" max="9" width="9.7109375" style="106" customWidth="1"/>
    <col min="10" max="10" width="10.5703125" style="106" customWidth="1"/>
    <col min="11" max="11" width="10.42578125" style="106" customWidth="1"/>
    <col min="12" max="12" width="8.7109375" style="106" customWidth="1"/>
    <col min="13" max="13" width="12" style="106" customWidth="1"/>
    <col min="14" max="16384" width="9.140625" style="106"/>
  </cols>
  <sheetData>
    <row r="1" spans="1:22">
      <c r="A1" s="381"/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</row>
    <row r="2" spans="1:22" ht="92.25" customHeight="1">
      <c r="A2" s="382" t="s">
        <v>126</v>
      </c>
      <c r="B2" s="383" t="s">
        <v>127</v>
      </c>
      <c r="C2" s="383" t="s">
        <v>128</v>
      </c>
      <c r="D2" s="383"/>
      <c r="E2" s="383" t="s">
        <v>129</v>
      </c>
      <c r="F2" s="383"/>
      <c r="G2" s="383" t="s">
        <v>130</v>
      </c>
      <c r="H2" s="383" t="s">
        <v>131</v>
      </c>
      <c r="I2" s="382" t="s">
        <v>41</v>
      </c>
      <c r="J2" s="382"/>
      <c r="K2" s="382"/>
      <c r="L2" s="384" t="s">
        <v>42</v>
      </c>
      <c r="M2" s="383" t="s">
        <v>9</v>
      </c>
    </row>
    <row r="3" spans="1:22" ht="89.25">
      <c r="A3" s="382"/>
      <c r="B3" s="383"/>
      <c r="C3" s="64" t="s">
        <v>132</v>
      </c>
      <c r="D3" s="64" t="s">
        <v>133</v>
      </c>
      <c r="E3" s="64" t="s">
        <v>56</v>
      </c>
      <c r="F3" s="64" t="s">
        <v>134</v>
      </c>
      <c r="G3" s="383"/>
      <c r="H3" s="383"/>
      <c r="I3" s="64" t="s">
        <v>24</v>
      </c>
      <c r="J3" s="64" t="s">
        <v>30</v>
      </c>
      <c r="K3" s="64" t="s">
        <v>31</v>
      </c>
      <c r="L3" s="384"/>
      <c r="M3" s="383"/>
    </row>
    <row r="4" spans="1:22">
      <c r="A4" s="107" t="s">
        <v>135</v>
      </c>
      <c r="B4" s="108">
        <v>339</v>
      </c>
      <c r="C4" s="109">
        <f>'[40]Коэффициент теплопередачи'!D4</f>
        <v>0.49382716049382713</v>
      </c>
      <c r="D4" s="110">
        <v>2</v>
      </c>
      <c r="E4" s="65">
        <v>18</v>
      </c>
      <c r="F4" s="65">
        <v>-1.5</v>
      </c>
      <c r="G4" s="111">
        <v>205</v>
      </c>
      <c r="H4" s="110">
        <v>1</v>
      </c>
      <c r="I4" s="66">
        <f>0.86*B4*(E4-F4)*(1/C4-1/D4)*24*G4*H4/1000000</f>
        <v>42.654780090000003</v>
      </c>
      <c r="J4" s="66">
        <f>I4*0.16636*1.0937</f>
        <v>7.7609490272902741</v>
      </c>
      <c r="K4" s="66">
        <f>J4*210*2.38/1000</f>
        <v>3.8789223238396784</v>
      </c>
      <c r="L4" s="66">
        <f>[40]Стоимость!B8</f>
        <v>34.969545000000004</v>
      </c>
      <c r="M4" s="110">
        <f>L4/K4</f>
        <v>9.0152733363797424</v>
      </c>
      <c r="O4" s="112"/>
      <c r="P4" s="112">
        <f>I4</f>
        <v>42.654780090000003</v>
      </c>
      <c r="Q4" s="112"/>
      <c r="R4" s="112">
        <f>J4</f>
        <v>7.7609490272902741</v>
      </c>
      <c r="S4" s="112">
        <f>K4</f>
        <v>3.8789223238396784</v>
      </c>
      <c r="T4" s="112">
        <f>M4</f>
        <v>9.0152733363797424</v>
      </c>
      <c r="U4" s="113"/>
      <c r="V4" s="114">
        <f>L4</f>
        <v>34.969545000000004</v>
      </c>
    </row>
    <row r="5" spans="1:22">
      <c r="A5" s="107" t="s">
        <v>136</v>
      </c>
      <c r="B5" s="108">
        <v>280</v>
      </c>
      <c r="C5" s="109">
        <f>'[40]Коэффициент теплопередачи'!D9</f>
        <v>0.46913580246913578</v>
      </c>
      <c r="D5" s="110">
        <v>2</v>
      </c>
      <c r="E5" s="65">
        <v>16</v>
      </c>
      <c r="F5" s="65">
        <v>-1.5</v>
      </c>
      <c r="G5" s="111">
        <v>205</v>
      </c>
      <c r="H5" s="110">
        <v>1</v>
      </c>
      <c r="I5" s="66">
        <f t="shared" ref="I5:I6" si="0">0.86*B5*(E5-F5)*(1/C5-1/D5)*24*G5*H5/1000000</f>
        <v>33.827330526315791</v>
      </c>
      <c r="J5" s="66">
        <f t="shared" ref="J5:J8" si="1">I5*0.16636*1.0937</f>
        <v>6.1548128343436295</v>
      </c>
      <c r="K5" s="66">
        <f t="shared" ref="K5:K8" si="2">J5*210*2.38/1000</f>
        <v>3.0761754546049458</v>
      </c>
      <c r="L5" s="66">
        <f>[40]Стоимость!B13</f>
        <v>28.883400000000002</v>
      </c>
      <c r="M5" s="110">
        <f t="shared" ref="M5:M9" si="3">L5/K5</f>
        <v>9.3893864073202931</v>
      </c>
      <c r="P5" s="112">
        <f t="shared" ref="P5" si="4">I5</f>
        <v>33.827330526315791</v>
      </c>
      <c r="R5" s="112">
        <f t="shared" ref="R5:S9" si="5">J5</f>
        <v>6.1548128343436295</v>
      </c>
      <c r="S5" s="112">
        <f t="shared" si="5"/>
        <v>3.0761754546049458</v>
      </c>
      <c r="T5" s="112">
        <f t="shared" ref="T5:T8" si="6">M5</f>
        <v>9.3893864073202931</v>
      </c>
      <c r="V5" s="114">
        <f t="shared" ref="V5:V8" si="7">L5</f>
        <v>28.883400000000002</v>
      </c>
    </row>
    <row r="6" spans="1:22">
      <c r="A6" s="115" t="s">
        <v>137</v>
      </c>
      <c r="B6" s="116">
        <v>983</v>
      </c>
      <c r="C6" s="109">
        <f>'[40]Коэффициент теплопередачи'!D13</f>
        <v>0.48148148148148145</v>
      </c>
      <c r="D6" s="110">
        <v>2</v>
      </c>
      <c r="E6" s="65">
        <v>16</v>
      </c>
      <c r="F6" s="65">
        <v>-1.5</v>
      </c>
      <c r="G6" s="111">
        <v>205</v>
      </c>
      <c r="H6" s="110">
        <v>1</v>
      </c>
      <c r="I6" s="66">
        <f t="shared" si="0"/>
        <v>114.77984376923078</v>
      </c>
      <c r="J6" s="66">
        <f t="shared" si="1"/>
        <v>20.883955209094626</v>
      </c>
      <c r="K6" s="66">
        <f t="shared" si="2"/>
        <v>10.437800813505493</v>
      </c>
      <c r="L6" s="66">
        <f>[40]Стоимость!B18</f>
        <v>101.40136500000003</v>
      </c>
      <c r="M6" s="110">
        <f t="shared" si="3"/>
        <v>9.7148208527601501</v>
      </c>
      <c r="P6" s="112">
        <f>I6</f>
        <v>114.77984376923078</v>
      </c>
      <c r="R6" s="112">
        <f t="shared" si="5"/>
        <v>20.883955209094626</v>
      </c>
      <c r="S6" s="112">
        <f t="shared" si="5"/>
        <v>10.437800813505493</v>
      </c>
      <c r="T6" s="112">
        <f t="shared" si="6"/>
        <v>9.7148208527601501</v>
      </c>
      <c r="V6" s="114">
        <f t="shared" si="7"/>
        <v>101.40136500000003</v>
      </c>
    </row>
    <row r="7" spans="1:22">
      <c r="A7" s="115" t="s">
        <v>138</v>
      </c>
      <c r="B7" s="116">
        <v>130</v>
      </c>
      <c r="C7" s="109">
        <f>'[40]Коэффициент теплопередачи'!D17</f>
        <v>0.4567901234567901</v>
      </c>
      <c r="D7" s="110">
        <v>2</v>
      </c>
      <c r="E7" s="65">
        <v>16</v>
      </c>
      <c r="F7" s="65">
        <v>-1.5</v>
      </c>
      <c r="G7" s="111">
        <v>205</v>
      </c>
      <c r="H7" s="110">
        <v>1</v>
      </c>
      <c r="I7" s="66">
        <f>0.86*B7*(E7-F7)*(1/C7-1/D7)*24*G7*H7/1000000</f>
        <v>16.260101351351352</v>
      </c>
      <c r="J7" s="66">
        <f t="shared" si="1"/>
        <v>2.958491814988784</v>
      </c>
      <c r="K7" s="66">
        <f t="shared" si="2"/>
        <v>1.4786542091313941</v>
      </c>
      <c r="L7" s="66">
        <f>[40]Стоимость!B23</f>
        <v>13.410150000000002</v>
      </c>
      <c r="M7" s="110">
        <f t="shared" si="3"/>
        <v>9.0691589130074757</v>
      </c>
      <c r="P7" s="112">
        <f t="shared" ref="P7:P9" si="8">I7</f>
        <v>16.260101351351352</v>
      </c>
      <c r="R7" s="112">
        <f t="shared" si="5"/>
        <v>2.958491814988784</v>
      </c>
      <c r="S7" s="112">
        <f t="shared" si="5"/>
        <v>1.4786542091313941</v>
      </c>
      <c r="T7" s="112">
        <f t="shared" si="6"/>
        <v>9.0691589130074757</v>
      </c>
      <c r="V7" s="114">
        <f t="shared" si="7"/>
        <v>13.410150000000002</v>
      </c>
    </row>
    <row r="8" spans="1:22">
      <c r="A8" s="115" t="s">
        <v>139</v>
      </c>
      <c r="B8" s="116">
        <v>2027</v>
      </c>
      <c r="C8" s="109">
        <f>'[40]Коэффициент теплопередачи'!D21</f>
        <v>0.4567901234567901</v>
      </c>
      <c r="D8" s="110">
        <v>2</v>
      </c>
      <c r="E8" s="65">
        <v>16</v>
      </c>
      <c r="F8" s="65">
        <v>-1.5</v>
      </c>
      <c r="G8" s="111">
        <v>205</v>
      </c>
      <c r="H8" s="110">
        <v>1</v>
      </c>
      <c r="I8" s="66">
        <f t="shared" ref="I8" si="9">0.86*B8*(E8-F8)*(1/C8-1/D8)*24*G8*H8/1000000</f>
        <v>253.53250337837846</v>
      </c>
      <c r="J8" s="66">
        <f t="shared" si="1"/>
        <v>46.129714684478969</v>
      </c>
      <c r="K8" s="66">
        <f t="shared" si="2"/>
        <v>23.055631399302587</v>
      </c>
      <c r="L8" s="66">
        <f>[40]Стоимость!B28</f>
        <v>209.09518500000001</v>
      </c>
      <c r="M8" s="110">
        <f t="shared" si="3"/>
        <v>9.0691589130074721</v>
      </c>
      <c r="P8" s="112">
        <f t="shared" si="8"/>
        <v>253.53250337837846</v>
      </c>
      <c r="R8" s="112">
        <f t="shared" si="5"/>
        <v>46.129714684478969</v>
      </c>
      <c r="S8" s="112">
        <f t="shared" si="5"/>
        <v>23.055631399302587</v>
      </c>
      <c r="T8" s="112">
        <f t="shared" si="6"/>
        <v>9.0691589130074721</v>
      </c>
      <c r="V8" s="114">
        <f t="shared" si="7"/>
        <v>209.09518500000001</v>
      </c>
    </row>
    <row r="9" spans="1:22">
      <c r="I9" s="114">
        <f>SUM(I4:I8)</f>
        <v>461.05455911527639</v>
      </c>
      <c r="J9" s="114">
        <f t="shared" ref="J9:L9" si="10">SUM(J4:J8)</f>
        <v>83.887923570196278</v>
      </c>
      <c r="K9" s="114">
        <f t="shared" si="10"/>
        <v>41.927184200384104</v>
      </c>
      <c r="L9" s="114">
        <f t="shared" si="10"/>
        <v>387.75964500000003</v>
      </c>
      <c r="M9" s="110">
        <f t="shared" si="3"/>
        <v>9.2484065504319677</v>
      </c>
      <c r="P9" s="106">
        <f t="shared" si="8"/>
        <v>461.05455911527639</v>
      </c>
      <c r="R9" s="106">
        <f t="shared" si="5"/>
        <v>83.887923570196278</v>
      </c>
      <c r="S9" s="106">
        <f t="shared" si="5"/>
        <v>41.927184200384104</v>
      </c>
    </row>
    <row r="10" spans="1:22">
      <c r="J10" s="114">
        <f>I4*104.6/1000</f>
        <v>4.4616899974140001</v>
      </c>
      <c r="K10" s="114">
        <f>L4/J10</f>
        <v>7.8377352573281396</v>
      </c>
    </row>
    <row r="11" spans="1:22">
      <c r="J11" s="114">
        <f t="shared" ref="J11:J14" si="11">I5*104.6/1000</f>
        <v>3.5383387730526317</v>
      </c>
      <c r="K11" s="114">
        <f t="shared" ref="K11:K14" si="12">L5/J11</f>
        <v>8.1629832112094292</v>
      </c>
    </row>
    <row r="12" spans="1:22">
      <c r="J12" s="114">
        <f t="shared" si="11"/>
        <v>12.005971658261538</v>
      </c>
      <c r="K12" s="114">
        <f t="shared" si="12"/>
        <v>8.4459107422783077</v>
      </c>
    </row>
    <row r="13" spans="1:22">
      <c r="J13" s="114">
        <f t="shared" si="11"/>
        <v>1.7008066013513514</v>
      </c>
      <c r="K13" s="114">
        <f t="shared" si="12"/>
        <v>7.8845825206376547</v>
      </c>
    </row>
    <row r="14" spans="1:22">
      <c r="J14" s="114">
        <f t="shared" si="11"/>
        <v>26.519499853378388</v>
      </c>
      <c r="K14" s="114">
        <f t="shared" si="12"/>
        <v>7.8845825206376521</v>
      </c>
    </row>
    <row r="16" spans="1:22" ht="16.5" thickBot="1"/>
    <row r="17" spans="1:3" ht="30.75" thickBot="1">
      <c r="A17" s="208" t="s">
        <v>122</v>
      </c>
      <c r="B17" s="209" t="s">
        <v>260</v>
      </c>
      <c r="C17" s="209" t="s">
        <v>261</v>
      </c>
    </row>
    <row r="18" spans="1:3" ht="46.5" customHeight="1" thickBot="1">
      <c r="A18" s="379" t="s">
        <v>262</v>
      </c>
      <c r="B18" s="210" t="s">
        <v>263</v>
      </c>
      <c r="C18" s="230">
        <v>195</v>
      </c>
    </row>
    <row r="19" spans="1:3" ht="32.25" thickBot="1">
      <c r="A19" s="380"/>
      <c r="B19" s="210" t="s">
        <v>264</v>
      </c>
      <c r="C19" s="231">
        <v>592.1</v>
      </c>
    </row>
    <row r="20" spans="1:3" ht="49.5" customHeight="1" thickBot="1">
      <c r="A20" s="379" t="s">
        <v>265</v>
      </c>
      <c r="B20" s="210" t="s">
        <v>266</v>
      </c>
      <c r="C20" s="231">
        <v>27</v>
      </c>
    </row>
    <row r="21" spans="1:3" ht="32.25" thickBot="1">
      <c r="A21" s="380"/>
      <c r="B21" s="210" t="s">
        <v>264</v>
      </c>
      <c r="C21" s="231">
        <v>82</v>
      </c>
    </row>
    <row r="22" spans="1:3" ht="32.25" thickBot="1">
      <c r="A22" s="211" t="s">
        <v>45</v>
      </c>
      <c r="B22" s="210" t="s">
        <v>264</v>
      </c>
      <c r="C22" s="231">
        <v>120</v>
      </c>
    </row>
    <row r="23" spans="1:3" ht="32.25" thickBot="1">
      <c r="A23" s="211" t="s">
        <v>245</v>
      </c>
      <c r="B23" s="210" t="s">
        <v>264</v>
      </c>
      <c r="C23" s="231">
        <v>378</v>
      </c>
    </row>
    <row r="24" spans="1:3" ht="32.25" thickBot="1">
      <c r="A24" s="211" t="s">
        <v>267</v>
      </c>
      <c r="B24" s="210" t="s">
        <v>264</v>
      </c>
      <c r="C24" s="231">
        <v>35</v>
      </c>
    </row>
    <row r="25" spans="1:3" ht="32.25" thickBot="1">
      <c r="A25" s="211" t="s">
        <v>268</v>
      </c>
      <c r="B25" s="210" t="s">
        <v>264</v>
      </c>
      <c r="C25" s="231">
        <v>1217.0999999999999</v>
      </c>
    </row>
    <row r="26" spans="1:3" ht="16.5" thickBot="1">
      <c r="A26" s="211" t="s">
        <v>269</v>
      </c>
      <c r="B26" s="210" t="s">
        <v>30</v>
      </c>
      <c r="C26" s="231">
        <v>325.58</v>
      </c>
    </row>
    <row r="27" spans="1:3" ht="32.25" thickBot="1">
      <c r="A27" s="211" t="s">
        <v>270</v>
      </c>
      <c r="B27" s="210" t="s">
        <v>31</v>
      </c>
      <c r="C27" s="231">
        <v>176.09</v>
      </c>
    </row>
    <row r="28" spans="1:3" ht="16.5" thickBot="1">
      <c r="A28" s="211" t="s">
        <v>163</v>
      </c>
      <c r="B28" s="210" t="s">
        <v>223</v>
      </c>
      <c r="C28" s="231">
        <v>6.91</v>
      </c>
    </row>
  </sheetData>
  <mergeCells count="12">
    <mergeCell ref="A18:A19"/>
    <mergeCell ref="A20:A21"/>
    <mergeCell ref="A1:M1"/>
    <mergeCell ref="A2:A3"/>
    <mergeCell ref="B2:B3"/>
    <mergeCell ref="C2:D2"/>
    <mergeCell ref="E2:F2"/>
    <mergeCell ref="G2:G3"/>
    <mergeCell ref="H2:H3"/>
    <mergeCell ref="I2:K2"/>
    <mergeCell ref="L2:L3"/>
    <mergeCell ref="M2:M3"/>
  </mergeCells>
  <printOptions horizontalCentered="1"/>
  <pageMargins left="0.39370078740157483" right="0.39370078740157483" top="0.98425196850393704" bottom="0.39370078740157483" header="0.51181102362204722" footer="0.51181102362204722"/>
  <pageSetup paperSize="9" scale="73" orientation="landscape" horizontalDpi="4294967293" verticalDpi="300" r:id="rId1"/>
  <headerFooter alignWithMargins="0"/>
  <colBreaks count="1" manualBreakCount="1">
    <brk id="13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C151"/>
  <sheetViews>
    <sheetView topLeftCell="A14" zoomScale="55" zoomScaleNormal="55" workbookViewId="0">
      <selection activeCell="W22" sqref="W22"/>
    </sheetView>
  </sheetViews>
  <sheetFormatPr defaultRowHeight="15.75"/>
  <cols>
    <col min="1" max="1" width="11.140625" style="25" customWidth="1"/>
    <col min="2" max="2" width="5.85546875" style="25" customWidth="1"/>
    <col min="3" max="3" width="4.85546875" style="25" customWidth="1"/>
    <col min="4" max="4" width="4.7109375" style="25" customWidth="1"/>
    <col min="5" max="5" width="5.7109375" style="25" customWidth="1"/>
    <col min="6" max="6" width="4.85546875" style="25" customWidth="1"/>
    <col min="7" max="7" width="4.7109375" style="25" customWidth="1"/>
    <col min="8" max="8" width="4.140625" style="25" customWidth="1"/>
    <col min="9" max="9" width="9.85546875" style="25" customWidth="1"/>
    <col min="10" max="10" width="7.7109375" style="25" customWidth="1"/>
    <col min="11" max="11" width="7" style="25" customWidth="1"/>
    <col min="12" max="12" width="5.85546875" style="25" customWidth="1"/>
    <col min="13" max="13" width="6.85546875" style="25" customWidth="1"/>
    <col min="14" max="14" width="5.5703125" style="25" customWidth="1"/>
    <col min="15" max="15" width="6.140625" style="25" customWidth="1"/>
    <col min="16" max="18" width="5.85546875" style="25" customWidth="1"/>
    <col min="19" max="19" width="6.28515625" style="25" customWidth="1"/>
    <col min="20" max="20" width="6.85546875" style="25" customWidth="1"/>
    <col min="21" max="21" width="8" style="25" customWidth="1"/>
    <col min="22" max="22" width="5.28515625" style="25" customWidth="1"/>
    <col min="23" max="257" width="9.140625" style="25"/>
    <col min="258" max="258" width="16.7109375" style="25" customWidth="1"/>
    <col min="259" max="259" width="7.7109375" style="25" customWidth="1"/>
    <col min="260" max="260" width="4.7109375" style="25" customWidth="1"/>
    <col min="261" max="261" width="8.42578125" style="25" customWidth="1"/>
    <col min="262" max="262" width="8" style="25" customWidth="1"/>
    <col min="263" max="263" width="7.28515625" style="25" customWidth="1"/>
    <col min="264" max="264" width="7" style="25" customWidth="1"/>
    <col min="265" max="265" width="8.85546875" style="25" customWidth="1"/>
    <col min="266" max="266" width="8.28515625" style="25" customWidth="1"/>
    <col min="267" max="267" width="6.85546875" style="25" customWidth="1"/>
    <col min="268" max="268" width="8.28515625" style="25" customWidth="1"/>
    <col min="269" max="269" width="7" style="25" customWidth="1"/>
    <col min="270" max="270" width="8.140625" style="25" customWidth="1"/>
    <col min="271" max="271" width="7" style="25" customWidth="1"/>
    <col min="272" max="272" width="8.7109375" style="25" customWidth="1"/>
    <col min="273" max="273" width="6.7109375" style="25" customWidth="1"/>
    <col min="274" max="274" width="7.28515625" style="25" customWidth="1"/>
    <col min="275" max="275" width="5" style="25" customWidth="1"/>
    <col min="276" max="276" width="6.85546875" style="25" customWidth="1"/>
    <col min="277" max="277" width="8.5703125" style="25" customWidth="1"/>
    <col min="278" max="513" width="9.140625" style="25"/>
    <col min="514" max="514" width="16.7109375" style="25" customWidth="1"/>
    <col min="515" max="515" width="7.7109375" style="25" customWidth="1"/>
    <col min="516" max="516" width="4.7109375" style="25" customWidth="1"/>
    <col min="517" max="517" width="8.42578125" style="25" customWidth="1"/>
    <col min="518" max="518" width="8" style="25" customWidth="1"/>
    <col min="519" max="519" width="7.28515625" style="25" customWidth="1"/>
    <col min="520" max="520" width="7" style="25" customWidth="1"/>
    <col min="521" max="521" width="8.85546875" style="25" customWidth="1"/>
    <col min="522" max="522" width="8.28515625" style="25" customWidth="1"/>
    <col min="523" max="523" width="6.85546875" style="25" customWidth="1"/>
    <col min="524" max="524" width="8.28515625" style="25" customWidth="1"/>
    <col min="525" max="525" width="7" style="25" customWidth="1"/>
    <col min="526" max="526" width="8.140625" style="25" customWidth="1"/>
    <col min="527" max="527" width="7" style="25" customWidth="1"/>
    <col min="528" max="528" width="8.7109375" style="25" customWidth="1"/>
    <col min="529" max="529" width="6.7109375" style="25" customWidth="1"/>
    <col min="530" max="530" width="7.28515625" style="25" customWidth="1"/>
    <col min="531" max="531" width="5" style="25" customWidth="1"/>
    <col min="532" max="532" width="6.85546875" style="25" customWidth="1"/>
    <col min="533" max="533" width="8.5703125" style="25" customWidth="1"/>
    <col min="534" max="769" width="9.140625" style="25"/>
    <col min="770" max="770" width="16.7109375" style="25" customWidth="1"/>
    <col min="771" max="771" width="7.7109375" style="25" customWidth="1"/>
    <col min="772" max="772" width="4.7109375" style="25" customWidth="1"/>
    <col min="773" max="773" width="8.42578125" style="25" customWidth="1"/>
    <col min="774" max="774" width="8" style="25" customWidth="1"/>
    <col min="775" max="775" width="7.28515625" style="25" customWidth="1"/>
    <col min="776" max="776" width="7" style="25" customWidth="1"/>
    <col min="777" max="777" width="8.85546875" style="25" customWidth="1"/>
    <col min="778" max="778" width="8.28515625" style="25" customWidth="1"/>
    <col min="779" max="779" width="6.85546875" style="25" customWidth="1"/>
    <col min="780" max="780" width="8.28515625" style="25" customWidth="1"/>
    <col min="781" max="781" width="7" style="25" customWidth="1"/>
    <col min="782" max="782" width="8.140625" style="25" customWidth="1"/>
    <col min="783" max="783" width="7" style="25" customWidth="1"/>
    <col min="784" max="784" width="8.7109375" style="25" customWidth="1"/>
    <col min="785" max="785" width="6.7109375" style="25" customWidth="1"/>
    <col min="786" max="786" width="7.28515625" style="25" customWidth="1"/>
    <col min="787" max="787" width="5" style="25" customWidth="1"/>
    <col min="788" max="788" width="6.85546875" style="25" customWidth="1"/>
    <col min="789" max="789" width="8.5703125" style="25" customWidth="1"/>
    <col min="790" max="1025" width="9.140625" style="25"/>
    <col min="1026" max="1026" width="16.7109375" style="25" customWidth="1"/>
    <col min="1027" max="1027" width="7.7109375" style="25" customWidth="1"/>
    <col min="1028" max="1028" width="4.7109375" style="25" customWidth="1"/>
    <col min="1029" max="1029" width="8.42578125" style="25" customWidth="1"/>
    <col min="1030" max="1030" width="8" style="25" customWidth="1"/>
    <col min="1031" max="1031" width="7.28515625" style="25" customWidth="1"/>
    <col min="1032" max="1032" width="7" style="25" customWidth="1"/>
    <col min="1033" max="1033" width="8.85546875" style="25" customWidth="1"/>
    <col min="1034" max="1034" width="8.28515625" style="25" customWidth="1"/>
    <col min="1035" max="1035" width="6.85546875" style="25" customWidth="1"/>
    <col min="1036" max="1036" width="8.28515625" style="25" customWidth="1"/>
    <col min="1037" max="1037" width="7" style="25" customWidth="1"/>
    <col min="1038" max="1038" width="8.140625" style="25" customWidth="1"/>
    <col min="1039" max="1039" width="7" style="25" customWidth="1"/>
    <col min="1040" max="1040" width="8.7109375" style="25" customWidth="1"/>
    <col min="1041" max="1041" width="6.7109375" style="25" customWidth="1"/>
    <col min="1042" max="1042" width="7.28515625" style="25" customWidth="1"/>
    <col min="1043" max="1043" width="5" style="25" customWidth="1"/>
    <col min="1044" max="1044" width="6.85546875" style="25" customWidth="1"/>
    <col min="1045" max="1045" width="8.5703125" style="25" customWidth="1"/>
    <col min="1046" max="1281" width="9.140625" style="25"/>
    <col min="1282" max="1282" width="16.7109375" style="25" customWidth="1"/>
    <col min="1283" max="1283" width="7.7109375" style="25" customWidth="1"/>
    <col min="1284" max="1284" width="4.7109375" style="25" customWidth="1"/>
    <col min="1285" max="1285" width="8.42578125" style="25" customWidth="1"/>
    <col min="1286" max="1286" width="8" style="25" customWidth="1"/>
    <col min="1287" max="1287" width="7.28515625" style="25" customWidth="1"/>
    <col min="1288" max="1288" width="7" style="25" customWidth="1"/>
    <col min="1289" max="1289" width="8.85546875" style="25" customWidth="1"/>
    <col min="1290" max="1290" width="8.28515625" style="25" customWidth="1"/>
    <col min="1291" max="1291" width="6.85546875" style="25" customWidth="1"/>
    <col min="1292" max="1292" width="8.28515625" style="25" customWidth="1"/>
    <col min="1293" max="1293" width="7" style="25" customWidth="1"/>
    <col min="1294" max="1294" width="8.140625" style="25" customWidth="1"/>
    <col min="1295" max="1295" width="7" style="25" customWidth="1"/>
    <col min="1296" max="1296" width="8.7109375" style="25" customWidth="1"/>
    <col min="1297" max="1297" width="6.7109375" style="25" customWidth="1"/>
    <col min="1298" max="1298" width="7.28515625" style="25" customWidth="1"/>
    <col min="1299" max="1299" width="5" style="25" customWidth="1"/>
    <col min="1300" max="1300" width="6.85546875" style="25" customWidth="1"/>
    <col min="1301" max="1301" width="8.5703125" style="25" customWidth="1"/>
    <col min="1302" max="1537" width="9.140625" style="25"/>
    <col min="1538" max="1538" width="16.7109375" style="25" customWidth="1"/>
    <col min="1539" max="1539" width="7.7109375" style="25" customWidth="1"/>
    <col min="1540" max="1540" width="4.7109375" style="25" customWidth="1"/>
    <col min="1541" max="1541" width="8.42578125" style="25" customWidth="1"/>
    <col min="1542" max="1542" width="8" style="25" customWidth="1"/>
    <col min="1543" max="1543" width="7.28515625" style="25" customWidth="1"/>
    <col min="1544" max="1544" width="7" style="25" customWidth="1"/>
    <col min="1545" max="1545" width="8.85546875" style="25" customWidth="1"/>
    <col min="1546" max="1546" width="8.28515625" style="25" customWidth="1"/>
    <col min="1547" max="1547" width="6.85546875" style="25" customWidth="1"/>
    <col min="1548" max="1548" width="8.28515625" style="25" customWidth="1"/>
    <col min="1549" max="1549" width="7" style="25" customWidth="1"/>
    <col min="1550" max="1550" width="8.140625" style="25" customWidth="1"/>
    <col min="1551" max="1551" width="7" style="25" customWidth="1"/>
    <col min="1552" max="1552" width="8.7109375" style="25" customWidth="1"/>
    <col min="1553" max="1553" width="6.7109375" style="25" customWidth="1"/>
    <col min="1554" max="1554" width="7.28515625" style="25" customWidth="1"/>
    <col min="1555" max="1555" width="5" style="25" customWidth="1"/>
    <col min="1556" max="1556" width="6.85546875" style="25" customWidth="1"/>
    <col min="1557" max="1557" width="8.5703125" style="25" customWidth="1"/>
    <col min="1558" max="1793" width="9.140625" style="25"/>
    <col min="1794" max="1794" width="16.7109375" style="25" customWidth="1"/>
    <col min="1795" max="1795" width="7.7109375" style="25" customWidth="1"/>
    <col min="1796" max="1796" width="4.7109375" style="25" customWidth="1"/>
    <col min="1797" max="1797" width="8.42578125" style="25" customWidth="1"/>
    <col min="1798" max="1798" width="8" style="25" customWidth="1"/>
    <col min="1799" max="1799" width="7.28515625" style="25" customWidth="1"/>
    <col min="1800" max="1800" width="7" style="25" customWidth="1"/>
    <col min="1801" max="1801" width="8.85546875" style="25" customWidth="1"/>
    <col min="1802" max="1802" width="8.28515625" style="25" customWidth="1"/>
    <col min="1803" max="1803" width="6.85546875" style="25" customWidth="1"/>
    <col min="1804" max="1804" width="8.28515625" style="25" customWidth="1"/>
    <col min="1805" max="1805" width="7" style="25" customWidth="1"/>
    <col min="1806" max="1806" width="8.140625" style="25" customWidth="1"/>
    <col min="1807" max="1807" width="7" style="25" customWidth="1"/>
    <col min="1808" max="1808" width="8.7109375" style="25" customWidth="1"/>
    <col min="1809" max="1809" width="6.7109375" style="25" customWidth="1"/>
    <col min="1810" max="1810" width="7.28515625" style="25" customWidth="1"/>
    <col min="1811" max="1811" width="5" style="25" customWidth="1"/>
    <col min="1812" max="1812" width="6.85546875" style="25" customWidth="1"/>
    <col min="1813" max="1813" width="8.5703125" style="25" customWidth="1"/>
    <col min="1814" max="2049" width="9.140625" style="25"/>
    <col min="2050" max="2050" width="16.7109375" style="25" customWidth="1"/>
    <col min="2051" max="2051" width="7.7109375" style="25" customWidth="1"/>
    <col min="2052" max="2052" width="4.7109375" style="25" customWidth="1"/>
    <col min="2053" max="2053" width="8.42578125" style="25" customWidth="1"/>
    <col min="2054" max="2054" width="8" style="25" customWidth="1"/>
    <col min="2055" max="2055" width="7.28515625" style="25" customWidth="1"/>
    <col min="2056" max="2056" width="7" style="25" customWidth="1"/>
    <col min="2057" max="2057" width="8.85546875" style="25" customWidth="1"/>
    <col min="2058" max="2058" width="8.28515625" style="25" customWidth="1"/>
    <col min="2059" max="2059" width="6.85546875" style="25" customWidth="1"/>
    <col min="2060" max="2060" width="8.28515625" style="25" customWidth="1"/>
    <col min="2061" max="2061" width="7" style="25" customWidth="1"/>
    <col min="2062" max="2062" width="8.140625" style="25" customWidth="1"/>
    <col min="2063" max="2063" width="7" style="25" customWidth="1"/>
    <col min="2064" max="2064" width="8.7109375" style="25" customWidth="1"/>
    <col min="2065" max="2065" width="6.7109375" style="25" customWidth="1"/>
    <col min="2066" max="2066" width="7.28515625" style="25" customWidth="1"/>
    <col min="2067" max="2067" width="5" style="25" customWidth="1"/>
    <col min="2068" max="2068" width="6.85546875" style="25" customWidth="1"/>
    <col min="2069" max="2069" width="8.5703125" style="25" customWidth="1"/>
    <col min="2070" max="2305" width="9.140625" style="25"/>
    <col min="2306" max="2306" width="16.7109375" style="25" customWidth="1"/>
    <col min="2307" max="2307" width="7.7109375" style="25" customWidth="1"/>
    <col min="2308" max="2308" width="4.7109375" style="25" customWidth="1"/>
    <col min="2309" max="2309" width="8.42578125" style="25" customWidth="1"/>
    <col min="2310" max="2310" width="8" style="25" customWidth="1"/>
    <col min="2311" max="2311" width="7.28515625" style="25" customWidth="1"/>
    <col min="2312" max="2312" width="7" style="25" customWidth="1"/>
    <col min="2313" max="2313" width="8.85546875" style="25" customWidth="1"/>
    <col min="2314" max="2314" width="8.28515625" style="25" customWidth="1"/>
    <col min="2315" max="2315" width="6.85546875" style="25" customWidth="1"/>
    <col min="2316" max="2316" width="8.28515625" style="25" customWidth="1"/>
    <col min="2317" max="2317" width="7" style="25" customWidth="1"/>
    <col min="2318" max="2318" width="8.140625" style="25" customWidth="1"/>
    <col min="2319" max="2319" width="7" style="25" customWidth="1"/>
    <col min="2320" max="2320" width="8.7109375" style="25" customWidth="1"/>
    <col min="2321" max="2321" width="6.7109375" style="25" customWidth="1"/>
    <col min="2322" max="2322" width="7.28515625" style="25" customWidth="1"/>
    <col min="2323" max="2323" width="5" style="25" customWidth="1"/>
    <col min="2324" max="2324" width="6.85546875" style="25" customWidth="1"/>
    <col min="2325" max="2325" width="8.5703125" style="25" customWidth="1"/>
    <col min="2326" max="2561" width="9.140625" style="25"/>
    <col min="2562" max="2562" width="16.7109375" style="25" customWidth="1"/>
    <col min="2563" max="2563" width="7.7109375" style="25" customWidth="1"/>
    <col min="2564" max="2564" width="4.7109375" style="25" customWidth="1"/>
    <col min="2565" max="2565" width="8.42578125" style="25" customWidth="1"/>
    <col min="2566" max="2566" width="8" style="25" customWidth="1"/>
    <col min="2567" max="2567" width="7.28515625" style="25" customWidth="1"/>
    <col min="2568" max="2568" width="7" style="25" customWidth="1"/>
    <col min="2569" max="2569" width="8.85546875" style="25" customWidth="1"/>
    <col min="2570" max="2570" width="8.28515625" style="25" customWidth="1"/>
    <col min="2571" max="2571" width="6.85546875" style="25" customWidth="1"/>
    <col min="2572" max="2572" width="8.28515625" style="25" customWidth="1"/>
    <col min="2573" max="2573" width="7" style="25" customWidth="1"/>
    <col min="2574" max="2574" width="8.140625" style="25" customWidth="1"/>
    <col min="2575" max="2575" width="7" style="25" customWidth="1"/>
    <col min="2576" max="2576" width="8.7109375" style="25" customWidth="1"/>
    <col min="2577" max="2577" width="6.7109375" style="25" customWidth="1"/>
    <col min="2578" max="2578" width="7.28515625" style="25" customWidth="1"/>
    <col min="2579" max="2579" width="5" style="25" customWidth="1"/>
    <col min="2580" max="2580" width="6.85546875" style="25" customWidth="1"/>
    <col min="2581" max="2581" width="8.5703125" style="25" customWidth="1"/>
    <col min="2582" max="2817" width="9.140625" style="25"/>
    <col min="2818" max="2818" width="16.7109375" style="25" customWidth="1"/>
    <col min="2819" max="2819" width="7.7109375" style="25" customWidth="1"/>
    <col min="2820" max="2820" width="4.7109375" style="25" customWidth="1"/>
    <col min="2821" max="2821" width="8.42578125" style="25" customWidth="1"/>
    <col min="2822" max="2822" width="8" style="25" customWidth="1"/>
    <col min="2823" max="2823" width="7.28515625" style="25" customWidth="1"/>
    <col min="2824" max="2824" width="7" style="25" customWidth="1"/>
    <col min="2825" max="2825" width="8.85546875" style="25" customWidth="1"/>
    <col min="2826" max="2826" width="8.28515625" style="25" customWidth="1"/>
    <col min="2827" max="2827" width="6.85546875" style="25" customWidth="1"/>
    <col min="2828" max="2828" width="8.28515625" style="25" customWidth="1"/>
    <col min="2829" max="2829" width="7" style="25" customWidth="1"/>
    <col min="2830" max="2830" width="8.140625" style="25" customWidth="1"/>
    <col min="2831" max="2831" width="7" style="25" customWidth="1"/>
    <col min="2832" max="2832" width="8.7109375" style="25" customWidth="1"/>
    <col min="2833" max="2833" width="6.7109375" style="25" customWidth="1"/>
    <col min="2834" max="2834" width="7.28515625" style="25" customWidth="1"/>
    <col min="2835" max="2835" width="5" style="25" customWidth="1"/>
    <col min="2836" max="2836" width="6.85546875" style="25" customWidth="1"/>
    <col min="2837" max="2837" width="8.5703125" style="25" customWidth="1"/>
    <col min="2838" max="3073" width="9.140625" style="25"/>
    <col min="3074" max="3074" width="16.7109375" style="25" customWidth="1"/>
    <col min="3075" max="3075" width="7.7109375" style="25" customWidth="1"/>
    <col min="3076" max="3076" width="4.7109375" style="25" customWidth="1"/>
    <col min="3077" max="3077" width="8.42578125" style="25" customWidth="1"/>
    <col min="3078" max="3078" width="8" style="25" customWidth="1"/>
    <col min="3079" max="3079" width="7.28515625" style="25" customWidth="1"/>
    <col min="3080" max="3080" width="7" style="25" customWidth="1"/>
    <col min="3081" max="3081" width="8.85546875" style="25" customWidth="1"/>
    <col min="3082" max="3082" width="8.28515625" style="25" customWidth="1"/>
    <col min="3083" max="3083" width="6.85546875" style="25" customWidth="1"/>
    <col min="3084" max="3084" width="8.28515625" style="25" customWidth="1"/>
    <col min="3085" max="3085" width="7" style="25" customWidth="1"/>
    <col min="3086" max="3086" width="8.140625" style="25" customWidth="1"/>
    <col min="3087" max="3087" width="7" style="25" customWidth="1"/>
    <col min="3088" max="3088" width="8.7109375" style="25" customWidth="1"/>
    <col min="3089" max="3089" width="6.7109375" style="25" customWidth="1"/>
    <col min="3090" max="3090" width="7.28515625" style="25" customWidth="1"/>
    <col min="3091" max="3091" width="5" style="25" customWidth="1"/>
    <col min="3092" max="3092" width="6.85546875" style="25" customWidth="1"/>
    <col min="3093" max="3093" width="8.5703125" style="25" customWidth="1"/>
    <col min="3094" max="3329" width="9.140625" style="25"/>
    <col min="3330" max="3330" width="16.7109375" style="25" customWidth="1"/>
    <col min="3331" max="3331" width="7.7109375" style="25" customWidth="1"/>
    <col min="3332" max="3332" width="4.7109375" style="25" customWidth="1"/>
    <col min="3333" max="3333" width="8.42578125" style="25" customWidth="1"/>
    <col min="3334" max="3334" width="8" style="25" customWidth="1"/>
    <col min="3335" max="3335" width="7.28515625" style="25" customWidth="1"/>
    <col min="3336" max="3336" width="7" style="25" customWidth="1"/>
    <col min="3337" max="3337" width="8.85546875" style="25" customWidth="1"/>
    <col min="3338" max="3338" width="8.28515625" style="25" customWidth="1"/>
    <col min="3339" max="3339" width="6.85546875" style="25" customWidth="1"/>
    <col min="3340" max="3340" width="8.28515625" style="25" customWidth="1"/>
    <col min="3341" max="3341" width="7" style="25" customWidth="1"/>
    <col min="3342" max="3342" width="8.140625" style="25" customWidth="1"/>
    <col min="3343" max="3343" width="7" style="25" customWidth="1"/>
    <col min="3344" max="3344" width="8.7109375" style="25" customWidth="1"/>
    <col min="3345" max="3345" width="6.7109375" style="25" customWidth="1"/>
    <col min="3346" max="3346" width="7.28515625" style="25" customWidth="1"/>
    <col min="3347" max="3347" width="5" style="25" customWidth="1"/>
    <col min="3348" max="3348" width="6.85546875" style="25" customWidth="1"/>
    <col min="3349" max="3349" width="8.5703125" style="25" customWidth="1"/>
    <col min="3350" max="3585" width="9.140625" style="25"/>
    <col min="3586" max="3586" width="16.7109375" style="25" customWidth="1"/>
    <col min="3587" max="3587" width="7.7109375" style="25" customWidth="1"/>
    <col min="3588" max="3588" width="4.7109375" style="25" customWidth="1"/>
    <col min="3589" max="3589" width="8.42578125" style="25" customWidth="1"/>
    <col min="3590" max="3590" width="8" style="25" customWidth="1"/>
    <col min="3591" max="3591" width="7.28515625" style="25" customWidth="1"/>
    <col min="3592" max="3592" width="7" style="25" customWidth="1"/>
    <col min="3593" max="3593" width="8.85546875" style="25" customWidth="1"/>
    <col min="3594" max="3594" width="8.28515625" style="25" customWidth="1"/>
    <col min="3595" max="3595" width="6.85546875" style="25" customWidth="1"/>
    <col min="3596" max="3596" width="8.28515625" style="25" customWidth="1"/>
    <col min="3597" max="3597" width="7" style="25" customWidth="1"/>
    <col min="3598" max="3598" width="8.140625" style="25" customWidth="1"/>
    <col min="3599" max="3599" width="7" style="25" customWidth="1"/>
    <col min="3600" max="3600" width="8.7109375" style="25" customWidth="1"/>
    <col min="3601" max="3601" width="6.7109375" style="25" customWidth="1"/>
    <col min="3602" max="3602" width="7.28515625" style="25" customWidth="1"/>
    <col min="3603" max="3603" width="5" style="25" customWidth="1"/>
    <col min="3604" max="3604" width="6.85546875" style="25" customWidth="1"/>
    <col min="3605" max="3605" width="8.5703125" style="25" customWidth="1"/>
    <col min="3606" max="3841" width="9.140625" style="25"/>
    <col min="3842" max="3842" width="16.7109375" style="25" customWidth="1"/>
    <col min="3843" max="3843" width="7.7109375" style="25" customWidth="1"/>
    <col min="3844" max="3844" width="4.7109375" style="25" customWidth="1"/>
    <col min="3845" max="3845" width="8.42578125" style="25" customWidth="1"/>
    <col min="3846" max="3846" width="8" style="25" customWidth="1"/>
    <col min="3847" max="3847" width="7.28515625" style="25" customWidth="1"/>
    <col min="3848" max="3848" width="7" style="25" customWidth="1"/>
    <col min="3849" max="3849" width="8.85546875" style="25" customWidth="1"/>
    <col min="3850" max="3850" width="8.28515625" style="25" customWidth="1"/>
    <col min="3851" max="3851" width="6.85546875" style="25" customWidth="1"/>
    <col min="3852" max="3852" width="8.28515625" style="25" customWidth="1"/>
    <col min="3853" max="3853" width="7" style="25" customWidth="1"/>
    <col min="3854" max="3854" width="8.140625" style="25" customWidth="1"/>
    <col min="3855" max="3855" width="7" style="25" customWidth="1"/>
    <col min="3856" max="3856" width="8.7109375" style="25" customWidth="1"/>
    <col min="3857" max="3857" width="6.7109375" style="25" customWidth="1"/>
    <col min="3858" max="3858" width="7.28515625" style="25" customWidth="1"/>
    <col min="3859" max="3859" width="5" style="25" customWidth="1"/>
    <col min="3860" max="3860" width="6.85546875" style="25" customWidth="1"/>
    <col min="3861" max="3861" width="8.5703125" style="25" customWidth="1"/>
    <col min="3862" max="4097" width="9.140625" style="25"/>
    <col min="4098" max="4098" width="16.7109375" style="25" customWidth="1"/>
    <col min="4099" max="4099" width="7.7109375" style="25" customWidth="1"/>
    <col min="4100" max="4100" width="4.7109375" style="25" customWidth="1"/>
    <col min="4101" max="4101" width="8.42578125" style="25" customWidth="1"/>
    <col min="4102" max="4102" width="8" style="25" customWidth="1"/>
    <col min="4103" max="4103" width="7.28515625" style="25" customWidth="1"/>
    <col min="4104" max="4104" width="7" style="25" customWidth="1"/>
    <col min="4105" max="4105" width="8.85546875" style="25" customWidth="1"/>
    <col min="4106" max="4106" width="8.28515625" style="25" customWidth="1"/>
    <col min="4107" max="4107" width="6.85546875" style="25" customWidth="1"/>
    <col min="4108" max="4108" width="8.28515625" style="25" customWidth="1"/>
    <col min="4109" max="4109" width="7" style="25" customWidth="1"/>
    <col min="4110" max="4110" width="8.140625" style="25" customWidth="1"/>
    <col min="4111" max="4111" width="7" style="25" customWidth="1"/>
    <col min="4112" max="4112" width="8.7109375" style="25" customWidth="1"/>
    <col min="4113" max="4113" width="6.7109375" style="25" customWidth="1"/>
    <col min="4114" max="4114" width="7.28515625" style="25" customWidth="1"/>
    <col min="4115" max="4115" width="5" style="25" customWidth="1"/>
    <col min="4116" max="4116" width="6.85546875" style="25" customWidth="1"/>
    <col min="4117" max="4117" width="8.5703125" style="25" customWidth="1"/>
    <col min="4118" max="4353" width="9.140625" style="25"/>
    <col min="4354" max="4354" width="16.7109375" style="25" customWidth="1"/>
    <col min="4355" max="4355" width="7.7109375" style="25" customWidth="1"/>
    <col min="4356" max="4356" width="4.7109375" style="25" customWidth="1"/>
    <col min="4357" max="4357" width="8.42578125" style="25" customWidth="1"/>
    <col min="4358" max="4358" width="8" style="25" customWidth="1"/>
    <col min="4359" max="4359" width="7.28515625" style="25" customWidth="1"/>
    <col min="4360" max="4360" width="7" style="25" customWidth="1"/>
    <col min="4361" max="4361" width="8.85546875" style="25" customWidth="1"/>
    <col min="4362" max="4362" width="8.28515625" style="25" customWidth="1"/>
    <col min="4363" max="4363" width="6.85546875" style="25" customWidth="1"/>
    <col min="4364" max="4364" width="8.28515625" style="25" customWidth="1"/>
    <col min="4365" max="4365" width="7" style="25" customWidth="1"/>
    <col min="4366" max="4366" width="8.140625" style="25" customWidth="1"/>
    <col min="4367" max="4367" width="7" style="25" customWidth="1"/>
    <col min="4368" max="4368" width="8.7109375" style="25" customWidth="1"/>
    <col min="4369" max="4369" width="6.7109375" style="25" customWidth="1"/>
    <col min="4370" max="4370" width="7.28515625" style="25" customWidth="1"/>
    <col min="4371" max="4371" width="5" style="25" customWidth="1"/>
    <col min="4372" max="4372" width="6.85546875" style="25" customWidth="1"/>
    <col min="4373" max="4373" width="8.5703125" style="25" customWidth="1"/>
    <col min="4374" max="4609" width="9.140625" style="25"/>
    <col min="4610" max="4610" width="16.7109375" style="25" customWidth="1"/>
    <col min="4611" max="4611" width="7.7109375" style="25" customWidth="1"/>
    <col min="4612" max="4612" width="4.7109375" style="25" customWidth="1"/>
    <col min="4613" max="4613" width="8.42578125" style="25" customWidth="1"/>
    <col min="4614" max="4614" width="8" style="25" customWidth="1"/>
    <col min="4615" max="4615" width="7.28515625" style="25" customWidth="1"/>
    <col min="4616" max="4616" width="7" style="25" customWidth="1"/>
    <col min="4617" max="4617" width="8.85546875" style="25" customWidth="1"/>
    <col min="4618" max="4618" width="8.28515625" style="25" customWidth="1"/>
    <col min="4619" max="4619" width="6.85546875" style="25" customWidth="1"/>
    <col min="4620" max="4620" width="8.28515625" style="25" customWidth="1"/>
    <col min="4621" max="4621" width="7" style="25" customWidth="1"/>
    <col min="4622" max="4622" width="8.140625" style="25" customWidth="1"/>
    <col min="4623" max="4623" width="7" style="25" customWidth="1"/>
    <col min="4624" max="4624" width="8.7109375" style="25" customWidth="1"/>
    <col min="4625" max="4625" width="6.7109375" style="25" customWidth="1"/>
    <col min="4626" max="4626" width="7.28515625" style="25" customWidth="1"/>
    <col min="4627" max="4627" width="5" style="25" customWidth="1"/>
    <col min="4628" max="4628" width="6.85546875" style="25" customWidth="1"/>
    <col min="4629" max="4629" width="8.5703125" style="25" customWidth="1"/>
    <col min="4630" max="4865" width="9.140625" style="25"/>
    <col min="4866" max="4866" width="16.7109375" style="25" customWidth="1"/>
    <col min="4867" max="4867" width="7.7109375" style="25" customWidth="1"/>
    <col min="4868" max="4868" width="4.7109375" style="25" customWidth="1"/>
    <col min="4869" max="4869" width="8.42578125" style="25" customWidth="1"/>
    <col min="4870" max="4870" width="8" style="25" customWidth="1"/>
    <col min="4871" max="4871" width="7.28515625" style="25" customWidth="1"/>
    <col min="4872" max="4872" width="7" style="25" customWidth="1"/>
    <col min="4873" max="4873" width="8.85546875" style="25" customWidth="1"/>
    <col min="4874" max="4874" width="8.28515625" style="25" customWidth="1"/>
    <col min="4875" max="4875" width="6.85546875" style="25" customWidth="1"/>
    <col min="4876" max="4876" width="8.28515625" style="25" customWidth="1"/>
    <col min="4877" max="4877" width="7" style="25" customWidth="1"/>
    <col min="4878" max="4878" width="8.140625" style="25" customWidth="1"/>
    <col min="4879" max="4879" width="7" style="25" customWidth="1"/>
    <col min="4880" max="4880" width="8.7109375" style="25" customWidth="1"/>
    <col min="4881" max="4881" width="6.7109375" style="25" customWidth="1"/>
    <col min="4882" max="4882" width="7.28515625" style="25" customWidth="1"/>
    <col min="4883" max="4883" width="5" style="25" customWidth="1"/>
    <col min="4884" max="4884" width="6.85546875" style="25" customWidth="1"/>
    <col min="4885" max="4885" width="8.5703125" style="25" customWidth="1"/>
    <col min="4886" max="5121" width="9.140625" style="25"/>
    <col min="5122" max="5122" width="16.7109375" style="25" customWidth="1"/>
    <col min="5123" max="5123" width="7.7109375" style="25" customWidth="1"/>
    <col min="5124" max="5124" width="4.7109375" style="25" customWidth="1"/>
    <col min="5125" max="5125" width="8.42578125" style="25" customWidth="1"/>
    <col min="5126" max="5126" width="8" style="25" customWidth="1"/>
    <col min="5127" max="5127" width="7.28515625" style="25" customWidth="1"/>
    <col min="5128" max="5128" width="7" style="25" customWidth="1"/>
    <col min="5129" max="5129" width="8.85546875" style="25" customWidth="1"/>
    <col min="5130" max="5130" width="8.28515625" style="25" customWidth="1"/>
    <col min="5131" max="5131" width="6.85546875" style="25" customWidth="1"/>
    <col min="5132" max="5132" width="8.28515625" style="25" customWidth="1"/>
    <col min="5133" max="5133" width="7" style="25" customWidth="1"/>
    <col min="5134" max="5134" width="8.140625" style="25" customWidth="1"/>
    <col min="5135" max="5135" width="7" style="25" customWidth="1"/>
    <col min="5136" max="5136" width="8.7109375" style="25" customWidth="1"/>
    <col min="5137" max="5137" width="6.7109375" style="25" customWidth="1"/>
    <col min="5138" max="5138" width="7.28515625" style="25" customWidth="1"/>
    <col min="5139" max="5139" width="5" style="25" customWidth="1"/>
    <col min="5140" max="5140" width="6.85546875" style="25" customWidth="1"/>
    <col min="5141" max="5141" width="8.5703125" style="25" customWidth="1"/>
    <col min="5142" max="5377" width="9.140625" style="25"/>
    <col min="5378" max="5378" width="16.7109375" style="25" customWidth="1"/>
    <col min="5379" max="5379" width="7.7109375" style="25" customWidth="1"/>
    <col min="5380" max="5380" width="4.7109375" style="25" customWidth="1"/>
    <col min="5381" max="5381" width="8.42578125" style="25" customWidth="1"/>
    <col min="5382" max="5382" width="8" style="25" customWidth="1"/>
    <col min="5383" max="5383" width="7.28515625" style="25" customWidth="1"/>
    <col min="5384" max="5384" width="7" style="25" customWidth="1"/>
    <col min="5385" max="5385" width="8.85546875" style="25" customWidth="1"/>
    <col min="5386" max="5386" width="8.28515625" style="25" customWidth="1"/>
    <col min="5387" max="5387" width="6.85546875" style="25" customWidth="1"/>
    <col min="5388" max="5388" width="8.28515625" style="25" customWidth="1"/>
    <col min="5389" max="5389" width="7" style="25" customWidth="1"/>
    <col min="5390" max="5390" width="8.140625" style="25" customWidth="1"/>
    <col min="5391" max="5391" width="7" style="25" customWidth="1"/>
    <col min="5392" max="5392" width="8.7109375" style="25" customWidth="1"/>
    <col min="5393" max="5393" width="6.7109375" style="25" customWidth="1"/>
    <col min="5394" max="5394" width="7.28515625" style="25" customWidth="1"/>
    <col min="5395" max="5395" width="5" style="25" customWidth="1"/>
    <col min="5396" max="5396" width="6.85546875" style="25" customWidth="1"/>
    <col min="5397" max="5397" width="8.5703125" style="25" customWidth="1"/>
    <col min="5398" max="5633" width="9.140625" style="25"/>
    <col min="5634" max="5634" width="16.7109375" style="25" customWidth="1"/>
    <col min="5635" max="5635" width="7.7109375" style="25" customWidth="1"/>
    <col min="5636" max="5636" width="4.7109375" style="25" customWidth="1"/>
    <col min="5637" max="5637" width="8.42578125" style="25" customWidth="1"/>
    <col min="5638" max="5638" width="8" style="25" customWidth="1"/>
    <col min="5639" max="5639" width="7.28515625" style="25" customWidth="1"/>
    <col min="5640" max="5640" width="7" style="25" customWidth="1"/>
    <col min="5641" max="5641" width="8.85546875" style="25" customWidth="1"/>
    <col min="5642" max="5642" width="8.28515625" style="25" customWidth="1"/>
    <col min="5643" max="5643" width="6.85546875" style="25" customWidth="1"/>
    <col min="5644" max="5644" width="8.28515625" style="25" customWidth="1"/>
    <col min="5645" max="5645" width="7" style="25" customWidth="1"/>
    <col min="5646" max="5646" width="8.140625" style="25" customWidth="1"/>
    <col min="5647" max="5647" width="7" style="25" customWidth="1"/>
    <col min="5648" max="5648" width="8.7109375" style="25" customWidth="1"/>
    <col min="5649" max="5649" width="6.7109375" style="25" customWidth="1"/>
    <col min="5650" max="5650" width="7.28515625" style="25" customWidth="1"/>
    <col min="5651" max="5651" width="5" style="25" customWidth="1"/>
    <col min="5652" max="5652" width="6.85546875" style="25" customWidth="1"/>
    <col min="5653" max="5653" width="8.5703125" style="25" customWidth="1"/>
    <col min="5654" max="5889" width="9.140625" style="25"/>
    <col min="5890" max="5890" width="16.7109375" style="25" customWidth="1"/>
    <col min="5891" max="5891" width="7.7109375" style="25" customWidth="1"/>
    <col min="5892" max="5892" width="4.7109375" style="25" customWidth="1"/>
    <col min="5893" max="5893" width="8.42578125" style="25" customWidth="1"/>
    <col min="5894" max="5894" width="8" style="25" customWidth="1"/>
    <col min="5895" max="5895" width="7.28515625" style="25" customWidth="1"/>
    <col min="5896" max="5896" width="7" style="25" customWidth="1"/>
    <col min="5897" max="5897" width="8.85546875" style="25" customWidth="1"/>
    <col min="5898" max="5898" width="8.28515625" style="25" customWidth="1"/>
    <col min="5899" max="5899" width="6.85546875" style="25" customWidth="1"/>
    <col min="5900" max="5900" width="8.28515625" style="25" customWidth="1"/>
    <col min="5901" max="5901" width="7" style="25" customWidth="1"/>
    <col min="5902" max="5902" width="8.140625" style="25" customWidth="1"/>
    <col min="5903" max="5903" width="7" style="25" customWidth="1"/>
    <col min="5904" max="5904" width="8.7109375" style="25" customWidth="1"/>
    <col min="5905" max="5905" width="6.7109375" style="25" customWidth="1"/>
    <col min="5906" max="5906" width="7.28515625" style="25" customWidth="1"/>
    <col min="5907" max="5907" width="5" style="25" customWidth="1"/>
    <col min="5908" max="5908" width="6.85546875" style="25" customWidth="1"/>
    <col min="5909" max="5909" width="8.5703125" style="25" customWidth="1"/>
    <col min="5910" max="6145" width="9.140625" style="25"/>
    <col min="6146" max="6146" width="16.7109375" style="25" customWidth="1"/>
    <col min="6147" max="6147" width="7.7109375" style="25" customWidth="1"/>
    <col min="6148" max="6148" width="4.7109375" style="25" customWidth="1"/>
    <col min="6149" max="6149" width="8.42578125" style="25" customWidth="1"/>
    <col min="6150" max="6150" width="8" style="25" customWidth="1"/>
    <col min="6151" max="6151" width="7.28515625" style="25" customWidth="1"/>
    <col min="6152" max="6152" width="7" style="25" customWidth="1"/>
    <col min="6153" max="6153" width="8.85546875" style="25" customWidth="1"/>
    <col min="6154" max="6154" width="8.28515625" style="25" customWidth="1"/>
    <col min="6155" max="6155" width="6.85546875" style="25" customWidth="1"/>
    <col min="6156" max="6156" width="8.28515625" style="25" customWidth="1"/>
    <col min="6157" max="6157" width="7" style="25" customWidth="1"/>
    <col min="6158" max="6158" width="8.140625" style="25" customWidth="1"/>
    <col min="6159" max="6159" width="7" style="25" customWidth="1"/>
    <col min="6160" max="6160" width="8.7109375" style="25" customWidth="1"/>
    <col min="6161" max="6161" width="6.7109375" style="25" customWidth="1"/>
    <col min="6162" max="6162" width="7.28515625" style="25" customWidth="1"/>
    <col min="6163" max="6163" width="5" style="25" customWidth="1"/>
    <col min="6164" max="6164" width="6.85546875" style="25" customWidth="1"/>
    <col min="6165" max="6165" width="8.5703125" style="25" customWidth="1"/>
    <col min="6166" max="6401" width="9.140625" style="25"/>
    <col min="6402" max="6402" width="16.7109375" style="25" customWidth="1"/>
    <col min="6403" max="6403" width="7.7109375" style="25" customWidth="1"/>
    <col min="6404" max="6404" width="4.7109375" style="25" customWidth="1"/>
    <col min="6405" max="6405" width="8.42578125" style="25" customWidth="1"/>
    <col min="6406" max="6406" width="8" style="25" customWidth="1"/>
    <col min="6407" max="6407" width="7.28515625" style="25" customWidth="1"/>
    <col min="6408" max="6408" width="7" style="25" customWidth="1"/>
    <col min="6409" max="6409" width="8.85546875" style="25" customWidth="1"/>
    <col min="6410" max="6410" width="8.28515625" style="25" customWidth="1"/>
    <col min="6411" max="6411" width="6.85546875" style="25" customWidth="1"/>
    <col min="6412" max="6412" width="8.28515625" style="25" customWidth="1"/>
    <col min="6413" max="6413" width="7" style="25" customWidth="1"/>
    <col min="6414" max="6414" width="8.140625" style="25" customWidth="1"/>
    <col min="6415" max="6415" width="7" style="25" customWidth="1"/>
    <col min="6416" max="6416" width="8.7109375" style="25" customWidth="1"/>
    <col min="6417" max="6417" width="6.7109375" style="25" customWidth="1"/>
    <col min="6418" max="6418" width="7.28515625" style="25" customWidth="1"/>
    <col min="6419" max="6419" width="5" style="25" customWidth="1"/>
    <col min="6420" max="6420" width="6.85546875" style="25" customWidth="1"/>
    <col min="6421" max="6421" width="8.5703125" style="25" customWidth="1"/>
    <col min="6422" max="6657" width="9.140625" style="25"/>
    <col min="6658" max="6658" width="16.7109375" style="25" customWidth="1"/>
    <col min="6659" max="6659" width="7.7109375" style="25" customWidth="1"/>
    <col min="6660" max="6660" width="4.7109375" style="25" customWidth="1"/>
    <col min="6661" max="6661" width="8.42578125" style="25" customWidth="1"/>
    <col min="6662" max="6662" width="8" style="25" customWidth="1"/>
    <col min="6663" max="6663" width="7.28515625" style="25" customWidth="1"/>
    <col min="6664" max="6664" width="7" style="25" customWidth="1"/>
    <col min="6665" max="6665" width="8.85546875" style="25" customWidth="1"/>
    <col min="6666" max="6666" width="8.28515625" style="25" customWidth="1"/>
    <col min="6667" max="6667" width="6.85546875" style="25" customWidth="1"/>
    <col min="6668" max="6668" width="8.28515625" style="25" customWidth="1"/>
    <col min="6669" max="6669" width="7" style="25" customWidth="1"/>
    <col min="6670" max="6670" width="8.140625" style="25" customWidth="1"/>
    <col min="6671" max="6671" width="7" style="25" customWidth="1"/>
    <col min="6672" max="6672" width="8.7109375" style="25" customWidth="1"/>
    <col min="6673" max="6673" width="6.7109375" style="25" customWidth="1"/>
    <col min="6674" max="6674" width="7.28515625" style="25" customWidth="1"/>
    <col min="6675" max="6675" width="5" style="25" customWidth="1"/>
    <col min="6676" max="6676" width="6.85546875" style="25" customWidth="1"/>
    <col min="6677" max="6677" width="8.5703125" style="25" customWidth="1"/>
    <col min="6678" max="6913" width="9.140625" style="25"/>
    <col min="6914" max="6914" width="16.7109375" style="25" customWidth="1"/>
    <col min="6915" max="6915" width="7.7109375" style="25" customWidth="1"/>
    <col min="6916" max="6916" width="4.7109375" style="25" customWidth="1"/>
    <col min="6917" max="6917" width="8.42578125" style="25" customWidth="1"/>
    <col min="6918" max="6918" width="8" style="25" customWidth="1"/>
    <col min="6919" max="6919" width="7.28515625" style="25" customWidth="1"/>
    <col min="6920" max="6920" width="7" style="25" customWidth="1"/>
    <col min="6921" max="6921" width="8.85546875" style="25" customWidth="1"/>
    <col min="6922" max="6922" width="8.28515625" style="25" customWidth="1"/>
    <col min="6923" max="6923" width="6.85546875" style="25" customWidth="1"/>
    <col min="6924" max="6924" width="8.28515625" style="25" customWidth="1"/>
    <col min="6925" max="6925" width="7" style="25" customWidth="1"/>
    <col min="6926" max="6926" width="8.140625" style="25" customWidth="1"/>
    <col min="6927" max="6927" width="7" style="25" customWidth="1"/>
    <col min="6928" max="6928" width="8.7109375" style="25" customWidth="1"/>
    <col min="6929" max="6929" width="6.7109375" style="25" customWidth="1"/>
    <col min="6930" max="6930" width="7.28515625" style="25" customWidth="1"/>
    <col min="6931" max="6931" width="5" style="25" customWidth="1"/>
    <col min="6932" max="6932" width="6.85546875" style="25" customWidth="1"/>
    <col min="6933" max="6933" width="8.5703125" style="25" customWidth="1"/>
    <col min="6934" max="7169" width="9.140625" style="25"/>
    <col min="7170" max="7170" width="16.7109375" style="25" customWidth="1"/>
    <col min="7171" max="7171" width="7.7109375" style="25" customWidth="1"/>
    <col min="7172" max="7172" width="4.7109375" style="25" customWidth="1"/>
    <col min="7173" max="7173" width="8.42578125" style="25" customWidth="1"/>
    <col min="7174" max="7174" width="8" style="25" customWidth="1"/>
    <col min="7175" max="7175" width="7.28515625" style="25" customWidth="1"/>
    <col min="7176" max="7176" width="7" style="25" customWidth="1"/>
    <col min="7177" max="7177" width="8.85546875" style="25" customWidth="1"/>
    <col min="7178" max="7178" width="8.28515625" style="25" customWidth="1"/>
    <col min="7179" max="7179" width="6.85546875" style="25" customWidth="1"/>
    <col min="7180" max="7180" width="8.28515625" style="25" customWidth="1"/>
    <col min="7181" max="7181" width="7" style="25" customWidth="1"/>
    <col min="7182" max="7182" width="8.140625" style="25" customWidth="1"/>
    <col min="7183" max="7183" width="7" style="25" customWidth="1"/>
    <col min="7184" max="7184" width="8.7109375" style="25" customWidth="1"/>
    <col min="7185" max="7185" width="6.7109375" style="25" customWidth="1"/>
    <col min="7186" max="7186" width="7.28515625" style="25" customWidth="1"/>
    <col min="7187" max="7187" width="5" style="25" customWidth="1"/>
    <col min="7188" max="7188" width="6.85546875" style="25" customWidth="1"/>
    <col min="7189" max="7189" width="8.5703125" style="25" customWidth="1"/>
    <col min="7190" max="7425" width="9.140625" style="25"/>
    <col min="7426" max="7426" width="16.7109375" style="25" customWidth="1"/>
    <col min="7427" max="7427" width="7.7109375" style="25" customWidth="1"/>
    <col min="7428" max="7428" width="4.7109375" style="25" customWidth="1"/>
    <col min="7429" max="7429" width="8.42578125" style="25" customWidth="1"/>
    <col min="7430" max="7430" width="8" style="25" customWidth="1"/>
    <col min="7431" max="7431" width="7.28515625" style="25" customWidth="1"/>
    <col min="7432" max="7432" width="7" style="25" customWidth="1"/>
    <col min="7433" max="7433" width="8.85546875" style="25" customWidth="1"/>
    <col min="7434" max="7434" width="8.28515625" style="25" customWidth="1"/>
    <col min="7435" max="7435" width="6.85546875" style="25" customWidth="1"/>
    <col min="7436" max="7436" width="8.28515625" style="25" customWidth="1"/>
    <col min="7437" max="7437" width="7" style="25" customWidth="1"/>
    <col min="7438" max="7438" width="8.140625" style="25" customWidth="1"/>
    <col min="7439" max="7439" width="7" style="25" customWidth="1"/>
    <col min="7440" max="7440" width="8.7109375" style="25" customWidth="1"/>
    <col min="7441" max="7441" width="6.7109375" style="25" customWidth="1"/>
    <col min="7442" max="7442" width="7.28515625" style="25" customWidth="1"/>
    <col min="7443" max="7443" width="5" style="25" customWidth="1"/>
    <col min="7444" max="7444" width="6.85546875" style="25" customWidth="1"/>
    <col min="7445" max="7445" width="8.5703125" style="25" customWidth="1"/>
    <col min="7446" max="7681" width="9.140625" style="25"/>
    <col min="7682" max="7682" width="16.7109375" style="25" customWidth="1"/>
    <col min="7683" max="7683" width="7.7109375" style="25" customWidth="1"/>
    <col min="7684" max="7684" width="4.7109375" style="25" customWidth="1"/>
    <col min="7685" max="7685" width="8.42578125" style="25" customWidth="1"/>
    <col min="7686" max="7686" width="8" style="25" customWidth="1"/>
    <col min="7687" max="7687" width="7.28515625" style="25" customWidth="1"/>
    <col min="7688" max="7688" width="7" style="25" customWidth="1"/>
    <col min="7689" max="7689" width="8.85546875" style="25" customWidth="1"/>
    <col min="7690" max="7690" width="8.28515625" style="25" customWidth="1"/>
    <col min="7691" max="7691" width="6.85546875" style="25" customWidth="1"/>
    <col min="7692" max="7692" width="8.28515625" style="25" customWidth="1"/>
    <col min="7693" max="7693" width="7" style="25" customWidth="1"/>
    <col min="7694" max="7694" width="8.140625" style="25" customWidth="1"/>
    <col min="7695" max="7695" width="7" style="25" customWidth="1"/>
    <col min="7696" max="7696" width="8.7109375" style="25" customWidth="1"/>
    <col min="7697" max="7697" width="6.7109375" style="25" customWidth="1"/>
    <col min="7698" max="7698" width="7.28515625" style="25" customWidth="1"/>
    <col min="7699" max="7699" width="5" style="25" customWidth="1"/>
    <col min="7700" max="7700" width="6.85546875" style="25" customWidth="1"/>
    <col min="7701" max="7701" width="8.5703125" style="25" customWidth="1"/>
    <col min="7702" max="7937" width="9.140625" style="25"/>
    <col min="7938" max="7938" width="16.7109375" style="25" customWidth="1"/>
    <col min="7939" max="7939" width="7.7109375" style="25" customWidth="1"/>
    <col min="7940" max="7940" width="4.7109375" style="25" customWidth="1"/>
    <col min="7941" max="7941" width="8.42578125" style="25" customWidth="1"/>
    <col min="7942" max="7942" width="8" style="25" customWidth="1"/>
    <col min="7943" max="7943" width="7.28515625" style="25" customWidth="1"/>
    <col min="7944" max="7944" width="7" style="25" customWidth="1"/>
    <col min="7945" max="7945" width="8.85546875" style="25" customWidth="1"/>
    <col min="7946" max="7946" width="8.28515625" style="25" customWidth="1"/>
    <col min="7947" max="7947" width="6.85546875" style="25" customWidth="1"/>
    <col min="7948" max="7948" width="8.28515625" style="25" customWidth="1"/>
    <col min="7949" max="7949" width="7" style="25" customWidth="1"/>
    <col min="7950" max="7950" width="8.140625" style="25" customWidth="1"/>
    <col min="7951" max="7951" width="7" style="25" customWidth="1"/>
    <col min="7952" max="7952" width="8.7109375" style="25" customWidth="1"/>
    <col min="7953" max="7953" width="6.7109375" style="25" customWidth="1"/>
    <col min="7954" max="7954" width="7.28515625" style="25" customWidth="1"/>
    <col min="7955" max="7955" width="5" style="25" customWidth="1"/>
    <col min="7956" max="7956" width="6.85546875" style="25" customWidth="1"/>
    <col min="7957" max="7957" width="8.5703125" style="25" customWidth="1"/>
    <col min="7958" max="8193" width="9.140625" style="25"/>
    <col min="8194" max="8194" width="16.7109375" style="25" customWidth="1"/>
    <col min="8195" max="8195" width="7.7109375" style="25" customWidth="1"/>
    <col min="8196" max="8196" width="4.7109375" style="25" customWidth="1"/>
    <col min="8197" max="8197" width="8.42578125" style="25" customWidth="1"/>
    <col min="8198" max="8198" width="8" style="25" customWidth="1"/>
    <col min="8199" max="8199" width="7.28515625" style="25" customWidth="1"/>
    <col min="8200" max="8200" width="7" style="25" customWidth="1"/>
    <col min="8201" max="8201" width="8.85546875" style="25" customWidth="1"/>
    <col min="8202" max="8202" width="8.28515625" style="25" customWidth="1"/>
    <col min="8203" max="8203" width="6.85546875" style="25" customWidth="1"/>
    <col min="8204" max="8204" width="8.28515625" style="25" customWidth="1"/>
    <col min="8205" max="8205" width="7" style="25" customWidth="1"/>
    <col min="8206" max="8206" width="8.140625" style="25" customWidth="1"/>
    <col min="8207" max="8207" width="7" style="25" customWidth="1"/>
    <col min="8208" max="8208" width="8.7109375" style="25" customWidth="1"/>
    <col min="8209" max="8209" width="6.7109375" style="25" customWidth="1"/>
    <col min="8210" max="8210" width="7.28515625" style="25" customWidth="1"/>
    <col min="8211" max="8211" width="5" style="25" customWidth="1"/>
    <col min="8212" max="8212" width="6.85546875" style="25" customWidth="1"/>
    <col min="8213" max="8213" width="8.5703125" style="25" customWidth="1"/>
    <col min="8214" max="8449" width="9.140625" style="25"/>
    <col min="8450" max="8450" width="16.7109375" style="25" customWidth="1"/>
    <col min="8451" max="8451" width="7.7109375" style="25" customWidth="1"/>
    <col min="8452" max="8452" width="4.7109375" style="25" customWidth="1"/>
    <col min="8453" max="8453" width="8.42578125" style="25" customWidth="1"/>
    <col min="8454" max="8454" width="8" style="25" customWidth="1"/>
    <col min="8455" max="8455" width="7.28515625" style="25" customWidth="1"/>
    <col min="8456" max="8456" width="7" style="25" customWidth="1"/>
    <col min="8457" max="8457" width="8.85546875" style="25" customWidth="1"/>
    <col min="8458" max="8458" width="8.28515625" style="25" customWidth="1"/>
    <col min="8459" max="8459" width="6.85546875" style="25" customWidth="1"/>
    <col min="8460" max="8460" width="8.28515625" style="25" customWidth="1"/>
    <col min="8461" max="8461" width="7" style="25" customWidth="1"/>
    <col min="8462" max="8462" width="8.140625" style="25" customWidth="1"/>
    <col min="8463" max="8463" width="7" style="25" customWidth="1"/>
    <col min="8464" max="8464" width="8.7109375" style="25" customWidth="1"/>
    <col min="8465" max="8465" width="6.7109375" style="25" customWidth="1"/>
    <col min="8466" max="8466" width="7.28515625" style="25" customWidth="1"/>
    <col min="8467" max="8467" width="5" style="25" customWidth="1"/>
    <col min="8468" max="8468" width="6.85546875" style="25" customWidth="1"/>
    <col min="8469" max="8469" width="8.5703125" style="25" customWidth="1"/>
    <col min="8470" max="8705" width="9.140625" style="25"/>
    <col min="8706" max="8706" width="16.7109375" style="25" customWidth="1"/>
    <col min="8707" max="8707" width="7.7109375" style="25" customWidth="1"/>
    <col min="8708" max="8708" width="4.7109375" style="25" customWidth="1"/>
    <col min="8709" max="8709" width="8.42578125" style="25" customWidth="1"/>
    <col min="8710" max="8710" width="8" style="25" customWidth="1"/>
    <col min="8711" max="8711" width="7.28515625" style="25" customWidth="1"/>
    <col min="8712" max="8712" width="7" style="25" customWidth="1"/>
    <col min="8713" max="8713" width="8.85546875" style="25" customWidth="1"/>
    <col min="8714" max="8714" width="8.28515625" style="25" customWidth="1"/>
    <col min="8715" max="8715" width="6.85546875" style="25" customWidth="1"/>
    <col min="8716" max="8716" width="8.28515625" style="25" customWidth="1"/>
    <col min="8717" max="8717" width="7" style="25" customWidth="1"/>
    <col min="8718" max="8718" width="8.140625" style="25" customWidth="1"/>
    <col min="8719" max="8719" width="7" style="25" customWidth="1"/>
    <col min="8720" max="8720" width="8.7109375" style="25" customWidth="1"/>
    <col min="8721" max="8721" width="6.7109375" style="25" customWidth="1"/>
    <col min="8722" max="8722" width="7.28515625" style="25" customWidth="1"/>
    <col min="8723" max="8723" width="5" style="25" customWidth="1"/>
    <col min="8724" max="8724" width="6.85546875" style="25" customWidth="1"/>
    <col min="8725" max="8725" width="8.5703125" style="25" customWidth="1"/>
    <col min="8726" max="8961" width="9.140625" style="25"/>
    <col min="8962" max="8962" width="16.7109375" style="25" customWidth="1"/>
    <col min="8963" max="8963" width="7.7109375" style="25" customWidth="1"/>
    <col min="8964" max="8964" width="4.7109375" style="25" customWidth="1"/>
    <col min="8965" max="8965" width="8.42578125" style="25" customWidth="1"/>
    <col min="8966" max="8966" width="8" style="25" customWidth="1"/>
    <col min="8967" max="8967" width="7.28515625" style="25" customWidth="1"/>
    <col min="8968" max="8968" width="7" style="25" customWidth="1"/>
    <col min="8969" max="8969" width="8.85546875" style="25" customWidth="1"/>
    <col min="8970" max="8970" width="8.28515625" style="25" customWidth="1"/>
    <col min="8971" max="8971" width="6.85546875" style="25" customWidth="1"/>
    <col min="8972" max="8972" width="8.28515625" style="25" customWidth="1"/>
    <col min="8973" max="8973" width="7" style="25" customWidth="1"/>
    <col min="8974" max="8974" width="8.140625" style="25" customWidth="1"/>
    <col min="8975" max="8975" width="7" style="25" customWidth="1"/>
    <col min="8976" max="8976" width="8.7109375" style="25" customWidth="1"/>
    <col min="8977" max="8977" width="6.7109375" style="25" customWidth="1"/>
    <col min="8978" max="8978" width="7.28515625" style="25" customWidth="1"/>
    <col min="8979" max="8979" width="5" style="25" customWidth="1"/>
    <col min="8980" max="8980" width="6.85546875" style="25" customWidth="1"/>
    <col min="8981" max="8981" width="8.5703125" style="25" customWidth="1"/>
    <col min="8982" max="9217" width="9.140625" style="25"/>
    <col min="9218" max="9218" width="16.7109375" style="25" customWidth="1"/>
    <col min="9219" max="9219" width="7.7109375" style="25" customWidth="1"/>
    <col min="9220" max="9220" width="4.7109375" style="25" customWidth="1"/>
    <col min="9221" max="9221" width="8.42578125" style="25" customWidth="1"/>
    <col min="9222" max="9222" width="8" style="25" customWidth="1"/>
    <col min="9223" max="9223" width="7.28515625" style="25" customWidth="1"/>
    <col min="9224" max="9224" width="7" style="25" customWidth="1"/>
    <col min="9225" max="9225" width="8.85546875" style="25" customWidth="1"/>
    <col min="9226" max="9226" width="8.28515625" style="25" customWidth="1"/>
    <col min="9227" max="9227" width="6.85546875" style="25" customWidth="1"/>
    <col min="9228" max="9228" width="8.28515625" style="25" customWidth="1"/>
    <col min="9229" max="9229" width="7" style="25" customWidth="1"/>
    <col min="9230" max="9230" width="8.140625" style="25" customWidth="1"/>
    <col min="9231" max="9231" width="7" style="25" customWidth="1"/>
    <col min="9232" max="9232" width="8.7109375" style="25" customWidth="1"/>
    <col min="9233" max="9233" width="6.7109375" style="25" customWidth="1"/>
    <col min="9234" max="9234" width="7.28515625" style="25" customWidth="1"/>
    <col min="9235" max="9235" width="5" style="25" customWidth="1"/>
    <col min="9236" max="9236" width="6.85546875" style="25" customWidth="1"/>
    <col min="9237" max="9237" width="8.5703125" style="25" customWidth="1"/>
    <col min="9238" max="9473" width="9.140625" style="25"/>
    <col min="9474" max="9474" width="16.7109375" style="25" customWidth="1"/>
    <col min="9475" max="9475" width="7.7109375" style="25" customWidth="1"/>
    <col min="9476" max="9476" width="4.7109375" style="25" customWidth="1"/>
    <col min="9477" max="9477" width="8.42578125" style="25" customWidth="1"/>
    <col min="9478" max="9478" width="8" style="25" customWidth="1"/>
    <col min="9479" max="9479" width="7.28515625" style="25" customWidth="1"/>
    <col min="9480" max="9480" width="7" style="25" customWidth="1"/>
    <col min="9481" max="9481" width="8.85546875" style="25" customWidth="1"/>
    <col min="9482" max="9482" width="8.28515625" style="25" customWidth="1"/>
    <col min="9483" max="9483" width="6.85546875" style="25" customWidth="1"/>
    <col min="9484" max="9484" width="8.28515625" style="25" customWidth="1"/>
    <col min="9485" max="9485" width="7" style="25" customWidth="1"/>
    <col min="9486" max="9486" width="8.140625" style="25" customWidth="1"/>
    <col min="9487" max="9487" width="7" style="25" customWidth="1"/>
    <col min="9488" max="9488" width="8.7109375" style="25" customWidth="1"/>
    <col min="9489" max="9489" width="6.7109375" style="25" customWidth="1"/>
    <col min="9490" max="9490" width="7.28515625" style="25" customWidth="1"/>
    <col min="9491" max="9491" width="5" style="25" customWidth="1"/>
    <col min="9492" max="9492" width="6.85546875" style="25" customWidth="1"/>
    <col min="9493" max="9493" width="8.5703125" style="25" customWidth="1"/>
    <col min="9494" max="9729" width="9.140625" style="25"/>
    <col min="9730" max="9730" width="16.7109375" style="25" customWidth="1"/>
    <col min="9731" max="9731" width="7.7109375" style="25" customWidth="1"/>
    <col min="9732" max="9732" width="4.7109375" style="25" customWidth="1"/>
    <col min="9733" max="9733" width="8.42578125" style="25" customWidth="1"/>
    <col min="9734" max="9734" width="8" style="25" customWidth="1"/>
    <col min="9735" max="9735" width="7.28515625" style="25" customWidth="1"/>
    <col min="9736" max="9736" width="7" style="25" customWidth="1"/>
    <col min="9737" max="9737" width="8.85546875" style="25" customWidth="1"/>
    <col min="9738" max="9738" width="8.28515625" style="25" customWidth="1"/>
    <col min="9739" max="9739" width="6.85546875" style="25" customWidth="1"/>
    <col min="9740" max="9740" width="8.28515625" style="25" customWidth="1"/>
    <col min="9741" max="9741" width="7" style="25" customWidth="1"/>
    <col min="9742" max="9742" width="8.140625" style="25" customWidth="1"/>
    <col min="9743" max="9743" width="7" style="25" customWidth="1"/>
    <col min="9744" max="9744" width="8.7109375" style="25" customWidth="1"/>
    <col min="9745" max="9745" width="6.7109375" style="25" customWidth="1"/>
    <col min="9746" max="9746" width="7.28515625" style="25" customWidth="1"/>
    <col min="9747" max="9747" width="5" style="25" customWidth="1"/>
    <col min="9748" max="9748" width="6.85546875" style="25" customWidth="1"/>
    <col min="9749" max="9749" width="8.5703125" style="25" customWidth="1"/>
    <col min="9750" max="9985" width="9.140625" style="25"/>
    <col min="9986" max="9986" width="16.7109375" style="25" customWidth="1"/>
    <col min="9987" max="9987" width="7.7109375" style="25" customWidth="1"/>
    <col min="9988" max="9988" width="4.7109375" style="25" customWidth="1"/>
    <col min="9989" max="9989" width="8.42578125" style="25" customWidth="1"/>
    <col min="9990" max="9990" width="8" style="25" customWidth="1"/>
    <col min="9991" max="9991" width="7.28515625" style="25" customWidth="1"/>
    <col min="9992" max="9992" width="7" style="25" customWidth="1"/>
    <col min="9993" max="9993" width="8.85546875" style="25" customWidth="1"/>
    <col min="9994" max="9994" width="8.28515625" style="25" customWidth="1"/>
    <col min="9995" max="9995" width="6.85546875" style="25" customWidth="1"/>
    <col min="9996" max="9996" width="8.28515625" style="25" customWidth="1"/>
    <col min="9997" max="9997" width="7" style="25" customWidth="1"/>
    <col min="9998" max="9998" width="8.140625" style="25" customWidth="1"/>
    <col min="9999" max="9999" width="7" style="25" customWidth="1"/>
    <col min="10000" max="10000" width="8.7109375" style="25" customWidth="1"/>
    <col min="10001" max="10001" width="6.7109375" style="25" customWidth="1"/>
    <col min="10002" max="10002" width="7.28515625" style="25" customWidth="1"/>
    <col min="10003" max="10003" width="5" style="25" customWidth="1"/>
    <col min="10004" max="10004" width="6.85546875" style="25" customWidth="1"/>
    <col min="10005" max="10005" width="8.5703125" style="25" customWidth="1"/>
    <col min="10006" max="10241" width="9.140625" style="25"/>
    <col min="10242" max="10242" width="16.7109375" style="25" customWidth="1"/>
    <col min="10243" max="10243" width="7.7109375" style="25" customWidth="1"/>
    <col min="10244" max="10244" width="4.7109375" style="25" customWidth="1"/>
    <col min="10245" max="10245" width="8.42578125" style="25" customWidth="1"/>
    <col min="10246" max="10246" width="8" style="25" customWidth="1"/>
    <col min="10247" max="10247" width="7.28515625" style="25" customWidth="1"/>
    <col min="10248" max="10248" width="7" style="25" customWidth="1"/>
    <col min="10249" max="10249" width="8.85546875" style="25" customWidth="1"/>
    <col min="10250" max="10250" width="8.28515625" style="25" customWidth="1"/>
    <col min="10251" max="10251" width="6.85546875" style="25" customWidth="1"/>
    <col min="10252" max="10252" width="8.28515625" style="25" customWidth="1"/>
    <col min="10253" max="10253" width="7" style="25" customWidth="1"/>
    <col min="10254" max="10254" width="8.140625" style="25" customWidth="1"/>
    <col min="10255" max="10255" width="7" style="25" customWidth="1"/>
    <col min="10256" max="10256" width="8.7109375" style="25" customWidth="1"/>
    <col min="10257" max="10257" width="6.7109375" style="25" customWidth="1"/>
    <col min="10258" max="10258" width="7.28515625" style="25" customWidth="1"/>
    <col min="10259" max="10259" width="5" style="25" customWidth="1"/>
    <col min="10260" max="10260" width="6.85546875" style="25" customWidth="1"/>
    <col min="10261" max="10261" width="8.5703125" style="25" customWidth="1"/>
    <col min="10262" max="10497" width="9.140625" style="25"/>
    <col min="10498" max="10498" width="16.7109375" style="25" customWidth="1"/>
    <col min="10499" max="10499" width="7.7109375" style="25" customWidth="1"/>
    <col min="10500" max="10500" width="4.7109375" style="25" customWidth="1"/>
    <col min="10501" max="10501" width="8.42578125" style="25" customWidth="1"/>
    <col min="10502" max="10502" width="8" style="25" customWidth="1"/>
    <col min="10503" max="10503" width="7.28515625" style="25" customWidth="1"/>
    <col min="10504" max="10504" width="7" style="25" customWidth="1"/>
    <col min="10505" max="10505" width="8.85546875" style="25" customWidth="1"/>
    <col min="10506" max="10506" width="8.28515625" style="25" customWidth="1"/>
    <col min="10507" max="10507" width="6.85546875" style="25" customWidth="1"/>
    <col min="10508" max="10508" width="8.28515625" style="25" customWidth="1"/>
    <col min="10509" max="10509" width="7" style="25" customWidth="1"/>
    <col min="10510" max="10510" width="8.140625" style="25" customWidth="1"/>
    <col min="10511" max="10511" width="7" style="25" customWidth="1"/>
    <col min="10512" max="10512" width="8.7109375" style="25" customWidth="1"/>
    <col min="10513" max="10513" width="6.7109375" style="25" customWidth="1"/>
    <col min="10514" max="10514" width="7.28515625" style="25" customWidth="1"/>
    <col min="10515" max="10515" width="5" style="25" customWidth="1"/>
    <col min="10516" max="10516" width="6.85546875" style="25" customWidth="1"/>
    <col min="10517" max="10517" width="8.5703125" style="25" customWidth="1"/>
    <col min="10518" max="10753" width="9.140625" style="25"/>
    <col min="10754" max="10754" width="16.7109375" style="25" customWidth="1"/>
    <col min="10755" max="10755" width="7.7109375" style="25" customWidth="1"/>
    <col min="10756" max="10756" width="4.7109375" style="25" customWidth="1"/>
    <col min="10757" max="10757" width="8.42578125" style="25" customWidth="1"/>
    <col min="10758" max="10758" width="8" style="25" customWidth="1"/>
    <col min="10759" max="10759" width="7.28515625" style="25" customWidth="1"/>
    <col min="10760" max="10760" width="7" style="25" customWidth="1"/>
    <col min="10761" max="10761" width="8.85546875" style="25" customWidth="1"/>
    <col min="10762" max="10762" width="8.28515625" style="25" customWidth="1"/>
    <col min="10763" max="10763" width="6.85546875" style="25" customWidth="1"/>
    <col min="10764" max="10764" width="8.28515625" style="25" customWidth="1"/>
    <col min="10765" max="10765" width="7" style="25" customWidth="1"/>
    <col min="10766" max="10766" width="8.140625" style="25" customWidth="1"/>
    <col min="10767" max="10767" width="7" style="25" customWidth="1"/>
    <col min="10768" max="10768" width="8.7109375" style="25" customWidth="1"/>
    <col min="10769" max="10769" width="6.7109375" style="25" customWidth="1"/>
    <col min="10770" max="10770" width="7.28515625" style="25" customWidth="1"/>
    <col min="10771" max="10771" width="5" style="25" customWidth="1"/>
    <col min="10772" max="10772" width="6.85546875" style="25" customWidth="1"/>
    <col min="10773" max="10773" width="8.5703125" style="25" customWidth="1"/>
    <col min="10774" max="11009" width="9.140625" style="25"/>
    <col min="11010" max="11010" width="16.7109375" style="25" customWidth="1"/>
    <col min="11011" max="11011" width="7.7109375" style="25" customWidth="1"/>
    <col min="11012" max="11012" width="4.7109375" style="25" customWidth="1"/>
    <col min="11013" max="11013" width="8.42578125" style="25" customWidth="1"/>
    <col min="11014" max="11014" width="8" style="25" customWidth="1"/>
    <col min="11015" max="11015" width="7.28515625" style="25" customWidth="1"/>
    <col min="11016" max="11016" width="7" style="25" customWidth="1"/>
    <col min="11017" max="11017" width="8.85546875" style="25" customWidth="1"/>
    <col min="11018" max="11018" width="8.28515625" style="25" customWidth="1"/>
    <col min="11019" max="11019" width="6.85546875" style="25" customWidth="1"/>
    <col min="11020" max="11020" width="8.28515625" style="25" customWidth="1"/>
    <col min="11021" max="11021" width="7" style="25" customWidth="1"/>
    <col min="11022" max="11022" width="8.140625" style="25" customWidth="1"/>
    <col min="11023" max="11023" width="7" style="25" customWidth="1"/>
    <col min="11024" max="11024" width="8.7109375" style="25" customWidth="1"/>
    <col min="11025" max="11025" width="6.7109375" style="25" customWidth="1"/>
    <col min="11026" max="11026" width="7.28515625" style="25" customWidth="1"/>
    <col min="11027" max="11027" width="5" style="25" customWidth="1"/>
    <col min="11028" max="11028" width="6.85546875" style="25" customWidth="1"/>
    <col min="11029" max="11029" width="8.5703125" style="25" customWidth="1"/>
    <col min="11030" max="11265" width="9.140625" style="25"/>
    <col min="11266" max="11266" width="16.7109375" style="25" customWidth="1"/>
    <col min="11267" max="11267" width="7.7109375" style="25" customWidth="1"/>
    <col min="11268" max="11268" width="4.7109375" style="25" customWidth="1"/>
    <col min="11269" max="11269" width="8.42578125" style="25" customWidth="1"/>
    <col min="11270" max="11270" width="8" style="25" customWidth="1"/>
    <col min="11271" max="11271" width="7.28515625" style="25" customWidth="1"/>
    <col min="11272" max="11272" width="7" style="25" customWidth="1"/>
    <col min="11273" max="11273" width="8.85546875" style="25" customWidth="1"/>
    <col min="11274" max="11274" width="8.28515625" style="25" customWidth="1"/>
    <col min="11275" max="11275" width="6.85546875" style="25" customWidth="1"/>
    <col min="11276" max="11276" width="8.28515625" style="25" customWidth="1"/>
    <col min="11277" max="11277" width="7" style="25" customWidth="1"/>
    <col min="11278" max="11278" width="8.140625" style="25" customWidth="1"/>
    <col min="11279" max="11279" width="7" style="25" customWidth="1"/>
    <col min="11280" max="11280" width="8.7109375" style="25" customWidth="1"/>
    <col min="11281" max="11281" width="6.7109375" style="25" customWidth="1"/>
    <col min="11282" max="11282" width="7.28515625" style="25" customWidth="1"/>
    <col min="11283" max="11283" width="5" style="25" customWidth="1"/>
    <col min="11284" max="11284" width="6.85546875" style="25" customWidth="1"/>
    <col min="11285" max="11285" width="8.5703125" style="25" customWidth="1"/>
    <col min="11286" max="11521" width="9.140625" style="25"/>
    <col min="11522" max="11522" width="16.7109375" style="25" customWidth="1"/>
    <col min="11523" max="11523" width="7.7109375" style="25" customWidth="1"/>
    <col min="11524" max="11524" width="4.7109375" style="25" customWidth="1"/>
    <col min="11525" max="11525" width="8.42578125" style="25" customWidth="1"/>
    <col min="11526" max="11526" width="8" style="25" customWidth="1"/>
    <col min="11527" max="11527" width="7.28515625" style="25" customWidth="1"/>
    <col min="11528" max="11528" width="7" style="25" customWidth="1"/>
    <col min="11529" max="11529" width="8.85546875" style="25" customWidth="1"/>
    <col min="11530" max="11530" width="8.28515625" style="25" customWidth="1"/>
    <col min="11531" max="11531" width="6.85546875" style="25" customWidth="1"/>
    <col min="11532" max="11532" width="8.28515625" style="25" customWidth="1"/>
    <col min="11533" max="11533" width="7" style="25" customWidth="1"/>
    <col min="11534" max="11534" width="8.140625" style="25" customWidth="1"/>
    <col min="11535" max="11535" width="7" style="25" customWidth="1"/>
    <col min="11536" max="11536" width="8.7109375" style="25" customWidth="1"/>
    <col min="11537" max="11537" width="6.7109375" style="25" customWidth="1"/>
    <col min="11538" max="11538" width="7.28515625" style="25" customWidth="1"/>
    <col min="11539" max="11539" width="5" style="25" customWidth="1"/>
    <col min="11540" max="11540" width="6.85546875" style="25" customWidth="1"/>
    <col min="11541" max="11541" width="8.5703125" style="25" customWidth="1"/>
    <col min="11542" max="11777" width="9.140625" style="25"/>
    <col min="11778" max="11778" width="16.7109375" style="25" customWidth="1"/>
    <col min="11779" max="11779" width="7.7109375" style="25" customWidth="1"/>
    <col min="11780" max="11780" width="4.7109375" style="25" customWidth="1"/>
    <col min="11781" max="11781" width="8.42578125" style="25" customWidth="1"/>
    <col min="11782" max="11782" width="8" style="25" customWidth="1"/>
    <col min="11783" max="11783" width="7.28515625" style="25" customWidth="1"/>
    <col min="11784" max="11784" width="7" style="25" customWidth="1"/>
    <col min="11785" max="11785" width="8.85546875" style="25" customWidth="1"/>
    <col min="11786" max="11786" width="8.28515625" style="25" customWidth="1"/>
    <col min="11787" max="11787" width="6.85546875" style="25" customWidth="1"/>
    <col min="11788" max="11788" width="8.28515625" style="25" customWidth="1"/>
    <col min="11789" max="11789" width="7" style="25" customWidth="1"/>
    <col min="11790" max="11790" width="8.140625" style="25" customWidth="1"/>
    <col min="11791" max="11791" width="7" style="25" customWidth="1"/>
    <col min="11792" max="11792" width="8.7109375" style="25" customWidth="1"/>
    <col min="11793" max="11793" width="6.7109375" style="25" customWidth="1"/>
    <col min="11794" max="11794" width="7.28515625" style="25" customWidth="1"/>
    <col min="11795" max="11795" width="5" style="25" customWidth="1"/>
    <col min="11796" max="11796" width="6.85546875" style="25" customWidth="1"/>
    <col min="11797" max="11797" width="8.5703125" style="25" customWidth="1"/>
    <col min="11798" max="12033" width="9.140625" style="25"/>
    <col min="12034" max="12034" width="16.7109375" style="25" customWidth="1"/>
    <col min="12035" max="12035" width="7.7109375" style="25" customWidth="1"/>
    <col min="12036" max="12036" width="4.7109375" style="25" customWidth="1"/>
    <col min="12037" max="12037" width="8.42578125" style="25" customWidth="1"/>
    <col min="12038" max="12038" width="8" style="25" customWidth="1"/>
    <col min="12039" max="12039" width="7.28515625" style="25" customWidth="1"/>
    <col min="12040" max="12040" width="7" style="25" customWidth="1"/>
    <col min="12041" max="12041" width="8.85546875" style="25" customWidth="1"/>
    <col min="12042" max="12042" width="8.28515625" style="25" customWidth="1"/>
    <col min="12043" max="12043" width="6.85546875" style="25" customWidth="1"/>
    <col min="12044" max="12044" width="8.28515625" style="25" customWidth="1"/>
    <col min="12045" max="12045" width="7" style="25" customWidth="1"/>
    <col min="12046" max="12046" width="8.140625" style="25" customWidth="1"/>
    <col min="12047" max="12047" width="7" style="25" customWidth="1"/>
    <col min="12048" max="12048" width="8.7109375" style="25" customWidth="1"/>
    <col min="12049" max="12049" width="6.7109375" style="25" customWidth="1"/>
    <col min="12050" max="12050" width="7.28515625" style="25" customWidth="1"/>
    <col min="12051" max="12051" width="5" style="25" customWidth="1"/>
    <col min="12052" max="12052" width="6.85546875" style="25" customWidth="1"/>
    <col min="12053" max="12053" width="8.5703125" style="25" customWidth="1"/>
    <col min="12054" max="12289" width="9.140625" style="25"/>
    <col min="12290" max="12290" width="16.7109375" style="25" customWidth="1"/>
    <col min="12291" max="12291" width="7.7109375" style="25" customWidth="1"/>
    <col min="12292" max="12292" width="4.7109375" style="25" customWidth="1"/>
    <col min="12293" max="12293" width="8.42578125" style="25" customWidth="1"/>
    <col min="12294" max="12294" width="8" style="25" customWidth="1"/>
    <col min="12295" max="12295" width="7.28515625" style="25" customWidth="1"/>
    <col min="12296" max="12296" width="7" style="25" customWidth="1"/>
    <col min="12297" max="12297" width="8.85546875" style="25" customWidth="1"/>
    <col min="12298" max="12298" width="8.28515625" style="25" customWidth="1"/>
    <col min="12299" max="12299" width="6.85546875" style="25" customWidth="1"/>
    <col min="12300" max="12300" width="8.28515625" style="25" customWidth="1"/>
    <col min="12301" max="12301" width="7" style="25" customWidth="1"/>
    <col min="12302" max="12302" width="8.140625" style="25" customWidth="1"/>
    <col min="12303" max="12303" width="7" style="25" customWidth="1"/>
    <col min="12304" max="12304" width="8.7109375" style="25" customWidth="1"/>
    <col min="12305" max="12305" width="6.7109375" style="25" customWidth="1"/>
    <col min="12306" max="12306" width="7.28515625" style="25" customWidth="1"/>
    <col min="12307" max="12307" width="5" style="25" customWidth="1"/>
    <col min="12308" max="12308" width="6.85546875" style="25" customWidth="1"/>
    <col min="12309" max="12309" width="8.5703125" style="25" customWidth="1"/>
    <col min="12310" max="12545" width="9.140625" style="25"/>
    <col min="12546" max="12546" width="16.7109375" style="25" customWidth="1"/>
    <col min="12547" max="12547" width="7.7109375" style="25" customWidth="1"/>
    <col min="12548" max="12548" width="4.7109375" style="25" customWidth="1"/>
    <col min="12549" max="12549" width="8.42578125" style="25" customWidth="1"/>
    <col min="12550" max="12550" width="8" style="25" customWidth="1"/>
    <col min="12551" max="12551" width="7.28515625" style="25" customWidth="1"/>
    <col min="12552" max="12552" width="7" style="25" customWidth="1"/>
    <col min="12553" max="12553" width="8.85546875" style="25" customWidth="1"/>
    <col min="12554" max="12554" width="8.28515625" style="25" customWidth="1"/>
    <col min="12555" max="12555" width="6.85546875" style="25" customWidth="1"/>
    <col min="12556" max="12556" width="8.28515625" style="25" customWidth="1"/>
    <col min="12557" max="12557" width="7" style="25" customWidth="1"/>
    <col min="12558" max="12558" width="8.140625" style="25" customWidth="1"/>
    <col min="12559" max="12559" width="7" style="25" customWidth="1"/>
    <col min="12560" max="12560" width="8.7109375" style="25" customWidth="1"/>
    <col min="12561" max="12561" width="6.7109375" style="25" customWidth="1"/>
    <col min="12562" max="12562" width="7.28515625" style="25" customWidth="1"/>
    <col min="12563" max="12563" width="5" style="25" customWidth="1"/>
    <col min="12564" max="12564" width="6.85546875" style="25" customWidth="1"/>
    <col min="12565" max="12565" width="8.5703125" style="25" customWidth="1"/>
    <col min="12566" max="12801" width="9.140625" style="25"/>
    <col min="12802" max="12802" width="16.7109375" style="25" customWidth="1"/>
    <col min="12803" max="12803" width="7.7109375" style="25" customWidth="1"/>
    <col min="12804" max="12804" width="4.7109375" style="25" customWidth="1"/>
    <col min="12805" max="12805" width="8.42578125" style="25" customWidth="1"/>
    <col min="12806" max="12806" width="8" style="25" customWidth="1"/>
    <col min="12807" max="12807" width="7.28515625" style="25" customWidth="1"/>
    <col min="12808" max="12808" width="7" style="25" customWidth="1"/>
    <col min="12809" max="12809" width="8.85546875" style="25" customWidth="1"/>
    <col min="12810" max="12810" width="8.28515625" style="25" customWidth="1"/>
    <col min="12811" max="12811" width="6.85546875" style="25" customWidth="1"/>
    <col min="12812" max="12812" width="8.28515625" style="25" customWidth="1"/>
    <col min="12813" max="12813" width="7" style="25" customWidth="1"/>
    <col min="12814" max="12814" width="8.140625" style="25" customWidth="1"/>
    <col min="12815" max="12815" width="7" style="25" customWidth="1"/>
    <col min="12816" max="12816" width="8.7109375" style="25" customWidth="1"/>
    <col min="12817" max="12817" width="6.7109375" style="25" customWidth="1"/>
    <col min="12818" max="12818" width="7.28515625" style="25" customWidth="1"/>
    <col min="12819" max="12819" width="5" style="25" customWidth="1"/>
    <col min="12820" max="12820" width="6.85546875" style="25" customWidth="1"/>
    <col min="12821" max="12821" width="8.5703125" style="25" customWidth="1"/>
    <col min="12822" max="13057" width="9.140625" style="25"/>
    <col min="13058" max="13058" width="16.7109375" style="25" customWidth="1"/>
    <col min="13059" max="13059" width="7.7109375" style="25" customWidth="1"/>
    <col min="13060" max="13060" width="4.7109375" style="25" customWidth="1"/>
    <col min="13061" max="13061" width="8.42578125" style="25" customWidth="1"/>
    <col min="13062" max="13062" width="8" style="25" customWidth="1"/>
    <col min="13063" max="13063" width="7.28515625" style="25" customWidth="1"/>
    <col min="13064" max="13064" width="7" style="25" customWidth="1"/>
    <col min="13065" max="13065" width="8.85546875" style="25" customWidth="1"/>
    <col min="13066" max="13066" width="8.28515625" style="25" customWidth="1"/>
    <col min="13067" max="13067" width="6.85546875" style="25" customWidth="1"/>
    <col min="13068" max="13068" width="8.28515625" style="25" customWidth="1"/>
    <col min="13069" max="13069" width="7" style="25" customWidth="1"/>
    <col min="13070" max="13070" width="8.140625" style="25" customWidth="1"/>
    <col min="13071" max="13071" width="7" style="25" customWidth="1"/>
    <col min="13072" max="13072" width="8.7109375" style="25" customWidth="1"/>
    <col min="13073" max="13073" width="6.7109375" style="25" customWidth="1"/>
    <col min="13074" max="13074" width="7.28515625" style="25" customWidth="1"/>
    <col min="13075" max="13075" width="5" style="25" customWidth="1"/>
    <col min="13076" max="13076" width="6.85546875" style="25" customWidth="1"/>
    <col min="13077" max="13077" width="8.5703125" style="25" customWidth="1"/>
    <col min="13078" max="13313" width="9.140625" style="25"/>
    <col min="13314" max="13314" width="16.7109375" style="25" customWidth="1"/>
    <col min="13315" max="13315" width="7.7109375" style="25" customWidth="1"/>
    <col min="13316" max="13316" width="4.7109375" style="25" customWidth="1"/>
    <col min="13317" max="13317" width="8.42578125" style="25" customWidth="1"/>
    <col min="13318" max="13318" width="8" style="25" customWidth="1"/>
    <col min="13319" max="13319" width="7.28515625" style="25" customWidth="1"/>
    <col min="13320" max="13320" width="7" style="25" customWidth="1"/>
    <col min="13321" max="13321" width="8.85546875" style="25" customWidth="1"/>
    <col min="13322" max="13322" width="8.28515625" style="25" customWidth="1"/>
    <col min="13323" max="13323" width="6.85546875" style="25" customWidth="1"/>
    <col min="13324" max="13324" width="8.28515625" style="25" customWidth="1"/>
    <col min="13325" max="13325" width="7" style="25" customWidth="1"/>
    <col min="13326" max="13326" width="8.140625" style="25" customWidth="1"/>
    <col min="13327" max="13327" width="7" style="25" customWidth="1"/>
    <col min="13328" max="13328" width="8.7109375" style="25" customWidth="1"/>
    <col min="13329" max="13329" width="6.7109375" style="25" customWidth="1"/>
    <col min="13330" max="13330" width="7.28515625" style="25" customWidth="1"/>
    <col min="13331" max="13331" width="5" style="25" customWidth="1"/>
    <col min="13332" max="13332" width="6.85546875" style="25" customWidth="1"/>
    <col min="13333" max="13333" width="8.5703125" style="25" customWidth="1"/>
    <col min="13334" max="13569" width="9.140625" style="25"/>
    <col min="13570" max="13570" width="16.7109375" style="25" customWidth="1"/>
    <col min="13571" max="13571" width="7.7109375" style="25" customWidth="1"/>
    <col min="13572" max="13572" width="4.7109375" style="25" customWidth="1"/>
    <col min="13573" max="13573" width="8.42578125" style="25" customWidth="1"/>
    <col min="13574" max="13574" width="8" style="25" customWidth="1"/>
    <col min="13575" max="13575" width="7.28515625" style="25" customWidth="1"/>
    <col min="13576" max="13576" width="7" style="25" customWidth="1"/>
    <col min="13577" max="13577" width="8.85546875" style="25" customWidth="1"/>
    <col min="13578" max="13578" width="8.28515625" style="25" customWidth="1"/>
    <col min="13579" max="13579" width="6.85546875" style="25" customWidth="1"/>
    <col min="13580" max="13580" width="8.28515625" style="25" customWidth="1"/>
    <col min="13581" max="13581" width="7" style="25" customWidth="1"/>
    <col min="13582" max="13582" width="8.140625" style="25" customWidth="1"/>
    <col min="13583" max="13583" width="7" style="25" customWidth="1"/>
    <col min="13584" max="13584" width="8.7109375" style="25" customWidth="1"/>
    <col min="13585" max="13585" width="6.7109375" style="25" customWidth="1"/>
    <col min="13586" max="13586" width="7.28515625" style="25" customWidth="1"/>
    <col min="13587" max="13587" width="5" style="25" customWidth="1"/>
    <col min="13588" max="13588" width="6.85546875" style="25" customWidth="1"/>
    <col min="13589" max="13589" width="8.5703125" style="25" customWidth="1"/>
    <col min="13590" max="13825" width="9.140625" style="25"/>
    <col min="13826" max="13826" width="16.7109375" style="25" customWidth="1"/>
    <col min="13827" max="13827" width="7.7109375" style="25" customWidth="1"/>
    <col min="13828" max="13828" width="4.7109375" style="25" customWidth="1"/>
    <col min="13829" max="13829" width="8.42578125" style="25" customWidth="1"/>
    <col min="13830" max="13830" width="8" style="25" customWidth="1"/>
    <col min="13831" max="13831" width="7.28515625" style="25" customWidth="1"/>
    <col min="13832" max="13832" width="7" style="25" customWidth="1"/>
    <col min="13833" max="13833" width="8.85546875" style="25" customWidth="1"/>
    <col min="13834" max="13834" width="8.28515625" style="25" customWidth="1"/>
    <col min="13835" max="13835" width="6.85546875" style="25" customWidth="1"/>
    <col min="13836" max="13836" width="8.28515625" style="25" customWidth="1"/>
    <col min="13837" max="13837" width="7" style="25" customWidth="1"/>
    <col min="13838" max="13838" width="8.140625" style="25" customWidth="1"/>
    <col min="13839" max="13839" width="7" style="25" customWidth="1"/>
    <col min="13840" max="13840" width="8.7109375" style="25" customWidth="1"/>
    <col min="13841" max="13841" width="6.7109375" style="25" customWidth="1"/>
    <col min="13842" max="13842" width="7.28515625" style="25" customWidth="1"/>
    <col min="13843" max="13843" width="5" style="25" customWidth="1"/>
    <col min="13844" max="13844" width="6.85546875" style="25" customWidth="1"/>
    <col min="13845" max="13845" width="8.5703125" style="25" customWidth="1"/>
    <col min="13846" max="14081" width="9.140625" style="25"/>
    <col min="14082" max="14082" width="16.7109375" style="25" customWidth="1"/>
    <col min="14083" max="14083" width="7.7109375" style="25" customWidth="1"/>
    <col min="14084" max="14084" width="4.7109375" style="25" customWidth="1"/>
    <col min="14085" max="14085" width="8.42578125" style="25" customWidth="1"/>
    <col min="14086" max="14086" width="8" style="25" customWidth="1"/>
    <col min="14087" max="14087" width="7.28515625" style="25" customWidth="1"/>
    <col min="14088" max="14088" width="7" style="25" customWidth="1"/>
    <col min="14089" max="14089" width="8.85546875" style="25" customWidth="1"/>
    <col min="14090" max="14090" width="8.28515625" style="25" customWidth="1"/>
    <col min="14091" max="14091" width="6.85546875" style="25" customWidth="1"/>
    <col min="14092" max="14092" width="8.28515625" style="25" customWidth="1"/>
    <col min="14093" max="14093" width="7" style="25" customWidth="1"/>
    <col min="14094" max="14094" width="8.140625" style="25" customWidth="1"/>
    <col min="14095" max="14095" width="7" style="25" customWidth="1"/>
    <col min="14096" max="14096" width="8.7109375" style="25" customWidth="1"/>
    <col min="14097" max="14097" width="6.7109375" style="25" customWidth="1"/>
    <col min="14098" max="14098" width="7.28515625" style="25" customWidth="1"/>
    <col min="14099" max="14099" width="5" style="25" customWidth="1"/>
    <col min="14100" max="14100" width="6.85546875" style="25" customWidth="1"/>
    <col min="14101" max="14101" width="8.5703125" style="25" customWidth="1"/>
    <col min="14102" max="14337" width="9.140625" style="25"/>
    <col min="14338" max="14338" width="16.7109375" style="25" customWidth="1"/>
    <col min="14339" max="14339" width="7.7109375" style="25" customWidth="1"/>
    <col min="14340" max="14340" width="4.7109375" style="25" customWidth="1"/>
    <col min="14341" max="14341" width="8.42578125" style="25" customWidth="1"/>
    <col min="14342" max="14342" width="8" style="25" customWidth="1"/>
    <col min="14343" max="14343" width="7.28515625" style="25" customWidth="1"/>
    <col min="14344" max="14344" width="7" style="25" customWidth="1"/>
    <col min="14345" max="14345" width="8.85546875" style="25" customWidth="1"/>
    <col min="14346" max="14346" width="8.28515625" style="25" customWidth="1"/>
    <col min="14347" max="14347" width="6.85546875" style="25" customWidth="1"/>
    <col min="14348" max="14348" width="8.28515625" style="25" customWidth="1"/>
    <col min="14349" max="14349" width="7" style="25" customWidth="1"/>
    <col min="14350" max="14350" width="8.140625" style="25" customWidth="1"/>
    <col min="14351" max="14351" width="7" style="25" customWidth="1"/>
    <col min="14352" max="14352" width="8.7109375" style="25" customWidth="1"/>
    <col min="14353" max="14353" width="6.7109375" style="25" customWidth="1"/>
    <col min="14354" max="14354" width="7.28515625" style="25" customWidth="1"/>
    <col min="14355" max="14355" width="5" style="25" customWidth="1"/>
    <col min="14356" max="14356" width="6.85546875" style="25" customWidth="1"/>
    <col min="14357" max="14357" width="8.5703125" style="25" customWidth="1"/>
    <col min="14358" max="14593" width="9.140625" style="25"/>
    <col min="14594" max="14594" width="16.7109375" style="25" customWidth="1"/>
    <col min="14595" max="14595" width="7.7109375" style="25" customWidth="1"/>
    <col min="14596" max="14596" width="4.7109375" style="25" customWidth="1"/>
    <col min="14597" max="14597" width="8.42578125" style="25" customWidth="1"/>
    <col min="14598" max="14598" width="8" style="25" customWidth="1"/>
    <col min="14599" max="14599" width="7.28515625" style="25" customWidth="1"/>
    <col min="14600" max="14600" width="7" style="25" customWidth="1"/>
    <col min="14601" max="14601" width="8.85546875" style="25" customWidth="1"/>
    <col min="14602" max="14602" width="8.28515625" style="25" customWidth="1"/>
    <col min="14603" max="14603" width="6.85546875" style="25" customWidth="1"/>
    <col min="14604" max="14604" width="8.28515625" style="25" customWidth="1"/>
    <col min="14605" max="14605" width="7" style="25" customWidth="1"/>
    <col min="14606" max="14606" width="8.140625" style="25" customWidth="1"/>
    <col min="14607" max="14607" width="7" style="25" customWidth="1"/>
    <col min="14608" max="14608" width="8.7109375" style="25" customWidth="1"/>
    <col min="14609" max="14609" width="6.7109375" style="25" customWidth="1"/>
    <col min="14610" max="14610" width="7.28515625" style="25" customWidth="1"/>
    <col min="14611" max="14611" width="5" style="25" customWidth="1"/>
    <col min="14612" max="14612" width="6.85546875" style="25" customWidth="1"/>
    <col min="14613" max="14613" width="8.5703125" style="25" customWidth="1"/>
    <col min="14614" max="14849" width="9.140625" style="25"/>
    <col min="14850" max="14850" width="16.7109375" style="25" customWidth="1"/>
    <col min="14851" max="14851" width="7.7109375" style="25" customWidth="1"/>
    <col min="14852" max="14852" width="4.7109375" style="25" customWidth="1"/>
    <col min="14853" max="14853" width="8.42578125" style="25" customWidth="1"/>
    <col min="14854" max="14854" width="8" style="25" customWidth="1"/>
    <col min="14855" max="14855" width="7.28515625" style="25" customWidth="1"/>
    <col min="14856" max="14856" width="7" style="25" customWidth="1"/>
    <col min="14857" max="14857" width="8.85546875" style="25" customWidth="1"/>
    <col min="14858" max="14858" width="8.28515625" style="25" customWidth="1"/>
    <col min="14859" max="14859" width="6.85546875" style="25" customWidth="1"/>
    <col min="14860" max="14860" width="8.28515625" style="25" customWidth="1"/>
    <col min="14861" max="14861" width="7" style="25" customWidth="1"/>
    <col min="14862" max="14862" width="8.140625" style="25" customWidth="1"/>
    <col min="14863" max="14863" width="7" style="25" customWidth="1"/>
    <col min="14864" max="14864" width="8.7109375" style="25" customWidth="1"/>
    <col min="14865" max="14865" width="6.7109375" style="25" customWidth="1"/>
    <col min="14866" max="14866" width="7.28515625" style="25" customWidth="1"/>
    <col min="14867" max="14867" width="5" style="25" customWidth="1"/>
    <col min="14868" max="14868" width="6.85546875" style="25" customWidth="1"/>
    <col min="14869" max="14869" width="8.5703125" style="25" customWidth="1"/>
    <col min="14870" max="15105" width="9.140625" style="25"/>
    <col min="15106" max="15106" width="16.7109375" style="25" customWidth="1"/>
    <col min="15107" max="15107" width="7.7109375" style="25" customWidth="1"/>
    <col min="15108" max="15108" width="4.7109375" style="25" customWidth="1"/>
    <col min="15109" max="15109" width="8.42578125" style="25" customWidth="1"/>
    <col min="15110" max="15110" width="8" style="25" customWidth="1"/>
    <col min="15111" max="15111" width="7.28515625" style="25" customWidth="1"/>
    <col min="15112" max="15112" width="7" style="25" customWidth="1"/>
    <col min="15113" max="15113" width="8.85546875" style="25" customWidth="1"/>
    <col min="15114" max="15114" width="8.28515625" style="25" customWidth="1"/>
    <col min="15115" max="15115" width="6.85546875" style="25" customWidth="1"/>
    <col min="15116" max="15116" width="8.28515625" style="25" customWidth="1"/>
    <col min="15117" max="15117" width="7" style="25" customWidth="1"/>
    <col min="15118" max="15118" width="8.140625" style="25" customWidth="1"/>
    <col min="15119" max="15119" width="7" style="25" customWidth="1"/>
    <col min="15120" max="15120" width="8.7109375" style="25" customWidth="1"/>
    <col min="15121" max="15121" width="6.7109375" style="25" customWidth="1"/>
    <col min="15122" max="15122" width="7.28515625" style="25" customWidth="1"/>
    <col min="15123" max="15123" width="5" style="25" customWidth="1"/>
    <col min="15124" max="15124" width="6.85546875" style="25" customWidth="1"/>
    <col min="15125" max="15125" width="8.5703125" style="25" customWidth="1"/>
    <col min="15126" max="15361" width="9.140625" style="25"/>
    <col min="15362" max="15362" width="16.7109375" style="25" customWidth="1"/>
    <col min="15363" max="15363" width="7.7109375" style="25" customWidth="1"/>
    <col min="15364" max="15364" width="4.7109375" style="25" customWidth="1"/>
    <col min="15365" max="15365" width="8.42578125" style="25" customWidth="1"/>
    <col min="15366" max="15366" width="8" style="25" customWidth="1"/>
    <col min="15367" max="15367" width="7.28515625" style="25" customWidth="1"/>
    <col min="15368" max="15368" width="7" style="25" customWidth="1"/>
    <col min="15369" max="15369" width="8.85546875" style="25" customWidth="1"/>
    <col min="15370" max="15370" width="8.28515625" style="25" customWidth="1"/>
    <col min="15371" max="15371" width="6.85546875" style="25" customWidth="1"/>
    <col min="15372" max="15372" width="8.28515625" style="25" customWidth="1"/>
    <col min="15373" max="15373" width="7" style="25" customWidth="1"/>
    <col min="15374" max="15374" width="8.140625" style="25" customWidth="1"/>
    <col min="15375" max="15375" width="7" style="25" customWidth="1"/>
    <col min="15376" max="15376" width="8.7109375" style="25" customWidth="1"/>
    <col min="15377" max="15377" width="6.7109375" style="25" customWidth="1"/>
    <col min="15378" max="15378" width="7.28515625" style="25" customWidth="1"/>
    <col min="15379" max="15379" width="5" style="25" customWidth="1"/>
    <col min="15380" max="15380" width="6.85546875" style="25" customWidth="1"/>
    <col min="15381" max="15381" width="8.5703125" style="25" customWidth="1"/>
    <col min="15382" max="15617" width="9.140625" style="25"/>
    <col min="15618" max="15618" width="16.7109375" style="25" customWidth="1"/>
    <col min="15619" max="15619" width="7.7109375" style="25" customWidth="1"/>
    <col min="15620" max="15620" width="4.7109375" style="25" customWidth="1"/>
    <col min="15621" max="15621" width="8.42578125" style="25" customWidth="1"/>
    <col min="15622" max="15622" width="8" style="25" customWidth="1"/>
    <col min="15623" max="15623" width="7.28515625" style="25" customWidth="1"/>
    <col min="15624" max="15624" width="7" style="25" customWidth="1"/>
    <col min="15625" max="15625" width="8.85546875" style="25" customWidth="1"/>
    <col min="15626" max="15626" width="8.28515625" style="25" customWidth="1"/>
    <col min="15627" max="15627" width="6.85546875" style="25" customWidth="1"/>
    <col min="15628" max="15628" width="8.28515625" style="25" customWidth="1"/>
    <col min="15629" max="15629" width="7" style="25" customWidth="1"/>
    <col min="15630" max="15630" width="8.140625" style="25" customWidth="1"/>
    <col min="15631" max="15631" width="7" style="25" customWidth="1"/>
    <col min="15632" max="15632" width="8.7109375" style="25" customWidth="1"/>
    <col min="15633" max="15633" width="6.7109375" style="25" customWidth="1"/>
    <col min="15634" max="15634" width="7.28515625" style="25" customWidth="1"/>
    <col min="15635" max="15635" width="5" style="25" customWidth="1"/>
    <col min="15636" max="15636" width="6.85546875" style="25" customWidth="1"/>
    <col min="15637" max="15637" width="8.5703125" style="25" customWidth="1"/>
    <col min="15638" max="15873" width="9.140625" style="25"/>
    <col min="15874" max="15874" width="16.7109375" style="25" customWidth="1"/>
    <col min="15875" max="15875" width="7.7109375" style="25" customWidth="1"/>
    <col min="15876" max="15876" width="4.7109375" style="25" customWidth="1"/>
    <col min="15877" max="15877" width="8.42578125" style="25" customWidth="1"/>
    <col min="15878" max="15878" width="8" style="25" customWidth="1"/>
    <col min="15879" max="15879" width="7.28515625" style="25" customWidth="1"/>
    <col min="15880" max="15880" width="7" style="25" customWidth="1"/>
    <col min="15881" max="15881" width="8.85546875" style="25" customWidth="1"/>
    <col min="15882" max="15882" width="8.28515625" style="25" customWidth="1"/>
    <col min="15883" max="15883" width="6.85546875" style="25" customWidth="1"/>
    <col min="15884" max="15884" width="8.28515625" style="25" customWidth="1"/>
    <col min="15885" max="15885" width="7" style="25" customWidth="1"/>
    <col min="15886" max="15886" width="8.140625" style="25" customWidth="1"/>
    <col min="15887" max="15887" width="7" style="25" customWidth="1"/>
    <col min="15888" max="15888" width="8.7109375" style="25" customWidth="1"/>
    <col min="15889" max="15889" width="6.7109375" style="25" customWidth="1"/>
    <col min="15890" max="15890" width="7.28515625" style="25" customWidth="1"/>
    <col min="15891" max="15891" width="5" style="25" customWidth="1"/>
    <col min="15892" max="15892" width="6.85546875" style="25" customWidth="1"/>
    <col min="15893" max="15893" width="8.5703125" style="25" customWidth="1"/>
    <col min="15894" max="16129" width="9.140625" style="25"/>
    <col min="16130" max="16130" width="16.7109375" style="25" customWidth="1"/>
    <col min="16131" max="16131" width="7.7109375" style="25" customWidth="1"/>
    <col min="16132" max="16132" width="4.7109375" style="25" customWidth="1"/>
    <col min="16133" max="16133" width="8.42578125" style="25" customWidth="1"/>
    <col min="16134" max="16134" width="8" style="25" customWidth="1"/>
    <col min="16135" max="16135" width="7.28515625" style="25" customWidth="1"/>
    <col min="16136" max="16136" width="7" style="25" customWidth="1"/>
    <col min="16137" max="16137" width="8.85546875" style="25" customWidth="1"/>
    <col min="16138" max="16138" width="8.28515625" style="25" customWidth="1"/>
    <col min="16139" max="16139" width="6.85546875" style="25" customWidth="1"/>
    <col min="16140" max="16140" width="8.28515625" style="25" customWidth="1"/>
    <col min="16141" max="16141" width="7" style="25" customWidth="1"/>
    <col min="16142" max="16142" width="8.140625" style="25" customWidth="1"/>
    <col min="16143" max="16143" width="7" style="25" customWidth="1"/>
    <col min="16144" max="16144" width="8.7109375" style="25" customWidth="1"/>
    <col min="16145" max="16145" width="6.7109375" style="25" customWidth="1"/>
    <col min="16146" max="16146" width="7.28515625" style="25" customWidth="1"/>
    <col min="16147" max="16147" width="5" style="25" customWidth="1"/>
    <col min="16148" max="16148" width="6.85546875" style="25" customWidth="1"/>
    <col min="16149" max="16149" width="8.5703125" style="25" customWidth="1"/>
    <col min="16150" max="16384" width="9.140625" style="25"/>
  </cols>
  <sheetData>
    <row r="4" spans="1:29" ht="127.5" customHeight="1">
      <c r="A4" s="387" t="s">
        <v>102</v>
      </c>
      <c r="B4" s="387" t="s">
        <v>103</v>
      </c>
      <c r="C4" s="387" t="s">
        <v>104</v>
      </c>
      <c r="D4" s="387" t="s">
        <v>105</v>
      </c>
      <c r="E4" s="387" t="s">
        <v>106</v>
      </c>
      <c r="F4" s="387" t="s">
        <v>107</v>
      </c>
      <c r="G4" s="387"/>
      <c r="H4" s="387" t="s">
        <v>108</v>
      </c>
      <c r="I4" s="387" t="s">
        <v>109</v>
      </c>
      <c r="J4" s="387" t="s">
        <v>110</v>
      </c>
      <c r="K4" s="387"/>
      <c r="L4" s="387" t="s">
        <v>111</v>
      </c>
      <c r="M4" s="387"/>
      <c r="N4" s="387" t="s">
        <v>112</v>
      </c>
      <c r="O4" s="387"/>
      <c r="P4" s="387" t="s">
        <v>113</v>
      </c>
      <c r="Q4" s="387"/>
      <c r="R4" s="388" t="s">
        <v>41</v>
      </c>
      <c r="S4" s="388"/>
      <c r="T4" s="388"/>
      <c r="U4" s="387" t="s">
        <v>48</v>
      </c>
      <c r="V4" s="387" t="s">
        <v>9</v>
      </c>
    </row>
    <row r="5" spans="1:29" ht="38.25" customHeight="1">
      <c r="A5" s="387"/>
      <c r="B5" s="387"/>
      <c r="C5" s="387"/>
      <c r="D5" s="387"/>
      <c r="E5" s="387"/>
      <c r="F5" s="61" t="s">
        <v>54</v>
      </c>
      <c r="G5" s="61" t="s">
        <v>55</v>
      </c>
      <c r="H5" s="387"/>
      <c r="I5" s="387"/>
      <c r="J5" s="61" t="s">
        <v>54</v>
      </c>
      <c r="K5" s="61" t="s">
        <v>55</v>
      </c>
      <c r="L5" s="61" t="s">
        <v>54</v>
      </c>
      <c r="M5" s="61" t="s">
        <v>55</v>
      </c>
      <c r="N5" s="61" t="s">
        <v>54</v>
      </c>
      <c r="O5" s="61" t="s">
        <v>55</v>
      </c>
      <c r="P5" s="61" t="s">
        <v>54</v>
      </c>
      <c r="Q5" s="61" t="s">
        <v>55</v>
      </c>
      <c r="R5" s="61" t="s">
        <v>49</v>
      </c>
      <c r="S5" s="61" t="s">
        <v>30</v>
      </c>
      <c r="T5" s="61" t="s">
        <v>31</v>
      </c>
      <c r="U5" s="387"/>
      <c r="V5" s="387"/>
    </row>
    <row r="6" spans="1:29" ht="31.5">
      <c r="A6" s="16" t="s">
        <v>114</v>
      </c>
      <c r="B6" s="17">
        <v>1</v>
      </c>
      <c r="C6" s="17">
        <v>46</v>
      </c>
      <c r="D6" s="17">
        <v>350</v>
      </c>
      <c r="E6" s="17">
        <v>2024</v>
      </c>
      <c r="F6" s="62">
        <v>0.55000000000000004</v>
      </c>
      <c r="G6" s="62">
        <v>0.9</v>
      </c>
      <c r="H6" s="17">
        <v>0.4</v>
      </c>
      <c r="I6" s="17">
        <v>0.7</v>
      </c>
      <c r="J6" s="62">
        <v>3.1</v>
      </c>
      <c r="K6" s="17">
        <v>0.1</v>
      </c>
      <c r="L6" s="19">
        <f>C6*D6*E6/F6/1000000*B6</f>
        <v>59.24799999999999</v>
      </c>
      <c r="M6" s="19">
        <f>C6*D6*E6/G6/1000000*B6</f>
        <v>36.207111111111111</v>
      </c>
      <c r="N6" s="19">
        <f>J6*E6*H6/1000*B6</f>
        <v>2.5097600000000004</v>
      </c>
      <c r="O6" s="62">
        <f>K6*H6*E6/1000*B6</f>
        <v>8.0960000000000018E-2</v>
      </c>
      <c r="P6" s="19">
        <f>L6+N6</f>
        <v>61.75775999999999</v>
      </c>
      <c r="Q6" s="19">
        <f t="shared" ref="Q6:Q12" si="0">M6+O6</f>
        <v>36.288071111111108</v>
      </c>
      <c r="R6" s="62">
        <f>P6-Q6</f>
        <v>25.469688888888882</v>
      </c>
      <c r="S6" s="62">
        <f>R6*1.0769*0.2871</f>
        <v>7.8746672165919982</v>
      </c>
      <c r="T6" s="62">
        <f>S6*210*2.38/1000</f>
        <v>3.9357586748526807</v>
      </c>
      <c r="U6" s="62">
        <v>7</v>
      </c>
      <c r="V6" s="62">
        <f>U6/T6</f>
        <v>1.7785643323931737</v>
      </c>
      <c r="AA6" s="98"/>
      <c r="AC6" s="98"/>
    </row>
    <row r="7" spans="1:29" ht="31.5">
      <c r="A7" s="16" t="s">
        <v>115</v>
      </c>
      <c r="B7" s="17">
        <v>1</v>
      </c>
      <c r="C7" s="17">
        <v>46</v>
      </c>
      <c r="D7" s="17">
        <v>275</v>
      </c>
      <c r="E7" s="17">
        <v>2024</v>
      </c>
      <c r="F7" s="62">
        <v>0.55000000000000004</v>
      </c>
      <c r="G7" s="62">
        <v>0.9</v>
      </c>
      <c r="H7" s="17">
        <v>0.4</v>
      </c>
      <c r="I7" s="17">
        <v>0.7</v>
      </c>
      <c r="J7" s="62">
        <v>3.1</v>
      </c>
      <c r="K7" s="17">
        <v>0.1</v>
      </c>
      <c r="L7" s="19">
        <f>C7*D7*E7/F7/1000000*B7</f>
        <v>46.551999999999992</v>
      </c>
      <c r="M7" s="19">
        <f>C7*D7*E7/G7/1000000*B7</f>
        <v>28.448444444444444</v>
      </c>
      <c r="N7" s="19">
        <f>J7*E7*H7/1000*B7</f>
        <v>2.5097600000000004</v>
      </c>
      <c r="O7" s="62">
        <f>K7*H7*E7/1000*B7</f>
        <v>8.0960000000000018E-2</v>
      </c>
      <c r="P7" s="19">
        <f t="shared" ref="P7:P12" si="1">L7+N7</f>
        <v>49.061759999999992</v>
      </c>
      <c r="Q7" s="19">
        <f t="shared" si="0"/>
        <v>28.529404444444445</v>
      </c>
      <c r="R7" s="62">
        <f>P7-Q7</f>
        <v>20.532355555555547</v>
      </c>
      <c r="S7" s="62">
        <f t="shared" ref="S7:S11" si="2">R7*1.0769*0.2871</f>
        <v>6.3481524206319975</v>
      </c>
      <c r="T7" s="62">
        <f t="shared" ref="T7:T12" si="3">S7*210*2.38/1000</f>
        <v>3.1728065798318723</v>
      </c>
      <c r="U7" s="62">
        <v>5.4</v>
      </c>
      <c r="V7" s="62">
        <f>U7/T7</f>
        <v>1.70196318752155</v>
      </c>
    </row>
    <row r="8" spans="1:29" ht="31.5">
      <c r="A8" s="17" t="s">
        <v>116</v>
      </c>
      <c r="B8" s="17">
        <v>3</v>
      </c>
      <c r="C8" s="17">
        <v>46</v>
      </c>
      <c r="D8" s="17">
        <v>315</v>
      </c>
      <c r="E8" s="17">
        <v>2024</v>
      </c>
      <c r="F8" s="62">
        <v>0.6</v>
      </c>
      <c r="G8" s="62">
        <v>0.9</v>
      </c>
      <c r="H8" s="17">
        <v>0.4</v>
      </c>
      <c r="I8" s="17">
        <v>0.7</v>
      </c>
      <c r="J8" s="62">
        <v>3.1</v>
      </c>
      <c r="K8" s="17">
        <v>0.1</v>
      </c>
      <c r="L8" s="19">
        <f>C8*D8*E8/F8/1000000*B8</f>
        <v>146.6388</v>
      </c>
      <c r="M8" s="19">
        <f>C8*D8*E8/G8/1000000*B8</f>
        <v>97.759199999999993</v>
      </c>
      <c r="N8" s="19">
        <f>J8*E8*H8/1000*B8</f>
        <v>7.5292800000000017</v>
      </c>
      <c r="O8" s="62">
        <f>K8*H8*E8/1000*B8</f>
        <v>0.24288000000000004</v>
      </c>
      <c r="P8" s="19">
        <f t="shared" si="1"/>
        <v>154.16808</v>
      </c>
      <c r="Q8" s="19">
        <f t="shared" si="0"/>
        <v>98.002079999999992</v>
      </c>
      <c r="R8" s="62">
        <f>P8-Q8</f>
        <v>56.166000000000011</v>
      </c>
      <c r="S8" s="62">
        <f t="shared" si="2"/>
        <v>17.365290986340003</v>
      </c>
      <c r="T8" s="62">
        <f t="shared" si="3"/>
        <v>8.6791724349727346</v>
      </c>
      <c r="U8" s="62">
        <v>11</v>
      </c>
      <c r="V8" s="62">
        <f>U8/T8</f>
        <v>1.2674019421109193</v>
      </c>
    </row>
    <row r="9" spans="1:29" ht="31.5">
      <c r="A9" s="17" t="s">
        <v>117</v>
      </c>
      <c r="B9" s="17">
        <v>2</v>
      </c>
      <c r="C9" s="17">
        <v>46</v>
      </c>
      <c r="D9" s="17">
        <v>500</v>
      </c>
      <c r="E9" s="17">
        <v>2024</v>
      </c>
      <c r="F9" s="62">
        <v>0.6</v>
      </c>
      <c r="G9" s="62">
        <v>0.9</v>
      </c>
      <c r="H9" s="17">
        <v>0.4</v>
      </c>
      <c r="I9" s="17">
        <v>0.7</v>
      </c>
      <c r="J9" s="62">
        <v>3.1</v>
      </c>
      <c r="K9" s="17">
        <v>0.1</v>
      </c>
      <c r="L9" s="19">
        <f>C9*D9*E9/F9/1000000*B9</f>
        <v>155.17333333333335</v>
      </c>
      <c r="M9" s="19">
        <f>C9*D9*E9/G9/1000000*B9</f>
        <v>103.44888888888887</v>
      </c>
      <c r="N9" s="19">
        <f>J9*E9*H9/1000*B9</f>
        <v>5.0195200000000009</v>
      </c>
      <c r="O9" s="62">
        <f>K9*H9*E9/1000*B9</f>
        <v>0.16192000000000004</v>
      </c>
      <c r="P9" s="19">
        <f t="shared" si="1"/>
        <v>160.19285333333335</v>
      </c>
      <c r="Q9" s="19">
        <f t="shared" si="0"/>
        <v>103.61080888888887</v>
      </c>
      <c r="R9" s="62">
        <f>P9-Q9</f>
        <v>56.582044444444477</v>
      </c>
      <c r="S9" s="62">
        <f t="shared" si="2"/>
        <v>17.49392277142401</v>
      </c>
      <c r="T9" s="62">
        <f t="shared" si="3"/>
        <v>8.7434626011577201</v>
      </c>
      <c r="U9" s="62">
        <v>15</v>
      </c>
      <c r="V9" s="62">
        <f>U9/T9</f>
        <v>1.7155674684322264</v>
      </c>
    </row>
    <row r="10" spans="1:29" ht="31.5">
      <c r="A10" s="17" t="s">
        <v>118</v>
      </c>
      <c r="B10" s="17">
        <v>1</v>
      </c>
      <c r="C10" s="17">
        <v>46</v>
      </c>
      <c r="D10" s="17">
        <v>500</v>
      </c>
      <c r="E10" s="17">
        <v>2024</v>
      </c>
      <c r="F10" s="62">
        <v>0.6</v>
      </c>
      <c r="G10" s="62">
        <v>0.9</v>
      </c>
      <c r="H10" s="17">
        <v>0.4</v>
      </c>
      <c r="I10" s="17">
        <v>0.7</v>
      </c>
      <c r="J10" s="62">
        <v>3.1</v>
      </c>
      <c r="K10" s="17">
        <v>0.1</v>
      </c>
      <c r="L10" s="19">
        <f t="shared" ref="L10:L12" si="4">C10*D10*E10/F10/1000000*B10</f>
        <v>77.586666666666673</v>
      </c>
      <c r="M10" s="19">
        <f t="shared" ref="M10:M12" si="5">C10*D10*E10/G10/1000000*B10</f>
        <v>51.724444444444437</v>
      </c>
      <c r="N10" s="19">
        <f t="shared" ref="N10:N12" si="6">J10*E10*H10/1000*B10</f>
        <v>2.5097600000000004</v>
      </c>
      <c r="O10" s="62">
        <f t="shared" ref="O10:O12" si="7">K10*H10*E10/1000*B10</f>
        <v>8.0960000000000018E-2</v>
      </c>
      <c r="P10" s="19">
        <f t="shared" si="1"/>
        <v>80.096426666666673</v>
      </c>
      <c r="Q10" s="19">
        <f t="shared" si="0"/>
        <v>51.805404444444434</v>
      </c>
      <c r="R10" s="62">
        <f t="shared" ref="R10:R12" si="8">P10-Q10</f>
        <v>28.291022222222239</v>
      </c>
      <c r="S10" s="62">
        <f t="shared" si="2"/>
        <v>8.7469613857120052</v>
      </c>
      <c r="T10" s="62">
        <f t="shared" si="3"/>
        <v>4.3717313005788601</v>
      </c>
      <c r="U10" s="62">
        <v>16</v>
      </c>
      <c r="V10" s="62">
        <f t="shared" ref="V10:V13" si="9">U10/T10</f>
        <v>3.65987726598875</v>
      </c>
    </row>
    <row r="11" spans="1:29" ht="15.75" customHeight="1">
      <c r="A11" s="17" t="s">
        <v>119</v>
      </c>
      <c r="B11" s="17">
        <v>1</v>
      </c>
      <c r="C11" s="17">
        <v>46</v>
      </c>
      <c r="D11" s="17">
        <v>400</v>
      </c>
      <c r="E11" s="17">
        <v>2024</v>
      </c>
      <c r="F11" s="62">
        <v>0.6</v>
      </c>
      <c r="G11" s="62">
        <v>0.9</v>
      </c>
      <c r="H11" s="17">
        <v>0.4</v>
      </c>
      <c r="I11" s="17">
        <v>0.7</v>
      </c>
      <c r="J11" s="62">
        <v>3.1</v>
      </c>
      <c r="K11" s="17">
        <v>0.1</v>
      </c>
      <c r="L11" s="19">
        <f t="shared" si="4"/>
        <v>62.069333333333333</v>
      </c>
      <c r="M11" s="19">
        <f t="shared" si="5"/>
        <v>41.379555555555555</v>
      </c>
      <c r="N11" s="19">
        <f t="shared" si="6"/>
        <v>2.5097600000000004</v>
      </c>
      <c r="O11" s="62">
        <f t="shared" si="7"/>
        <v>8.0960000000000018E-2</v>
      </c>
      <c r="P11" s="19">
        <f t="shared" si="1"/>
        <v>64.579093333333333</v>
      </c>
      <c r="Q11" s="19">
        <f t="shared" si="0"/>
        <v>41.460515555555553</v>
      </c>
      <c r="R11" s="62">
        <f t="shared" si="8"/>
        <v>23.11857777777778</v>
      </c>
      <c r="S11" s="62">
        <f t="shared" si="2"/>
        <v>7.1477554089920012</v>
      </c>
      <c r="T11" s="62">
        <f t="shared" si="3"/>
        <v>3.5724481534142019</v>
      </c>
      <c r="U11" s="62">
        <v>5</v>
      </c>
      <c r="V11" s="62">
        <f t="shared" si="9"/>
        <v>1.3996004379297937</v>
      </c>
    </row>
    <row r="12" spans="1:29" ht="15.75" hidden="1" customHeight="1">
      <c r="A12" s="99" t="s">
        <v>120</v>
      </c>
      <c r="B12" s="99">
        <v>1</v>
      </c>
      <c r="C12" s="102">
        <v>70</v>
      </c>
      <c r="D12" s="99">
        <v>220</v>
      </c>
      <c r="E12" s="17">
        <v>2048</v>
      </c>
      <c r="F12" s="100">
        <v>0.6</v>
      </c>
      <c r="G12" s="100">
        <v>0.9</v>
      </c>
      <c r="H12" s="99">
        <v>0.4</v>
      </c>
      <c r="I12" s="99">
        <v>0.7</v>
      </c>
      <c r="J12" s="103">
        <v>5.0999999999999996</v>
      </c>
      <c r="K12" s="99">
        <v>0.1</v>
      </c>
      <c r="L12" s="101">
        <f t="shared" si="4"/>
        <v>52.565333333333335</v>
      </c>
      <c r="M12" s="101">
        <f t="shared" si="5"/>
        <v>35.04355555555555</v>
      </c>
      <c r="N12" s="101">
        <f t="shared" si="6"/>
        <v>4.1779200000000003</v>
      </c>
      <c r="O12" s="100">
        <f t="shared" si="7"/>
        <v>8.1920000000000021E-2</v>
      </c>
      <c r="P12" s="101">
        <f t="shared" si="1"/>
        <v>56.743253333333335</v>
      </c>
      <c r="Q12" s="101">
        <f t="shared" si="0"/>
        <v>35.125475555555546</v>
      </c>
      <c r="R12" s="100">
        <f t="shared" si="8"/>
        <v>21.617777777777789</v>
      </c>
      <c r="S12" s="100">
        <f t="shared" ref="S12" si="10">R12*1.0885*0.2818</f>
        <v>6.6310220231111154</v>
      </c>
      <c r="T12" s="62">
        <f t="shared" si="3"/>
        <v>3.3141848071509354</v>
      </c>
      <c r="U12" s="100">
        <v>67</v>
      </c>
      <c r="V12" s="62">
        <f t="shared" si="9"/>
        <v>20.216132744147441</v>
      </c>
    </row>
    <row r="13" spans="1:29" ht="15.75" customHeight="1">
      <c r="R13" s="63">
        <f>SUM(R6:R11)</f>
        <v>210.15968888888892</v>
      </c>
      <c r="S13" s="63">
        <f t="shared" ref="S13:U13" si="11">SUM(S6:S11)</f>
        <v>64.976750189692012</v>
      </c>
      <c r="T13" s="63">
        <f t="shared" si="11"/>
        <v>32.475379744808066</v>
      </c>
      <c r="U13" s="63">
        <f t="shared" si="11"/>
        <v>59.4</v>
      </c>
      <c r="V13" s="62">
        <f t="shared" si="9"/>
        <v>1.8290779189270743</v>
      </c>
    </row>
    <row r="14" spans="1:29" ht="15.75" customHeight="1"/>
    <row r="15" spans="1:29" ht="15.75" customHeight="1"/>
    <row r="16" spans="1:29" ht="15.75" customHeight="1"/>
    <row r="17" spans="3:22" ht="15.75" customHeight="1"/>
    <row r="18" spans="3:22" ht="15.75" customHeight="1" thickBot="1">
      <c r="C18" s="219" t="s">
        <v>302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3:22" ht="409.6" customHeight="1" thickBot="1">
      <c r="C19" s="385" t="s">
        <v>303</v>
      </c>
      <c r="D19" s="385" t="s">
        <v>304</v>
      </c>
      <c r="E19" s="385" t="s">
        <v>305</v>
      </c>
      <c r="F19" s="392" t="s">
        <v>129</v>
      </c>
      <c r="G19" s="393"/>
      <c r="H19" s="385" t="s">
        <v>306</v>
      </c>
      <c r="I19" s="385" t="s">
        <v>130</v>
      </c>
      <c r="J19" s="385" t="s">
        <v>307</v>
      </c>
      <c r="K19" s="385" t="s">
        <v>308</v>
      </c>
      <c r="L19" s="385" t="s">
        <v>309</v>
      </c>
      <c r="M19" s="385" t="s">
        <v>310</v>
      </c>
      <c r="N19" s="385" t="s">
        <v>311</v>
      </c>
      <c r="O19" s="392" t="s">
        <v>312</v>
      </c>
      <c r="P19" s="393"/>
      <c r="Q19" s="385" t="s">
        <v>313</v>
      </c>
      <c r="R19" s="394" t="s">
        <v>41</v>
      </c>
      <c r="S19" s="395"/>
      <c r="T19" s="396"/>
      <c r="U19" s="385" t="s">
        <v>48</v>
      </c>
      <c r="V19" s="385" t="s">
        <v>9</v>
      </c>
    </row>
    <row r="20" spans="3:22" ht="15.75" customHeight="1" thickBot="1">
      <c r="C20" s="386"/>
      <c r="D20" s="386"/>
      <c r="E20" s="386"/>
      <c r="F20" s="220" t="s">
        <v>56</v>
      </c>
      <c r="G20" s="220" t="s">
        <v>134</v>
      </c>
      <c r="H20" s="386"/>
      <c r="I20" s="386"/>
      <c r="J20" s="386"/>
      <c r="K20" s="386"/>
      <c r="L20" s="386"/>
      <c r="M20" s="386"/>
      <c r="N20" s="386"/>
      <c r="O20" s="220" t="s">
        <v>314</v>
      </c>
      <c r="P20" s="218" t="s">
        <v>315</v>
      </c>
      <c r="Q20" s="386"/>
      <c r="R20" s="220" t="s">
        <v>24</v>
      </c>
      <c r="S20" s="220" t="s">
        <v>30</v>
      </c>
      <c r="T20" s="220" t="s">
        <v>31</v>
      </c>
      <c r="U20" s="386"/>
      <c r="V20" s="386"/>
    </row>
    <row r="21" spans="3:22" ht="15.75" customHeight="1" thickBot="1">
      <c r="C21" s="389" t="s">
        <v>316</v>
      </c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1"/>
    </row>
    <row r="22" spans="3:22" ht="15.75" customHeight="1" thickBot="1">
      <c r="C22" s="221">
        <v>20</v>
      </c>
      <c r="D22" s="222">
        <v>0.39</v>
      </c>
      <c r="E22" s="223">
        <v>1</v>
      </c>
      <c r="F22" s="223">
        <v>15</v>
      </c>
      <c r="G22" s="223">
        <v>-1.6</v>
      </c>
      <c r="H22" s="223">
        <v>1</v>
      </c>
      <c r="I22" s="223">
        <v>199</v>
      </c>
      <c r="J22" s="222">
        <v>1</v>
      </c>
      <c r="K22" s="222">
        <v>1</v>
      </c>
      <c r="L22" s="222">
        <v>0.56000000000000005</v>
      </c>
      <c r="M22" s="222">
        <v>10</v>
      </c>
      <c r="N22" s="223">
        <v>4.0999999999999996</v>
      </c>
      <c r="O22" s="223">
        <v>0.8</v>
      </c>
      <c r="P22" s="223">
        <v>-0.6</v>
      </c>
      <c r="Q22" s="223">
        <v>0.65</v>
      </c>
      <c r="R22" s="223">
        <v>3.3</v>
      </c>
      <c r="S22" s="223">
        <v>0.57999999999999996</v>
      </c>
      <c r="T22" s="223">
        <v>0.3</v>
      </c>
      <c r="U22" s="223">
        <v>4.7</v>
      </c>
      <c r="V22" s="223">
        <v>14.4</v>
      </c>
    </row>
    <row r="23" spans="3:22" ht="15.75" customHeight="1">
      <c r="C23" s="219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3:22" ht="15.75" customHeight="1"/>
    <row r="25" spans="3:22" ht="15.75" customHeight="1"/>
    <row r="26" spans="3:22" ht="15.75" customHeight="1"/>
    <row r="27" spans="3:22" ht="15.75" customHeight="1"/>
    <row r="28" spans="3:22" ht="15.75" customHeight="1"/>
    <row r="29" spans="3:22" ht="15.75" customHeight="1"/>
    <row r="30" spans="3:22" ht="15.75" customHeight="1"/>
    <row r="31" spans="3:22" ht="15.75" customHeight="1"/>
    <row r="32" spans="3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</sheetData>
  <mergeCells count="32">
    <mergeCell ref="C21:V21"/>
    <mergeCell ref="N19:N20"/>
    <mergeCell ref="O19:P19"/>
    <mergeCell ref="Q19:Q20"/>
    <mergeCell ref="R19:T19"/>
    <mergeCell ref="U19:U20"/>
    <mergeCell ref="I19:I20"/>
    <mergeCell ref="J19:J20"/>
    <mergeCell ref="K19:K20"/>
    <mergeCell ref="L19:L20"/>
    <mergeCell ref="M19:M20"/>
    <mergeCell ref="C19:C20"/>
    <mergeCell ref="D19:D20"/>
    <mergeCell ref="E19:E20"/>
    <mergeCell ref="F19:G19"/>
    <mergeCell ref="H19:H20"/>
    <mergeCell ref="V19:V20"/>
    <mergeCell ref="F4:G4"/>
    <mergeCell ref="A4:A5"/>
    <mergeCell ref="B4:B5"/>
    <mergeCell ref="C4:C5"/>
    <mergeCell ref="D4:D5"/>
    <mergeCell ref="E4:E5"/>
    <mergeCell ref="R4:T4"/>
    <mergeCell ref="U4:U5"/>
    <mergeCell ref="V4:V5"/>
    <mergeCell ref="H4:H5"/>
    <mergeCell ref="I4:I5"/>
    <mergeCell ref="J4:K4"/>
    <mergeCell ref="L4:M4"/>
    <mergeCell ref="N4:O4"/>
    <mergeCell ref="P4:Q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V149"/>
  <sheetViews>
    <sheetView topLeftCell="A4" zoomScale="90" zoomScaleNormal="90" workbookViewId="0">
      <selection activeCell="A4" sqref="A4:O8"/>
    </sheetView>
  </sheetViews>
  <sheetFormatPr defaultRowHeight="15.75"/>
  <cols>
    <col min="1" max="1" width="6.5703125" style="25" customWidth="1"/>
    <col min="2" max="2" width="24.28515625" style="25" customWidth="1"/>
    <col min="3" max="3" width="6.42578125" style="25" customWidth="1"/>
    <col min="4" max="4" width="6.5703125" style="25" customWidth="1"/>
    <col min="5" max="5" width="4.7109375" style="25" customWidth="1"/>
    <col min="6" max="6" width="5.7109375" style="25" customWidth="1"/>
    <col min="7" max="7" width="4.85546875" style="25" customWidth="1"/>
    <col min="8" max="8" width="4.7109375" style="25" customWidth="1"/>
    <col min="9" max="9" width="8.42578125" style="25" customWidth="1"/>
    <col min="10" max="10" width="7" style="25" customWidth="1"/>
    <col min="11" max="11" width="5.85546875" style="25" customWidth="1"/>
    <col min="12" max="12" width="6.28515625" style="25" customWidth="1"/>
    <col min="13" max="13" width="6.85546875" style="25" customWidth="1"/>
    <col min="14" max="14" width="5.5703125" style="25" customWidth="1"/>
    <col min="15" max="15" width="10.140625" style="25" customWidth="1"/>
    <col min="16" max="250" width="9.140625" style="25"/>
    <col min="251" max="251" width="16.7109375" style="25" customWidth="1"/>
    <col min="252" max="252" width="7.7109375" style="25" customWidth="1"/>
    <col min="253" max="253" width="4.7109375" style="25" customWidth="1"/>
    <col min="254" max="254" width="8.42578125" style="25" customWidth="1"/>
    <col min="255" max="255" width="8" style="25" customWidth="1"/>
    <col min="256" max="256" width="7.28515625" style="25" customWidth="1"/>
    <col min="257" max="257" width="7" style="25" customWidth="1"/>
    <col min="258" max="258" width="8.85546875" style="25" customWidth="1"/>
    <col min="259" max="259" width="8.28515625" style="25" customWidth="1"/>
    <col min="260" max="260" width="6.85546875" style="25" customWidth="1"/>
    <col min="261" max="261" width="8.28515625" style="25" customWidth="1"/>
    <col min="262" max="262" width="7" style="25" customWidth="1"/>
    <col min="263" max="263" width="8.140625" style="25" customWidth="1"/>
    <col min="264" max="264" width="7" style="25" customWidth="1"/>
    <col min="265" max="265" width="8.7109375" style="25" customWidth="1"/>
    <col min="266" max="266" width="6.7109375" style="25" customWidth="1"/>
    <col min="267" max="267" width="7.28515625" style="25" customWidth="1"/>
    <col min="268" max="268" width="5" style="25" customWidth="1"/>
    <col min="269" max="269" width="6.85546875" style="25" customWidth="1"/>
    <col min="270" max="270" width="8.5703125" style="25" customWidth="1"/>
    <col min="271" max="506" width="9.140625" style="25"/>
    <col min="507" max="507" width="16.7109375" style="25" customWidth="1"/>
    <col min="508" max="508" width="7.7109375" style="25" customWidth="1"/>
    <col min="509" max="509" width="4.7109375" style="25" customWidth="1"/>
    <col min="510" max="510" width="8.42578125" style="25" customWidth="1"/>
    <col min="511" max="511" width="8" style="25" customWidth="1"/>
    <col min="512" max="512" width="7.28515625" style="25" customWidth="1"/>
    <col min="513" max="513" width="7" style="25" customWidth="1"/>
    <col min="514" max="514" width="8.85546875" style="25" customWidth="1"/>
    <col min="515" max="515" width="8.28515625" style="25" customWidth="1"/>
    <col min="516" max="516" width="6.85546875" style="25" customWidth="1"/>
    <col min="517" max="517" width="8.28515625" style="25" customWidth="1"/>
    <col min="518" max="518" width="7" style="25" customWidth="1"/>
    <col min="519" max="519" width="8.140625" style="25" customWidth="1"/>
    <col min="520" max="520" width="7" style="25" customWidth="1"/>
    <col min="521" max="521" width="8.7109375" style="25" customWidth="1"/>
    <col min="522" max="522" width="6.7109375" style="25" customWidth="1"/>
    <col min="523" max="523" width="7.28515625" style="25" customWidth="1"/>
    <col min="524" max="524" width="5" style="25" customWidth="1"/>
    <col min="525" max="525" width="6.85546875" style="25" customWidth="1"/>
    <col min="526" max="526" width="8.5703125" style="25" customWidth="1"/>
    <col min="527" max="762" width="9.140625" style="25"/>
    <col min="763" max="763" width="16.7109375" style="25" customWidth="1"/>
    <col min="764" max="764" width="7.7109375" style="25" customWidth="1"/>
    <col min="765" max="765" width="4.7109375" style="25" customWidth="1"/>
    <col min="766" max="766" width="8.42578125" style="25" customWidth="1"/>
    <col min="767" max="767" width="8" style="25" customWidth="1"/>
    <col min="768" max="768" width="7.28515625" style="25" customWidth="1"/>
    <col min="769" max="769" width="7" style="25" customWidth="1"/>
    <col min="770" max="770" width="8.85546875" style="25" customWidth="1"/>
    <col min="771" max="771" width="8.28515625" style="25" customWidth="1"/>
    <col min="772" max="772" width="6.85546875" style="25" customWidth="1"/>
    <col min="773" max="773" width="8.28515625" style="25" customWidth="1"/>
    <col min="774" max="774" width="7" style="25" customWidth="1"/>
    <col min="775" max="775" width="8.140625" style="25" customWidth="1"/>
    <col min="776" max="776" width="7" style="25" customWidth="1"/>
    <col min="777" max="777" width="8.7109375" style="25" customWidth="1"/>
    <col min="778" max="778" width="6.7109375" style="25" customWidth="1"/>
    <col min="779" max="779" width="7.28515625" style="25" customWidth="1"/>
    <col min="780" max="780" width="5" style="25" customWidth="1"/>
    <col min="781" max="781" width="6.85546875" style="25" customWidth="1"/>
    <col min="782" max="782" width="8.5703125" style="25" customWidth="1"/>
    <col min="783" max="1018" width="9.140625" style="25"/>
    <col min="1019" max="1019" width="16.7109375" style="25" customWidth="1"/>
    <col min="1020" max="1020" width="7.7109375" style="25" customWidth="1"/>
    <col min="1021" max="1021" width="4.7109375" style="25" customWidth="1"/>
    <col min="1022" max="1022" width="8.42578125" style="25" customWidth="1"/>
    <col min="1023" max="1023" width="8" style="25" customWidth="1"/>
    <col min="1024" max="1024" width="7.28515625" style="25" customWidth="1"/>
    <col min="1025" max="1025" width="7" style="25" customWidth="1"/>
    <col min="1026" max="1026" width="8.85546875" style="25" customWidth="1"/>
    <col min="1027" max="1027" width="8.28515625" style="25" customWidth="1"/>
    <col min="1028" max="1028" width="6.85546875" style="25" customWidth="1"/>
    <col min="1029" max="1029" width="8.28515625" style="25" customWidth="1"/>
    <col min="1030" max="1030" width="7" style="25" customWidth="1"/>
    <col min="1031" max="1031" width="8.140625" style="25" customWidth="1"/>
    <col min="1032" max="1032" width="7" style="25" customWidth="1"/>
    <col min="1033" max="1033" width="8.7109375" style="25" customWidth="1"/>
    <col min="1034" max="1034" width="6.7109375" style="25" customWidth="1"/>
    <col min="1035" max="1035" width="7.28515625" style="25" customWidth="1"/>
    <col min="1036" max="1036" width="5" style="25" customWidth="1"/>
    <col min="1037" max="1037" width="6.85546875" style="25" customWidth="1"/>
    <col min="1038" max="1038" width="8.5703125" style="25" customWidth="1"/>
    <col min="1039" max="1274" width="9.140625" style="25"/>
    <col min="1275" max="1275" width="16.7109375" style="25" customWidth="1"/>
    <col min="1276" max="1276" width="7.7109375" style="25" customWidth="1"/>
    <col min="1277" max="1277" width="4.7109375" style="25" customWidth="1"/>
    <col min="1278" max="1278" width="8.42578125" style="25" customWidth="1"/>
    <col min="1279" max="1279" width="8" style="25" customWidth="1"/>
    <col min="1280" max="1280" width="7.28515625" style="25" customWidth="1"/>
    <col min="1281" max="1281" width="7" style="25" customWidth="1"/>
    <col min="1282" max="1282" width="8.85546875" style="25" customWidth="1"/>
    <col min="1283" max="1283" width="8.28515625" style="25" customWidth="1"/>
    <col min="1284" max="1284" width="6.85546875" style="25" customWidth="1"/>
    <col min="1285" max="1285" width="8.28515625" style="25" customWidth="1"/>
    <col min="1286" max="1286" width="7" style="25" customWidth="1"/>
    <col min="1287" max="1287" width="8.140625" style="25" customWidth="1"/>
    <col min="1288" max="1288" width="7" style="25" customWidth="1"/>
    <col min="1289" max="1289" width="8.7109375" style="25" customWidth="1"/>
    <col min="1290" max="1290" width="6.7109375" style="25" customWidth="1"/>
    <col min="1291" max="1291" width="7.28515625" style="25" customWidth="1"/>
    <col min="1292" max="1292" width="5" style="25" customWidth="1"/>
    <col min="1293" max="1293" width="6.85546875" style="25" customWidth="1"/>
    <col min="1294" max="1294" width="8.5703125" style="25" customWidth="1"/>
    <col min="1295" max="1530" width="9.140625" style="25"/>
    <col min="1531" max="1531" width="16.7109375" style="25" customWidth="1"/>
    <col min="1532" max="1532" width="7.7109375" style="25" customWidth="1"/>
    <col min="1533" max="1533" width="4.7109375" style="25" customWidth="1"/>
    <col min="1534" max="1534" width="8.42578125" style="25" customWidth="1"/>
    <col min="1535" max="1535" width="8" style="25" customWidth="1"/>
    <col min="1536" max="1536" width="7.28515625" style="25" customWidth="1"/>
    <col min="1537" max="1537" width="7" style="25" customWidth="1"/>
    <col min="1538" max="1538" width="8.85546875" style="25" customWidth="1"/>
    <col min="1539" max="1539" width="8.28515625" style="25" customWidth="1"/>
    <col min="1540" max="1540" width="6.85546875" style="25" customWidth="1"/>
    <col min="1541" max="1541" width="8.28515625" style="25" customWidth="1"/>
    <col min="1542" max="1542" width="7" style="25" customWidth="1"/>
    <col min="1543" max="1543" width="8.140625" style="25" customWidth="1"/>
    <col min="1544" max="1544" width="7" style="25" customWidth="1"/>
    <col min="1545" max="1545" width="8.7109375" style="25" customWidth="1"/>
    <col min="1546" max="1546" width="6.7109375" style="25" customWidth="1"/>
    <col min="1547" max="1547" width="7.28515625" style="25" customWidth="1"/>
    <col min="1548" max="1548" width="5" style="25" customWidth="1"/>
    <col min="1549" max="1549" width="6.85546875" style="25" customWidth="1"/>
    <col min="1550" max="1550" width="8.5703125" style="25" customWidth="1"/>
    <col min="1551" max="1786" width="9.140625" style="25"/>
    <col min="1787" max="1787" width="16.7109375" style="25" customWidth="1"/>
    <col min="1788" max="1788" width="7.7109375" style="25" customWidth="1"/>
    <col min="1789" max="1789" width="4.7109375" style="25" customWidth="1"/>
    <col min="1790" max="1790" width="8.42578125" style="25" customWidth="1"/>
    <col min="1791" max="1791" width="8" style="25" customWidth="1"/>
    <col min="1792" max="1792" width="7.28515625" style="25" customWidth="1"/>
    <col min="1793" max="1793" width="7" style="25" customWidth="1"/>
    <col min="1794" max="1794" width="8.85546875" style="25" customWidth="1"/>
    <col min="1795" max="1795" width="8.28515625" style="25" customWidth="1"/>
    <col min="1796" max="1796" width="6.85546875" style="25" customWidth="1"/>
    <col min="1797" max="1797" width="8.28515625" style="25" customWidth="1"/>
    <col min="1798" max="1798" width="7" style="25" customWidth="1"/>
    <col min="1799" max="1799" width="8.140625" style="25" customWidth="1"/>
    <col min="1800" max="1800" width="7" style="25" customWidth="1"/>
    <col min="1801" max="1801" width="8.7109375" style="25" customWidth="1"/>
    <col min="1802" max="1802" width="6.7109375" style="25" customWidth="1"/>
    <col min="1803" max="1803" width="7.28515625" style="25" customWidth="1"/>
    <col min="1804" max="1804" width="5" style="25" customWidth="1"/>
    <col min="1805" max="1805" width="6.85546875" style="25" customWidth="1"/>
    <col min="1806" max="1806" width="8.5703125" style="25" customWidth="1"/>
    <col min="1807" max="2042" width="9.140625" style="25"/>
    <col min="2043" max="2043" width="16.7109375" style="25" customWidth="1"/>
    <col min="2044" max="2044" width="7.7109375" style="25" customWidth="1"/>
    <col min="2045" max="2045" width="4.7109375" style="25" customWidth="1"/>
    <col min="2046" max="2046" width="8.42578125" style="25" customWidth="1"/>
    <col min="2047" max="2047" width="8" style="25" customWidth="1"/>
    <col min="2048" max="2048" width="7.28515625" style="25" customWidth="1"/>
    <col min="2049" max="2049" width="7" style="25" customWidth="1"/>
    <col min="2050" max="2050" width="8.85546875" style="25" customWidth="1"/>
    <col min="2051" max="2051" width="8.28515625" style="25" customWidth="1"/>
    <col min="2052" max="2052" width="6.85546875" style="25" customWidth="1"/>
    <col min="2053" max="2053" width="8.28515625" style="25" customWidth="1"/>
    <col min="2054" max="2054" width="7" style="25" customWidth="1"/>
    <col min="2055" max="2055" width="8.140625" style="25" customWidth="1"/>
    <col min="2056" max="2056" width="7" style="25" customWidth="1"/>
    <col min="2057" max="2057" width="8.7109375" style="25" customWidth="1"/>
    <col min="2058" max="2058" width="6.7109375" style="25" customWidth="1"/>
    <col min="2059" max="2059" width="7.28515625" style="25" customWidth="1"/>
    <col min="2060" max="2060" width="5" style="25" customWidth="1"/>
    <col min="2061" max="2061" width="6.85546875" style="25" customWidth="1"/>
    <col min="2062" max="2062" width="8.5703125" style="25" customWidth="1"/>
    <col min="2063" max="2298" width="9.140625" style="25"/>
    <col min="2299" max="2299" width="16.7109375" style="25" customWidth="1"/>
    <col min="2300" max="2300" width="7.7109375" style="25" customWidth="1"/>
    <col min="2301" max="2301" width="4.7109375" style="25" customWidth="1"/>
    <col min="2302" max="2302" width="8.42578125" style="25" customWidth="1"/>
    <col min="2303" max="2303" width="8" style="25" customWidth="1"/>
    <col min="2304" max="2304" width="7.28515625" style="25" customWidth="1"/>
    <col min="2305" max="2305" width="7" style="25" customWidth="1"/>
    <col min="2306" max="2306" width="8.85546875" style="25" customWidth="1"/>
    <col min="2307" max="2307" width="8.28515625" style="25" customWidth="1"/>
    <col min="2308" max="2308" width="6.85546875" style="25" customWidth="1"/>
    <col min="2309" max="2309" width="8.28515625" style="25" customWidth="1"/>
    <col min="2310" max="2310" width="7" style="25" customWidth="1"/>
    <col min="2311" max="2311" width="8.140625" style="25" customWidth="1"/>
    <col min="2312" max="2312" width="7" style="25" customWidth="1"/>
    <col min="2313" max="2313" width="8.7109375" style="25" customWidth="1"/>
    <col min="2314" max="2314" width="6.7109375" style="25" customWidth="1"/>
    <col min="2315" max="2315" width="7.28515625" style="25" customWidth="1"/>
    <col min="2316" max="2316" width="5" style="25" customWidth="1"/>
    <col min="2317" max="2317" width="6.85546875" style="25" customWidth="1"/>
    <col min="2318" max="2318" width="8.5703125" style="25" customWidth="1"/>
    <col min="2319" max="2554" width="9.140625" style="25"/>
    <col min="2555" max="2555" width="16.7109375" style="25" customWidth="1"/>
    <col min="2556" max="2556" width="7.7109375" style="25" customWidth="1"/>
    <col min="2557" max="2557" width="4.7109375" style="25" customWidth="1"/>
    <col min="2558" max="2558" width="8.42578125" style="25" customWidth="1"/>
    <col min="2559" max="2559" width="8" style="25" customWidth="1"/>
    <col min="2560" max="2560" width="7.28515625" style="25" customWidth="1"/>
    <col min="2561" max="2561" width="7" style="25" customWidth="1"/>
    <col min="2562" max="2562" width="8.85546875" style="25" customWidth="1"/>
    <col min="2563" max="2563" width="8.28515625" style="25" customWidth="1"/>
    <col min="2564" max="2564" width="6.85546875" style="25" customWidth="1"/>
    <col min="2565" max="2565" width="8.28515625" style="25" customWidth="1"/>
    <col min="2566" max="2566" width="7" style="25" customWidth="1"/>
    <col min="2567" max="2567" width="8.140625" style="25" customWidth="1"/>
    <col min="2568" max="2568" width="7" style="25" customWidth="1"/>
    <col min="2569" max="2569" width="8.7109375" style="25" customWidth="1"/>
    <col min="2570" max="2570" width="6.7109375" style="25" customWidth="1"/>
    <col min="2571" max="2571" width="7.28515625" style="25" customWidth="1"/>
    <col min="2572" max="2572" width="5" style="25" customWidth="1"/>
    <col min="2573" max="2573" width="6.85546875" style="25" customWidth="1"/>
    <col min="2574" max="2574" width="8.5703125" style="25" customWidth="1"/>
    <col min="2575" max="2810" width="9.140625" style="25"/>
    <col min="2811" max="2811" width="16.7109375" style="25" customWidth="1"/>
    <col min="2812" max="2812" width="7.7109375" style="25" customWidth="1"/>
    <col min="2813" max="2813" width="4.7109375" style="25" customWidth="1"/>
    <col min="2814" max="2814" width="8.42578125" style="25" customWidth="1"/>
    <col min="2815" max="2815" width="8" style="25" customWidth="1"/>
    <col min="2816" max="2816" width="7.28515625" style="25" customWidth="1"/>
    <col min="2817" max="2817" width="7" style="25" customWidth="1"/>
    <col min="2818" max="2818" width="8.85546875" style="25" customWidth="1"/>
    <col min="2819" max="2819" width="8.28515625" style="25" customWidth="1"/>
    <col min="2820" max="2820" width="6.85546875" style="25" customWidth="1"/>
    <col min="2821" max="2821" width="8.28515625" style="25" customWidth="1"/>
    <col min="2822" max="2822" width="7" style="25" customWidth="1"/>
    <col min="2823" max="2823" width="8.140625" style="25" customWidth="1"/>
    <col min="2824" max="2824" width="7" style="25" customWidth="1"/>
    <col min="2825" max="2825" width="8.7109375" style="25" customWidth="1"/>
    <col min="2826" max="2826" width="6.7109375" style="25" customWidth="1"/>
    <col min="2827" max="2827" width="7.28515625" style="25" customWidth="1"/>
    <col min="2828" max="2828" width="5" style="25" customWidth="1"/>
    <col min="2829" max="2829" width="6.85546875" style="25" customWidth="1"/>
    <col min="2830" max="2830" width="8.5703125" style="25" customWidth="1"/>
    <col min="2831" max="3066" width="9.140625" style="25"/>
    <col min="3067" max="3067" width="16.7109375" style="25" customWidth="1"/>
    <col min="3068" max="3068" width="7.7109375" style="25" customWidth="1"/>
    <col min="3069" max="3069" width="4.7109375" style="25" customWidth="1"/>
    <col min="3070" max="3070" width="8.42578125" style="25" customWidth="1"/>
    <col min="3071" max="3071" width="8" style="25" customWidth="1"/>
    <col min="3072" max="3072" width="7.28515625" style="25" customWidth="1"/>
    <col min="3073" max="3073" width="7" style="25" customWidth="1"/>
    <col min="3074" max="3074" width="8.85546875" style="25" customWidth="1"/>
    <col min="3075" max="3075" width="8.28515625" style="25" customWidth="1"/>
    <col min="3076" max="3076" width="6.85546875" style="25" customWidth="1"/>
    <col min="3077" max="3077" width="8.28515625" style="25" customWidth="1"/>
    <col min="3078" max="3078" width="7" style="25" customWidth="1"/>
    <col min="3079" max="3079" width="8.140625" style="25" customWidth="1"/>
    <col min="3080" max="3080" width="7" style="25" customWidth="1"/>
    <col min="3081" max="3081" width="8.7109375" style="25" customWidth="1"/>
    <col min="3082" max="3082" width="6.7109375" style="25" customWidth="1"/>
    <col min="3083" max="3083" width="7.28515625" style="25" customWidth="1"/>
    <col min="3084" max="3084" width="5" style="25" customWidth="1"/>
    <col min="3085" max="3085" width="6.85546875" style="25" customWidth="1"/>
    <col min="3086" max="3086" width="8.5703125" style="25" customWidth="1"/>
    <col min="3087" max="3322" width="9.140625" style="25"/>
    <col min="3323" max="3323" width="16.7109375" style="25" customWidth="1"/>
    <col min="3324" max="3324" width="7.7109375" style="25" customWidth="1"/>
    <col min="3325" max="3325" width="4.7109375" style="25" customWidth="1"/>
    <col min="3326" max="3326" width="8.42578125" style="25" customWidth="1"/>
    <col min="3327" max="3327" width="8" style="25" customWidth="1"/>
    <col min="3328" max="3328" width="7.28515625" style="25" customWidth="1"/>
    <col min="3329" max="3329" width="7" style="25" customWidth="1"/>
    <col min="3330" max="3330" width="8.85546875" style="25" customWidth="1"/>
    <col min="3331" max="3331" width="8.28515625" style="25" customWidth="1"/>
    <col min="3332" max="3332" width="6.85546875" style="25" customWidth="1"/>
    <col min="3333" max="3333" width="8.28515625" style="25" customWidth="1"/>
    <col min="3334" max="3334" width="7" style="25" customWidth="1"/>
    <col min="3335" max="3335" width="8.140625" style="25" customWidth="1"/>
    <col min="3336" max="3336" width="7" style="25" customWidth="1"/>
    <col min="3337" max="3337" width="8.7109375" style="25" customWidth="1"/>
    <col min="3338" max="3338" width="6.7109375" style="25" customWidth="1"/>
    <col min="3339" max="3339" width="7.28515625" style="25" customWidth="1"/>
    <col min="3340" max="3340" width="5" style="25" customWidth="1"/>
    <col min="3341" max="3341" width="6.85546875" style="25" customWidth="1"/>
    <col min="3342" max="3342" width="8.5703125" style="25" customWidth="1"/>
    <col min="3343" max="3578" width="9.140625" style="25"/>
    <col min="3579" max="3579" width="16.7109375" style="25" customWidth="1"/>
    <col min="3580" max="3580" width="7.7109375" style="25" customWidth="1"/>
    <col min="3581" max="3581" width="4.7109375" style="25" customWidth="1"/>
    <col min="3582" max="3582" width="8.42578125" style="25" customWidth="1"/>
    <col min="3583" max="3583" width="8" style="25" customWidth="1"/>
    <col min="3584" max="3584" width="7.28515625" style="25" customWidth="1"/>
    <col min="3585" max="3585" width="7" style="25" customWidth="1"/>
    <col min="3586" max="3586" width="8.85546875" style="25" customWidth="1"/>
    <col min="3587" max="3587" width="8.28515625" style="25" customWidth="1"/>
    <col min="3588" max="3588" width="6.85546875" style="25" customWidth="1"/>
    <col min="3589" max="3589" width="8.28515625" style="25" customWidth="1"/>
    <col min="3590" max="3590" width="7" style="25" customWidth="1"/>
    <col min="3591" max="3591" width="8.140625" style="25" customWidth="1"/>
    <col min="3592" max="3592" width="7" style="25" customWidth="1"/>
    <col min="3593" max="3593" width="8.7109375" style="25" customWidth="1"/>
    <col min="3594" max="3594" width="6.7109375" style="25" customWidth="1"/>
    <col min="3595" max="3595" width="7.28515625" style="25" customWidth="1"/>
    <col min="3596" max="3596" width="5" style="25" customWidth="1"/>
    <col min="3597" max="3597" width="6.85546875" style="25" customWidth="1"/>
    <col min="3598" max="3598" width="8.5703125" style="25" customWidth="1"/>
    <col min="3599" max="3834" width="9.140625" style="25"/>
    <col min="3835" max="3835" width="16.7109375" style="25" customWidth="1"/>
    <col min="3836" max="3836" width="7.7109375" style="25" customWidth="1"/>
    <col min="3837" max="3837" width="4.7109375" style="25" customWidth="1"/>
    <col min="3838" max="3838" width="8.42578125" style="25" customWidth="1"/>
    <col min="3839" max="3839" width="8" style="25" customWidth="1"/>
    <col min="3840" max="3840" width="7.28515625" style="25" customWidth="1"/>
    <col min="3841" max="3841" width="7" style="25" customWidth="1"/>
    <col min="3842" max="3842" width="8.85546875" style="25" customWidth="1"/>
    <col min="3843" max="3843" width="8.28515625" style="25" customWidth="1"/>
    <col min="3844" max="3844" width="6.85546875" style="25" customWidth="1"/>
    <col min="3845" max="3845" width="8.28515625" style="25" customWidth="1"/>
    <col min="3846" max="3846" width="7" style="25" customWidth="1"/>
    <col min="3847" max="3847" width="8.140625" style="25" customWidth="1"/>
    <col min="3848" max="3848" width="7" style="25" customWidth="1"/>
    <col min="3849" max="3849" width="8.7109375" style="25" customWidth="1"/>
    <col min="3850" max="3850" width="6.7109375" style="25" customWidth="1"/>
    <col min="3851" max="3851" width="7.28515625" style="25" customWidth="1"/>
    <col min="3852" max="3852" width="5" style="25" customWidth="1"/>
    <col min="3853" max="3853" width="6.85546875" style="25" customWidth="1"/>
    <col min="3854" max="3854" width="8.5703125" style="25" customWidth="1"/>
    <col min="3855" max="4090" width="9.140625" style="25"/>
    <col min="4091" max="4091" width="16.7109375" style="25" customWidth="1"/>
    <col min="4092" max="4092" width="7.7109375" style="25" customWidth="1"/>
    <col min="4093" max="4093" width="4.7109375" style="25" customWidth="1"/>
    <col min="4094" max="4094" width="8.42578125" style="25" customWidth="1"/>
    <col min="4095" max="4095" width="8" style="25" customWidth="1"/>
    <col min="4096" max="4096" width="7.28515625" style="25" customWidth="1"/>
    <col min="4097" max="4097" width="7" style="25" customWidth="1"/>
    <col min="4098" max="4098" width="8.85546875" style="25" customWidth="1"/>
    <col min="4099" max="4099" width="8.28515625" style="25" customWidth="1"/>
    <col min="4100" max="4100" width="6.85546875" style="25" customWidth="1"/>
    <col min="4101" max="4101" width="8.28515625" style="25" customWidth="1"/>
    <col min="4102" max="4102" width="7" style="25" customWidth="1"/>
    <col min="4103" max="4103" width="8.140625" style="25" customWidth="1"/>
    <col min="4104" max="4104" width="7" style="25" customWidth="1"/>
    <col min="4105" max="4105" width="8.7109375" style="25" customWidth="1"/>
    <col min="4106" max="4106" width="6.7109375" style="25" customWidth="1"/>
    <col min="4107" max="4107" width="7.28515625" style="25" customWidth="1"/>
    <col min="4108" max="4108" width="5" style="25" customWidth="1"/>
    <col min="4109" max="4109" width="6.85546875" style="25" customWidth="1"/>
    <col min="4110" max="4110" width="8.5703125" style="25" customWidth="1"/>
    <col min="4111" max="4346" width="9.140625" style="25"/>
    <col min="4347" max="4347" width="16.7109375" style="25" customWidth="1"/>
    <col min="4348" max="4348" width="7.7109375" style="25" customWidth="1"/>
    <col min="4349" max="4349" width="4.7109375" style="25" customWidth="1"/>
    <col min="4350" max="4350" width="8.42578125" style="25" customWidth="1"/>
    <col min="4351" max="4351" width="8" style="25" customWidth="1"/>
    <col min="4352" max="4352" width="7.28515625" style="25" customWidth="1"/>
    <col min="4353" max="4353" width="7" style="25" customWidth="1"/>
    <col min="4354" max="4354" width="8.85546875" style="25" customWidth="1"/>
    <col min="4355" max="4355" width="8.28515625" style="25" customWidth="1"/>
    <col min="4356" max="4356" width="6.85546875" style="25" customWidth="1"/>
    <col min="4357" max="4357" width="8.28515625" style="25" customWidth="1"/>
    <col min="4358" max="4358" width="7" style="25" customWidth="1"/>
    <col min="4359" max="4359" width="8.140625" style="25" customWidth="1"/>
    <col min="4360" max="4360" width="7" style="25" customWidth="1"/>
    <col min="4361" max="4361" width="8.7109375" style="25" customWidth="1"/>
    <col min="4362" max="4362" width="6.7109375" style="25" customWidth="1"/>
    <col min="4363" max="4363" width="7.28515625" style="25" customWidth="1"/>
    <col min="4364" max="4364" width="5" style="25" customWidth="1"/>
    <col min="4365" max="4365" width="6.85546875" style="25" customWidth="1"/>
    <col min="4366" max="4366" width="8.5703125" style="25" customWidth="1"/>
    <col min="4367" max="4602" width="9.140625" style="25"/>
    <col min="4603" max="4603" width="16.7109375" style="25" customWidth="1"/>
    <col min="4604" max="4604" width="7.7109375" style="25" customWidth="1"/>
    <col min="4605" max="4605" width="4.7109375" style="25" customWidth="1"/>
    <col min="4606" max="4606" width="8.42578125" style="25" customWidth="1"/>
    <col min="4607" max="4607" width="8" style="25" customWidth="1"/>
    <col min="4608" max="4608" width="7.28515625" style="25" customWidth="1"/>
    <col min="4609" max="4609" width="7" style="25" customWidth="1"/>
    <col min="4610" max="4610" width="8.85546875" style="25" customWidth="1"/>
    <col min="4611" max="4611" width="8.28515625" style="25" customWidth="1"/>
    <col min="4612" max="4612" width="6.85546875" style="25" customWidth="1"/>
    <col min="4613" max="4613" width="8.28515625" style="25" customWidth="1"/>
    <col min="4614" max="4614" width="7" style="25" customWidth="1"/>
    <col min="4615" max="4615" width="8.140625" style="25" customWidth="1"/>
    <col min="4616" max="4616" width="7" style="25" customWidth="1"/>
    <col min="4617" max="4617" width="8.7109375" style="25" customWidth="1"/>
    <col min="4618" max="4618" width="6.7109375" style="25" customWidth="1"/>
    <col min="4619" max="4619" width="7.28515625" style="25" customWidth="1"/>
    <col min="4620" max="4620" width="5" style="25" customWidth="1"/>
    <col min="4621" max="4621" width="6.85546875" style="25" customWidth="1"/>
    <col min="4622" max="4622" width="8.5703125" style="25" customWidth="1"/>
    <col min="4623" max="4858" width="9.140625" style="25"/>
    <col min="4859" max="4859" width="16.7109375" style="25" customWidth="1"/>
    <col min="4860" max="4860" width="7.7109375" style="25" customWidth="1"/>
    <col min="4861" max="4861" width="4.7109375" style="25" customWidth="1"/>
    <col min="4862" max="4862" width="8.42578125" style="25" customWidth="1"/>
    <col min="4863" max="4863" width="8" style="25" customWidth="1"/>
    <col min="4864" max="4864" width="7.28515625" style="25" customWidth="1"/>
    <col min="4865" max="4865" width="7" style="25" customWidth="1"/>
    <col min="4866" max="4866" width="8.85546875" style="25" customWidth="1"/>
    <col min="4867" max="4867" width="8.28515625" style="25" customWidth="1"/>
    <col min="4868" max="4868" width="6.85546875" style="25" customWidth="1"/>
    <col min="4869" max="4869" width="8.28515625" style="25" customWidth="1"/>
    <col min="4870" max="4870" width="7" style="25" customWidth="1"/>
    <col min="4871" max="4871" width="8.140625" style="25" customWidth="1"/>
    <col min="4872" max="4872" width="7" style="25" customWidth="1"/>
    <col min="4873" max="4873" width="8.7109375" style="25" customWidth="1"/>
    <col min="4874" max="4874" width="6.7109375" style="25" customWidth="1"/>
    <col min="4875" max="4875" width="7.28515625" style="25" customWidth="1"/>
    <col min="4876" max="4876" width="5" style="25" customWidth="1"/>
    <col min="4877" max="4877" width="6.85546875" style="25" customWidth="1"/>
    <col min="4878" max="4878" width="8.5703125" style="25" customWidth="1"/>
    <col min="4879" max="5114" width="9.140625" style="25"/>
    <col min="5115" max="5115" width="16.7109375" style="25" customWidth="1"/>
    <col min="5116" max="5116" width="7.7109375" style="25" customWidth="1"/>
    <col min="5117" max="5117" width="4.7109375" style="25" customWidth="1"/>
    <col min="5118" max="5118" width="8.42578125" style="25" customWidth="1"/>
    <col min="5119" max="5119" width="8" style="25" customWidth="1"/>
    <col min="5120" max="5120" width="7.28515625" style="25" customWidth="1"/>
    <col min="5121" max="5121" width="7" style="25" customWidth="1"/>
    <col min="5122" max="5122" width="8.85546875" style="25" customWidth="1"/>
    <col min="5123" max="5123" width="8.28515625" style="25" customWidth="1"/>
    <col min="5124" max="5124" width="6.85546875" style="25" customWidth="1"/>
    <col min="5125" max="5125" width="8.28515625" style="25" customWidth="1"/>
    <col min="5126" max="5126" width="7" style="25" customWidth="1"/>
    <col min="5127" max="5127" width="8.140625" style="25" customWidth="1"/>
    <col min="5128" max="5128" width="7" style="25" customWidth="1"/>
    <col min="5129" max="5129" width="8.7109375" style="25" customWidth="1"/>
    <col min="5130" max="5130" width="6.7109375" style="25" customWidth="1"/>
    <col min="5131" max="5131" width="7.28515625" style="25" customWidth="1"/>
    <col min="5132" max="5132" width="5" style="25" customWidth="1"/>
    <col min="5133" max="5133" width="6.85546875" style="25" customWidth="1"/>
    <col min="5134" max="5134" width="8.5703125" style="25" customWidth="1"/>
    <col min="5135" max="5370" width="9.140625" style="25"/>
    <col min="5371" max="5371" width="16.7109375" style="25" customWidth="1"/>
    <col min="5372" max="5372" width="7.7109375" style="25" customWidth="1"/>
    <col min="5373" max="5373" width="4.7109375" style="25" customWidth="1"/>
    <col min="5374" max="5374" width="8.42578125" style="25" customWidth="1"/>
    <col min="5375" max="5375" width="8" style="25" customWidth="1"/>
    <col min="5376" max="5376" width="7.28515625" style="25" customWidth="1"/>
    <col min="5377" max="5377" width="7" style="25" customWidth="1"/>
    <col min="5378" max="5378" width="8.85546875" style="25" customWidth="1"/>
    <col min="5379" max="5379" width="8.28515625" style="25" customWidth="1"/>
    <col min="5380" max="5380" width="6.85546875" style="25" customWidth="1"/>
    <col min="5381" max="5381" width="8.28515625" style="25" customWidth="1"/>
    <col min="5382" max="5382" width="7" style="25" customWidth="1"/>
    <col min="5383" max="5383" width="8.140625" style="25" customWidth="1"/>
    <col min="5384" max="5384" width="7" style="25" customWidth="1"/>
    <col min="5385" max="5385" width="8.7109375" style="25" customWidth="1"/>
    <col min="5386" max="5386" width="6.7109375" style="25" customWidth="1"/>
    <col min="5387" max="5387" width="7.28515625" style="25" customWidth="1"/>
    <col min="5388" max="5388" width="5" style="25" customWidth="1"/>
    <col min="5389" max="5389" width="6.85546875" style="25" customWidth="1"/>
    <col min="5390" max="5390" width="8.5703125" style="25" customWidth="1"/>
    <col min="5391" max="5626" width="9.140625" style="25"/>
    <col min="5627" max="5627" width="16.7109375" style="25" customWidth="1"/>
    <col min="5628" max="5628" width="7.7109375" style="25" customWidth="1"/>
    <col min="5629" max="5629" width="4.7109375" style="25" customWidth="1"/>
    <col min="5630" max="5630" width="8.42578125" style="25" customWidth="1"/>
    <col min="5631" max="5631" width="8" style="25" customWidth="1"/>
    <col min="5632" max="5632" width="7.28515625" style="25" customWidth="1"/>
    <col min="5633" max="5633" width="7" style="25" customWidth="1"/>
    <col min="5634" max="5634" width="8.85546875" style="25" customWidth="1"/>
    <col min="5635" max="5635" width="8.28515625" style="25" customWidth="1"/>
    <col min="5636" max="5636" width="6.85546875" style="25" customWidth="1"/>
    <col min="5637" max="5637" width="8.28515625" style="25" customWidth="1"/>
    <col min="5638" max="5638" width="7" style="25" customWidth="1"/>
    <col min="5639" max="5639" width="8.140625" style="25" customWidth="1"/>
    <col min="5640" max="5640" width="7" style="25" customWidth="1"/>
    <col min="5641" max="5641" width="8.7109375" style="25" customWidth="1"/>
    <col min="5642" max="5642" width="6.7109375" style="25" customWidth="1"/>
    <col min="5643" max="5643" width="7.28515625" style="25" customWidth="1"/>
    <col min="5644" max="5644" width="5" style="25" customWidth="1"/>
    <col min="5645" max="5645" width="6.85546875" style="25" customWidth="1"/>
    <col min="5646" max="5646" width="8.5703125" style="25" customWidth="1"/>
    <col min="5647" max="5882" width="9.140625" style="25"/>
    <col min="5883" max="5883" width="16.7109375" style="25" customWidth="1"/>
    <col min="5884" max="5884" width="7.7109375" style="25" customWidth="1"/>
    <col min="5885" max="5885" width="4.7109375" style="25" customWidth="1"/>
    <col min="5886" max="5886" width="8.42578125" style="25" customWidth="1"/>
    <col min="5887" max="5887" width="8" style="25" customWidth="1"/>
    <col min="5888" max="5888" width="7.28515625" style="25" customWidth="1"/>
    <col min="5889" max="5889" width="7" style="25" customWidth="1"/>
    <col min="5890" max="5890" width="8.85546875" style="25" customWidth="1"/>
    <col min="5891" max="5891" width="8.28515625" style="25" customWidth="1"/>
    <col min="5892" max="5892" width="6.85546875" style="25" customWidth="1"/>
    <col min="5893" max="5893" width="8.28515625" style="25" customWidth="1"/>
    <col min="5894" max="5894" width="7" style="25" customWidth="1"/>
    <col min="5895" max="5895" width="8.140625" style="25" customWidth="1"/>
    <col min="5896" max="5896" width="7" style="25" customWidth="1"/>
    <col min="5897" max="5897" width="8.7109375" style="25" customWidth="1"/>
    <col min="5898" max="5898" width="6.7109375" style="25" customWidth="1"/>
    <col min="5899" max="5899" width="7.28515625" style="25" customWidth="1"/>
    <col min="5900" max="5900" width="5" style="25" customWidth="1"/>
    <col min="5901" max="5901" width="6.85546875" style="25" customWidth="1"/>
    <col min="5902" max="5902" width="8.5703125" style="25" customWidth="1"/>
    <col min="5903" max="6138" width="9.140625" style="25"/>
    <col min="6139" max="6139" width="16.7109375" style="25" customWidth="1"/>
    <col min="6140" max="6140" width="7.7109375" style="25" customWidth="1"/>
    <col min="6141" max="6141" width="4.7109375" style="25" customWidth="1"/>
    <col min="6142" max="6142" width="8.42578125" style="25" customWidth="1"/>
    <col min="6143" max="6143" width="8" style="25" customWidth="1"/>
    <col min="6144" max="6144" width="7.28515625" style="25" customWidth="1"/>
    <col min="6145" max="6145" width="7" style="25" customWidth="1"/>
    <col min="6146" max="6146" width="8.85546875" style="25" customWidth="1"/>
    <col min="6147" max="6147" width="8.28515625" style="25" customWidth="1"/>
    <col min="6148" max="6148" width="6.85546875" style="25" customWidth="1"/>
    <col min="6149" max="6149" width="8.28515625" style="25" customWidth="1"/>
    <col min="6150" max="6150" width="7" style="25" customWidth="1"/>
    <col min="6151" max="6151" width="8.140625" style="25" customWidth="1"/>
    <col min="6152" max="6152" width="7" style="25" customWidth="1"/>
    <col min="6153" max="6153" width="8.7109375" style="25" customWidth="1"/>
    <col min="6154" max="6154" width="6.7109375" style="25" customWidth="1"/>
    <col min="6155" max="6155" width="7.28515625" style="25" customWidth="1"/>
    <col min="6156" max="6156" width="5" style="25" customWidth="1"/>
    <col min="6157" max="6157" width="6.85546875" style="25" customWidth="1"/>
    <col min="6158" max="6158" width="8.5703125" style="25" customWidth="1"/>
    <col min="6159" max="6394" width="9.140625" style="25"/>
    <col min="6395" max="6395" width="16.7109375" style="25" customWidth="1"/>
    <col min="6396" max="6396" width="7.7109375" style="25" customWidth="1"/>
    <col min="6397" max="6397" width="4.7109375" style="25" customWidth="1"/>
    <col min="6398" max="6398" width="8.42578125" style="25" customWidth="1"/>
    <col min="6399" max="6399" width="8" style="25" customWidth="1"/>
    <col min="6400" max="6400" width="7.28515625" style="25" customWidth="1"/>
    <col min="6401" max="6401" width="7" style="25" customWidth="1"/>
    <col min="6402" max="6402" width="8.85546875" style="25" customWidth="1"/>
    <col min="6403" max="6403" width="8.28515625" style="25" customWidth="1"/>
    <col min="6404" max="6404" width="6.85546875" style="25" customWidth="1"/>
    <col min="6405" max="6405" width="8.28515625" style="25" customWidth="1"/>
    <col min="6406" max="6406" width="7" style="25" customWidth="1"/>
    <col min="6407" max="6407" width="8.140625" style="25" customWidth="1"/>
    <col min="6408" max="6408" width="7" style="25" customWidth="1"/>
    <col min="6409" max="6409" width="8.7109375" style="25" customWidth="1"/>
    <col min="6410" max="6410" width="6.7109375" style="25" customWidth="1"/>
    <col min="6411" max="6411" width="7.28515625" style="25" customWidth="1"/>
    <col min="6412" max="6412" width="5" style="25" customWidth="1"/>
    <col min="6413" max="6413" width="6.85546875" style="25" customWidth="1"/>
    <col min="6414" max="6414" width="8.5703125" style="25" customWidth="1"/>
    <col min="6415" max="6650" width="9.140625" style="25"/>
    <col min="6651" max="6651" width="16.7109375" style="25" customWidth="1"/>
    <col min="6652" max="6652" width="7.7109375" style="25" customWidth="1"/>
    <col min="6653" max="6653" width="4.7109375" style="25" customWidth="1"/>
    <col min="6654" max="6654" width="8.42578125" style="25" customWidth="1"/>
    <col min="6655" max="6655" width="8" style="25" customWidth="1"/>
    <col min="6656" max="6656" width="7.28515625" style="25" customWidth="1"/>
    <col min="6657" max="6657" width="7" style="25" customWidth="1"/>
    <col min="6658" max="6658" width="8.85546875" style="25" customWidth="1"/>
    <col min="6659" max="6659" width="8.28515625" style="25" customWidth="1"/>
    <col min="6660" max="6660" width="6.85546875" style="25" customWidth="1"/>
    <col min="6661" max="6661" width="8.28515625" style="25" customWidth="1"/>
    <col min="6662" max="6662" width="7" style="25" customWidth="1"/>
    <col min="6663" max="6663" width="8.140625" style="25" customWidth="1"/>
    <col min="6664" max="6664" width="7" style="25" customWidth="1"/>
    <col min="6665" max="6665" width="8.7109375" style="25" customWidth="1"/>
    <col min="6666" max="6666" width="6.7109375" style="25" customWidth="1"/>
    <col min="6667" max="6667" width="7.28515625" style="25" customWidth="1"/>
    <col min="6668" max="6668" width="5" style="25" customWidth="1"/>
    <col min="6669" max="6669" width="6.85546875" style="25" customWidth="1"/>
    <col min="6670" max="6670" width="8.5703125" style="25" customWidth="1"/>
    <col min="6671" max="6906" width="9.140625" style="25"/>
    <col min="6907" max="6907" width="16.7109375" style="25" customWidth="1"/>
    <col min="6908" max="6908" width="7.7109375" style="25" customWidth="1"/>
    <col min="6909" max="6909" width="4.7109375" style="25" customWidth="1"/>
    <col min="6910" max="6910" width="8.42578125" style="25" customWidth="1"/>
    <col min="6911" max="6911" width="8" style="25" customWidth="1"/>
    <col min="6912" max="6912" width="7.28515625" style="25" customWidth="1"/>
    <col min="6913" max="6913" width="7" style="25" customWidth="1"/>
    <col min="6914" max="6914" width="8.85546875" style="25" customWidth="1"/>
    <col min="6915" max="6915" width="8.28515625" style="25" customWidth="1"/>
    <col min="6916" max="6916" width="6.85546875" style="25" customWidth="1"/>
    <col min="6917" max="6917" width="8.28515625" style="25" customWidth="1"/>
    <col min="6918" max="6918" width="7" style="25" customWidth="1"/>
    <col min="6919" max="6919" width="8.140625" style="25" customWidth="1"/>
    <col min="6920" max="6920" width="7" style="25" customWidth="1"/>
    <col min="6921" max="6921" width="8.7109375" style="25" customWidth="1"/>
    <col min="6922" max="6922" width="6.7109375" style="25" customWidth="1"/>
    <col min="6923" max="6923" width="7.28515625" style="25" customWidth="1"/>
    <col min="6924" max="6924" width="5" style="25" customWidth="1"/>
    <col min="6925" max="6925" width="6.85546875" style="25" customWidth="1"/>
    <col min="6926" max="6926" width="8.5703125" style="25" customWidth="1"/>
    <col min="6927" max="7162" width="9.140625" style="25"/>
    <col min="7163" max="7163" width="16.7109375" style="25" customWidth="1"/>
    <col min="7164" max="7164" width="7.7109375" style="25" customWidth="1"/>
    <col min="7165" max="7165" width="4.7109375" style="25" customWidth="1"/>
    <col min="7166" max="7166" width="8.42578125" style="25" customWidth="1"/>
    <col min="7167" max="7167" width="8" style="25" customWidth="1"/>
    <col min="7168" max="7168" width="7.28515625" style="25" customWidth="1"/>
    <col min="7169" max="7169" width="7" style="25" customWidth="1"/>
    <col min="7170" max="7170" width="8.85546875" style="25" customWidth="1"/>
    <col min="7171" max="7171" width="8.28515625" style="25" customWidth="1"/>
    <col min="7172" max="7172" width="6.85546875" style="25" customWidth="1"/>
    <col min="7173" max="7173" width="8.28515625" style="25" customWidth="1"/>
    <col min="7174" max="7174" width="7" style="25" customWidth="1"/>
    <col min="7175" max="7175" width="8.140625" style="25" customWidth="1"/>
    <col min="7176" max="7176" width="7" style="25" customWidth="1"/>
    <col min="7177" max="7177" width="8.7109375" style="25" customWidth="1"/>
    <col min="7178" max="7178" width="6.7109375" style="25" customWidth="1"/>
    <col min="7179" max="7179" width="7.28515625" style="25" customWidth="1"/>
    <col min="7180" max="7180" width="5" style="25" customWidth="1"/>
    <col min="7181" max="7181" width="6.85546875" style="25" customWidth="1"/>
    <col min="7182" max="7182" width="8.5703125" style="25" customWidth="1"/>
    <col min="7183" max="7418" width="9.140625" style="25"/>
    <col min="7419" max="7419" width="16.7109375" style="25" customWidth="1"/>
    <col min="7420" max="7420" width="7.7109375" style="25" customWidth="1"/>
    <col min="7421" max="7421" width="4.7109375" style="25" customWidth="1"/>
    <col min="7422" max="7422" width="8.42578125" style="25" customWidth="1"/>
    <col min="7423" max="7423" width="8" style="25" customWidth="1"/>
    <col min="7424" max="7424" width="7.28515625" style="25" customWidth="1"/>
    <col min="7425" max="7425" width="7" style="25" customWidth="1"/>
    <col min="7426" max="7426" width="8.85546875" style="25" customWidth="1"/>
    <col min="7427" max="7427" width="8.28515625" style="25" customWidth="1"/>
    <col min="7428" max="7428" width="6.85546875" style="25" customWidth="1"/>
    <col min="7429" max="7429" width="8.28515625" style="25" customWidth="1"/>
    <col min="7430" max="7430" width="7" style="25" customWidth="1"/>
    <col min="7431" max="7431" width="8.140625" style="25" customWidth="1"/>
    <col min="7432" max="7432" width="7" style="25" customWidth="1"/>
    <col min="7433" max="7433" width="8.7109375" style="25" customWidth="1"/>
    <col min="7434" max="7434" width="6.7109375" style="25" customWidth="1"/>
    <col min="7435" max="7435" width="7.28515625" style="25" customWidth="1"/>
    <col min="7436" max="7436" width="5" style="25" customWidth="1"/>
    <col min="7437" max="7437" width="6.85546875" style="25" customWidth="1"/>
    <col min="7438" max="7438" width="8.5703125" style="25" customWidth="1"/>
    <col min="7439" max="7674" width="9.140625" style="25"/>
    <col min="7675" max="7675" width="16.7109375" style="25" customWidth="1"/>
    <col min="7676" max="7676" width="7.7109375" style="25" customWidth="1"/>
    <col min="7677" max="7677" width="4.7109375" style="25" customWidth="1"/>
    <col min="7678" max="7678" width="8.42578125" style="25" customWidth="1"/>
    <col min="7679" max="7679" width="8" style="25" customWidth="1"/>
    <col min="7680" max="7680" width="7.28515625" style="25" customWidth="1"/>
    <col min="7681" max="7681" width="7" style="25" customWidth="1"/>
    <col min="7682" max="7682" width="8.85546875" style="25" customWidth="1"/>
    <col min="7683" max="7683" width="8.28515625" style="25" customWidth="1"/>
    <col min="7684" max="7684" width="6.85546875" style="25" customWidth="1"/>
    <col min="7685" max="7685" width="8.28515625" style="25" customWidth="1"/>
    <col min="7686" max="7686" width="7" style="25" customWidth="1"/>
    <col min="7687" max="7687" width="8.140625" style="25" customWidth="1"/>
    <col min="7688" max="7688" width="7" style="25" customWidth="1"/>
    <col min="7689" max="7689" width="8.7109375" style="25" customWidth="1"/>
    <col min="7690" max="7690" width="6.7109375" style="25" customWidth="1"/>
    <col min="7691" max="7691" width="7.28515625" style="25" customWidth="1"/>
    <col min="7692" max="7692" width="5" style="25" customWidth="1"/>
    <col min="7693" max="7693" width="6.85546875" style="25" customWidth="1"/>
    <col min="7694" max="7694" width="8.5703125" style="25" customWidth="1"/>
    <col min="7695" max="7930" width="9.140625" style="25"/>
    <col min="7931" max="7931" width="16.7109375" style="25" customWidth="1"/>
    <col min="7932" max="7932" width="7.7109375" style="25" customWidth="1"/>
    <col min="7933" max="7933" width="4.7109375" style="25" customWidth="1"/>
    <col min="7934" max="7934" width="8.42578125" style="25" customWidth="1"/>
    <col min="7935" max="7935" width="8" style="25" customWidth="1"/>
    <col min="7936" max="7936" width="7.28515625" style="25" customWidth="1"/>
    <col min="7937" max="7937" width="7" style="25" customWidth="1"/>
    <col min="7938" max="7938" width="8.85546875" style="25" customWidth="1"/>
    <col min="7939" max="7939" width="8.28515625" style="25" customWidth="1"/>
    <col min="7940" max="7940" width="6.85546875" style="25" customWidth="1"/>
    <col min="7941" max="7941" width="8.28515625" style="25" customWidth="1"/>
    <col min="7942" max="7942" width="7" style="25" customWidth="1"/>
    <col min="7943" max="7943" width="8.140625" style="25" customWidth="1"/>
    <col min="7944" max="7944" width="7" style="25" customWidth="1"/>
    <col min="7945" max="7945" width="8.7109375" style="25" customWidth="1"/>
    <col min="7946" max="7946" width="6.7109375" style="25" customWidth="1"/>
    <col min="7947" max="7947" width="7.28515625" style="25" customWidth="1"/>
    <col min="7948" max="7948" width="5" style="25" customWidth="1"/>
    <col min="7949" max="7949" width="6.85546875" style="25" customWidth="1"/>
    <col min="7950" max="7950" width="8.5703125" style="25" customWidth="1"/>
    <col min="7951" max="8186" width="9.140625" style="25"/>
    <col min="8187" max="8187" width="16.7109375" style="25" customWidth="1"/>
    <col min="8188" max="8188" width="7.7109375" style="25" customWidth="1"/>
    <col min="8189" max="8189" width="4.7109375" style="25" customWidth="1"/>
    <col min="8190" max="8190" width="8.42578125" style="25" customWidth="1"/>
    <col min="8191" max="8191" width="8" style="25" customWidth="1"/>
    <col min="8192" max="8192" width="7.28515625" style="25" customWidth="1"/>
    <col min="8193" max="8193" width="7" style="25" customWidth="1"/>
    <col min="8194" max="8194" width="8.85546875" style="25" customWidth="1"/>
    <col min="8195" max="8195" width="8.28515625" style="25" customWidth="1"/>
    <col min="8196" max="8196" width="6.85546875" style="25" customWidth="1"/>
    <col min="8197" max="8197" width="8.28515625" style="25" customWidth="1"/>
    <col min="8198" max="8198" width="7" style="25" customWidth="1"/>
    <col min="8199" max="8199" width="8.140625" style="25" customWidth="1"/>
    <col min="8200" max="8200" width="7" style="25" customWidth="1"/>
    <col min="8201" max="8201" width="8.7109375" style="25" customWidth="1"/>
    <col min="8202" max="8202" width="6.7109375" style="25" customWidth="1"/>
    <col min="8203" max="8203" width="7.28515625" style="25" customWidth="1"/>
    <col min="8204" max="8204" width="5" style="25" customWidth="1"/>
    <col min="8205" max="8205" width="6.85546875" style="25" customWidth="1"/>
    <col min="8206" max="8206" width="8.5703125" style="25" customWidth="1"/>
    <col min="8207" max="8442" width="9.140625" style="25"/>
    <col min="8443" max="8443" width="16.7109375" style="25" customWidth="1"/>
    <col min="8444" max="8444" width="7.7109375" style="25" customWidth="1"/>
    <col min="8445" max="8445" width="4.7109375" style="25" customWidth="1"/>
    <col min="8446" max="8446" width="8.42578125" style="25" customWidth="1"/>
    <col min="8447" max="8447" width="8" style="25" customWidth="1"/>
    <col min="8448" max="8448" width="7.28515625" style="25" customWidth="1"/>
    <col min="8449" max="8449" width="7" style="25" customWidth="1"/>
    <col min="8450" max="8450" width="8.85546875" style="25" customWidth="1"/>
    <col min="8451" max="8451" width="8.28515625" style="25" customWidth="1"/>
    <col min="8452" max="8452" width="6.85546875" style="25" customWidth="1"/>
    <col min="8453" max="8453" width="8.28515625" style="25" customWidth="1"/>
    <col min="8454" max="8454" width="7" style="25" customWidth="1"/>
    <col min="8455" max="8455" width="8.140625" style="25" customWidth="1"/>
    <col min="8456" max="8456" width="7" style="25" customWidth="1"/>
    <col min="8457" max="8457" width="8.7109375" style="25" customWidth="1"/>
    <col min="8458" max="8458" width="6.7109375" style="25" customWidth="1"/>
    <col min="8459" max="8459" width="7.28515625" style="25" customWidth="1"/>
    <col min="8460" max="8460" width="5" style="25" customWidth="1"/>
    <col min="8461" max="8461" width="6.85546875" style="25" customWidth="1"/>
    <col min="8462" max="8462" width="8.5703125" style="25" customWidth="1"/>
    <col min="8463" max="8698" width="9.140625" style="25"/>
    <col min="8699" max="8699" width="16.7109375" style="25" customWidth="1"/>
    <col min="8700" max="8700" width="7.7109375" style="25" customWidth="1"/>
    <col min="8701" max="8701" width="4.7109375" style="25" customWidth="1"/>
    <col min="8702" max="8702" width="8.42578125" style="25" customWidth="1"/>
    <col min="8703" max="8703" width="8" style="25" customWidth="1"/>
    <col min="8704" max="8704" width="7.28515625" style="25" customWidth="1"/>
    <col min="8705" max="8705" width="7" style="25" customWidth="1"/>
    <col min="8706" max="8706" width="8.85546875" style="25" customWidth="1"/>
    <col min="8707" max="8707" width="8.28515625" style="25" customWidth="1"/>
    <col min="8708" max="8708" width="6.85546875" style="25" customWidth="1"/>
    <col min="8709" max="8709" width="8.28515625" style="25" customWidth="1"/>
    <col min="8710" max="8710" width="7" style="25" customWidth="1"/>
    <col min="8711" max="8711" width="8.140625" style="25" customWidth="1"/>
    <col min="8712" max="8712" width="7" style="25" customWidth="1"/>
    <col min="8713" max="8713" width="8.7109375" style="25" customWidth="1"/>
    <col min="8714" max="8714" width="6.7109375" style="25" customWidth="1"/>
    <col min="8715" max="8715" width="7.28515625" style="25" customWidth="1"/>
    <col min="8716" max="8716" width="5" style="25" customWidth="1"/>
    <col min="8717" max="8717" width="6.85546875" style="25" customWidth="1"/>
    <col min="8718" max="8718" width="8.5703125" style="25" customWidth="1"/>
    <col min="8719" max="8954" width="9.140625" style="25"/>
    <col min="8955" max="8955" width="16.7109375" style="25" customWidth="1"/>
    <col min="8956" max="8956" width="7.7109375" style="25" customWidth="1"/>
    <col min="8957" max="8957" width="4.7109375" style="25" customWidth="1"/>
    <col min="8958" max="8958" width="8.42578125" style="25" customWidth="1"/>
    <col min="8959" max="8959" width="8" style="25" customWidth="1"/>
    <col min="8960" max="8960" width="7.28515625" style="25" customWidth="1"/>
    <col min="8961" max="8961" width="7" style="25" customWidth="1"/>
    <col min="8962" max="8962" width="8.85546875" style="25" customWidth="1"/>
    <col min="8963" max="8963" width="8.28515625" style="25" customWidth="1"/>
    <col min="8964" max="8964" width="6.85546875" style="25" customWidth="1"/>
    <col min="8965" max="8965" width="8.28515625" style="25" customWidth="1"/>
    <col min="8966" max="8966" width="7" style="25" customWidth="1"/>
    <col min="8967" max="8967" width="8.140625" style="25" customWidth="1"/>
    <col min="8968" max="8968" width="7" style="25" customWidth="1"/>
    <col min="8969" max="8969" width="8.7109375" style="25" customWidth="1"/>
    <col min="8970" max="8970" width="6.7109375" style="25" customWidth="1"/>
    <col min="8971" max="8971" width="7.28515625" style="25" customWidth="1"/>
    <col min="8972" max="8972" width="5" style="25" customWidth="1"/>
    <col min="8973" max="8973" width="6.85546875" style="25" customWidth="1"/>
    <col min="8974" max="8974" width="8.5703125" style="25" customWidth="1"/>
    <col min="8975" max="9210" width="9.140625" style="25"/>
    <col min="9211" max="9211" width="16.7109375" style="25" customWidth="1"/>
    <col min="9212" max="9212" width="7.7109375" style="25" customWidth="1"/>
    <col min="9213" max="9213" width="4.7109375" style="25" customWidth="1"/>
    <col min="9214" max="9214" width="8.42578125" style="25" customWidth="1"/>
    <col min="9215" max="9215" width="8" style="25" customWidth="1"/>
    <col min="9216" max="9216" width="7.28515625" style="25" customWidth="1"/>
    <col min="9217" max="9217" width="7" style="25" customWidth="1"/>
    <col min="9218" max="9218" width="8.85546875" style="25" customWidth="1"/>
    <col min="9219" max="9219" width="8.28515625" style="25" customWidth="1"/>
    <col min="9220" max="9220" width="6.85546875" style="25" customWidth="1"/>
    <col min="9221" max="9221" width="8.28515625" style="25" customWidth="1"/>
    <col min="9222" max="9222" width="7" style="25" customWidth="1"/>
    <col min="9223" max="9223" width="8.140625" style="25" customWidth="1"/>
    <col min="9224" max="9224" width="7" style="25" customWidth="1"/>
    <col min="9225" max="9225" width="8.7109375" style="25" customWidth="1"/>
    <col min="9226" max="9226" width="6.7109375" style="25" customWidth="1"/>
    <col min="9227" max="9227" width="7.28515625" style="25" customWidth="1"/>
    <col min="9228" max="9228" width="5" style="25" customWidth="1"/>
    <col min="9229" max="9229" width="6.85546875" style="25" customWidth="1"/>
    <col min="9230" max="9230" width="8.5703125" style="25" customWidth="1"/>
    <col min="9231" max="9466" width="9.140625" style="25"/>
    <col min="9467" max="9467" width="16.7109375" style="25" customWidth="1"/>
    <col min="9468" max="9468" width="7.7109375" style="25" customWidth="1"/>
    <col min="9469" max="9469" width="4.7109375" style="25" customWidth="1"/>
    <col min="9470" max="9470" width="8.42578125" style="25" customWidth="1"/>
    <col min="9471" max="9471" width="8" style="25" customWidth="1"/>
    <col min="9472" max="9472" width="7.28515625" style="25" customWidth="1"/>
    <col min="9473" max="9473" width="7" style="25" customWidth="1"/>
    <col min="9474" max="9474" width="8.85546875" style="25" customWidth="1"/>
    <col min="9475" max="9475" width="8.28515625" style="25" customWidth="1"/>
    <col min="9476" max="9476" width="6.85546875" style="25" customWidth="1"/>
    <col min="9477" max="9477" width="8.28515625" style="25" customWidth="1"/>
    <col min="9478" max="9478" width="7" style="25" customWidth="1"/>
    <col min="9479" max="9479" width="8.140625" style="25" customWidth="1"/>
    <col min="9480" max="9480" width="7" style="25" customWidth="1"/>
    <col min="9481" max="9481" width="8.7109375" style="25" customWidth="1"/>
    <col min="9482" max="9482" width="6.7109375" style="25" customWidth="1"/>
    <col min="9483" max="9483" width="7.28515625" style="25" customWidth="1"/>
    <col min="9484" max="9484" width="5" style="25" customWidth="1"/>
    <col min="9485" max="9485" width="6.85546875" style="25" customWidth="1"/>
    <col min="9486" max="9486" width="8.5703125" style="25" customWidth="1"/>
    <col min="9487" max="9722" width="9.140625" style="25"/>
    <col min="9723" max="9723" width="16.7109375" style="25" customWidth="1"/>
    <col min="9724" max="9724" width="7.7109375" style="25" customWidth="1"/>
    <col min="9725" max="9725" width="4.7109375" style="25" customWidth="1"/>
    <col min="9726" max="9726" width="8.42578125" style="25" customWidth="1"/>
    <col min="9727" max="9727" width="8" style="25" customWidth="1"/>
    <col min="9728" max="9728" width="7.28515625" style="25" customWidth="1"/>
    <col min="9729" max="9729" width="7" style="25" customWidth="1"/>
    <col min="9730" max="9730" width="8.85546875" style="25" customWidth="1"/>
    <col min="9731" max="9731" width="8.28515625" style="25" customWidth="1"/>
    <col min="9732" max="9732" width="6.85546875" style="25" customWidth="1"/>
    <col min="9733" max="9733" width="8.28515625" style="25" customWidth="1"/>
    <col min="9734" max="9734" width="7" style="25" customWidth="1"/>
    <col min="9735" max="9735" width="8.140625" style="25" customWidth="1"/>
    <col min="9736" max="9736" width="7" style="25" customWidth="1"/>
    <col min="9737" max="9737" width="8.7109375" style="25" customWidth="1"/>
    <col min="9738" max="9738" width="6.7109375" style="25" customWidth="1"/>
    <col min="9739" max="9739" width="7.28515625" style="25" customWidth="1"/>
    <col min="9740" max="9740" width="5" style="25" customWidth="1"/>
    <col min="9741" max="9741" width="6.85546875" style="25" customWidth="1"/>
    <col min="9742" max="9742" width="8.5703125" style="25" customWidth="1"/>
    <col min="9743" max="9978" width="9.140625" style="25"/>
    <col min="9979" max="9979" width="16.7109375" style="25" customWidth="1"/>
    <col min="9980" max="9980" width="7.7109375" style="25" customWidth="1"/>
    <col min="9981" max="9981" width="4.7109375" style="25" customWidth="1"/>
    <col min="9982" max="9982" width="8.42578125" style="25" customWidth="1"/>
    <col min="9983" max="9983" width="8" style="25" customWidth="1"/>
    <col min="9984" max="9984" width="7.28515625" style="25" customWidth="1"/>
    <col min="9985" max="9985" width="7" style="25" customWidth="1"/>
    <col min="9986" max="9986" width="8.85546875" style="25" customWidth="1"/>
    <col min="9987" max="9987" width="8.28515625" style="25" customWidth="1"/>
    <col min="9988" max="9988" width="6.85546875" style="25" customWidth="1"/>
    <col min="9989" max="9989" width="8.28515625" style="25" customWidth="1"/>
    <col min="9990" max="9990" width="7" style="25" customWidth="1"/>
    <col min="9991" max="9991" width="8.140625" style="25" customWidth="1"/>
    <col min="9992" max="9992" width="7" style="25" customWidth="1"/>
    <col min="9993" max="9993" width="8.7109375" style="25" customWidth="1"/>
    <col min="9994" max="9994" width="6.7109375" style="25" customWidth="1"/>
    <col min="9995" max="9995" width="7.28515625" style="25" customWidth="1"/>
    <col min="9996" max="9996" width="5" style="25" customWidth="1"/>
    <col min="9997" max="9997" width="6.85546875" style="25" customWidth="1"/>
    <col min="9998" max="9998" width="8.5703125" style="25" customWidth="1"/>
    <col min="9999" max="10234" width="9.140625" style="25"/>
    <col min="10235" max="10235" width="16.7109375" style="25" customWidth="1"/>
    <col min="10236" max="10236" width="7.7109375" style="25" customWidth="1"/>
    <col min="10237" max="10237" width="4.7109375" style="25" customWidth="1"/>
    <col min="10238" max="10238" width="8.42578125" style="25" customWidth="1"/>
    <col min="10239" max="10239" width="8" style="25" customWidth="1"/>
    <col min="10240" max="10240" width="7.28515625" style="25" customWidth="1"/>
    <col min="10241" max="10241" width="7" style="25" customWidth="1"/>
    <col min="10242" max="10242" width="8.85546875" style="25" customWidth="1"/>
    <col min="10243" max="10243" width="8.28515625" style="25" customWidth="1"/>
    <col min="10244" max="10244" width="6.85546875" style="25" customWidth="1"/>
    <col min="10245" max="10245" width="8.28515625" style="25" customWidth="1"/>
    <col min="10246" max="10246" width="7" style="25" customWidth="1"/>
    <col min="10247" max="10247" width="8.140625" style="25" customWidth="1"/>
    <col min="10248" max="10248" width="7" style="25" customWidth="1"/>
    <col min="10249" max="10249" width="8.7109375" style="25" customWidth="1"/>
    <col min="10250" max="10250" width="6.7109375" style="25" customWidth="1"/>
    <col min="10251" max="10251" width="7.28515625" style="25" customWidth="1"/>
    <col min="10252" max="10252" width="5" style="25" customWidth="1"/>
    <col min="10253" max="10253" width="6.85546875" style="25" customWidth="1"/>
    <col min="10254" max="10254" width="8.5703125" style="25" customWidth="1"/>
    <col min="10255" max="10490" width="9.140625" style="25"/>
    <col min="10491" max="10491" width="16.7109375" style="25" customWidth="1"/>
    <col min="10492" max="10492" width="7.7109375" style="25" customWidth="1"/>
    <col min="10493" max="10493" width="4.7109375" style="25" customWidth="1"/>
    <col min="10494" max="10494" width="8.42578125" style="25" customWidth="1"/>
    <col min="10495" max="10495" width="8" style="25" customWidth="1"/>
    <col min="10496" max="10496" width="7.28515625" style="25" customWidth="1"/>
    <col min="10497" max="10497" width="7" style="25" customWidth="1"/>
    <col min="10498" max="10498" width="8.85546875" style="25" customWidth="1"/>
    <col min="10499" max="10499" width="8.28515625" style="25" customWidth="1"/>
    <col min="10500" max="10500" width="6.85546875" style="25" customWidth="1"/>
    <col min="10501" max="10501" width="8.28515625" style="25" customWidth="1"/>
    <col min="10502" max="10502" width="7" style="25" customWidth="1"/>
    <col min="10503" max="10503" width="8.140625" style="25" customWidth="1"/>
    <col min="10504" max="10504" width="7" style="25" customWidth="1"/>
    <col min="10505" max="10505" width="8.7109375" style="25" customWidth="1"/>
    <col min="10506" max="10506" width="6.7109375" style="25" customWidth="1"/>
    <col min="10507" max="10507" width="7.28515625" style="25" customWidth="1"/>
    <col min="10508" max="10508" width="5" style="25" customWidth="1"/>
    <col min="10509" max="10509" width="6.85546875" style="25" customWidth="1"/>
    <col min="10510" max="10510" width="8.5703125" style="25" customWidth="1"/>
    <col min="10511" max="10746" width="9.140625" style="25"/>
    <col min="10747" max="10747" width="16.7109375" style="25" customWidth="1"/>
    <col min="10748" max="10748" width="7.7109375" style="25" customWidth="1"/>
    <col min="10749" max="10749" width="4.7109375" style="25" customWidth="1"/>
    <col min="10750" max="10750" width="8.42578125" style="25" customWidth="1"/>
    <col min="10751" max="10751" width="8" style="25" customWidth="1"/>
    <col min="10752" max="10752" width="7.28515625" style="25" customWidth="1"/>
    <col min="10753" max="10753" width="7" style="25" customWidth="1"/>
    <col min="10754" max="10754" width="8.85546875" style="25" customWidth="1"/>
    <col min="10755" max="10755" width="8.28515625" style="25" customWidth="1"/>
    <col min="10756" max="10756" width="6.85546875" style="25" customWidth="1"/>
    <col min="10757" max="10757" width="8.28515625" style="25" customWidth="1"/>
    <col min="10758" max="10758" width="7" style="25" customWidth="1"/>
    <col min="10759" max="10759" width="8.140625" style="25" customWidth="1"/>
    <col min="10760" max="10760" width="7" style="25" customWidth="1"/>
    <col min="10761" max="10761" width="8.7109375" style="25" customWidth="1"/>
    <col min="10762" max="10762" width="6.7109375" style="25" customWidth="1"/>
    <col min="10763" max="10763" width="7.28515625" style="25" customWidth="1"/>
    <col min="10764" max="10764" width="5" style="25" customWidth="1"/>
    <col min="10765" max="10765" width="6.85546875" style="25" customWidth="1"/>
    <col min="10766" max="10766" width="8.5703125" style="25" customWidth="1"/>
    <col min="10767" max="11002" width="9.140625" style="25"/>
    <col min="11003" max="11003" width="16.7109375" style="25" customWidth="1"/>
    <col min="11004" max="11004" width="7.7109375" style="25" customWidth="1"/>
    <col min="11005" max="11005" width="4.7109375" style="25" customWidth="1"/>
    <col min="11006" max="11006" width="8.42578125" style="25" customWidth="1"/>
    <col min="11007" max="11007" width="8" style="25" customWidth="1"/>
    <col min="11008" max="11008" width="7.28515625" style="25" customWidth="1"/>
    <col min="11009" max="11009" width="7" style="25" customWidth="1"/>
    <col min="11010" max="11010" width="8.85546875" style="25" customWidth="1"/>
    <col min="11011" max="11011" width="8.28515625" style="25" customWidth="1"/>
    <col min="11012" max="11012" width="6.85546875" style="25" customWidth="1"/>
    <col min="11013" max="11013" width="8.28515625" style="25" customWidth="1"/>
    <col min="11014" max="11014" width="7" style="25" customWidth="1"/>
    <col min="11015" max="11015" width="8.140625" style="25" customWidth="1"/>
    <col min="11016" max="11016" width="7" style="25" customWidth="1"/>
    <col min="11017" max="11017" width="8.7109375" style="25" customWidth="1"/>
    <col min="11018" max="11018" width="6.7109375" style="25" customWidth="1"/>
    <col min="11019" max="11019" width="7.28515625" style="25" customWidth="1"/>
    <col min="11020" max="11020" width="5" style="25" customWidth="1"/>
    <col min="11021" max="11021" width="6.85546875" style="25" customWidth="1"/>
    <col min="11022" max="11022" width="8.5703125" style="25" customWidth="1"/>
    <col min="11023" max="11258" width="9.140625" style="25"/>
    <col min="11259" max="11259" width="16.7109375" style="25" customWidth="1"/>
    <col min="11260" max="11260" width="7.7109375" style="25" customWidth="1"/>
    <col min="11261" max="11261" width="4.7109375" style="25" customWidth="1"/>
    <col min="11262" max="11262" width="8.42578125" style="25" customWidth="1"/>
    <col min="11263" max="11263" width="8" style="25" customWidth="1"/>
    <col min="11264" max="11264" width="7.28515625" style="25" customWidth="1"/>
    <col min="11265" max="11265" width="7" style="25" customWidth="1"/>
    <col min="11266" max="11266" width="8.85546875" style="25" customWidth="1"/>
    <col min="11267" max="11267" width="8.28515625" style="25" customWidth="1"/>
    <col min="11268" max="11268" width="6.85546875" style="25" customWidth="1"/>
    <col min="11269" max="11269" width="8.28515625" style="25" customWidth="1"/>
    <col min="11270" max="11270" width="7" style="25" customWidth="1"/>
    <col min="11271" max="11271" width="8.140625" style="25" customWidth="1"/>
    <col min="11272" max="11272" width="7" style="25" customWidth="1"/>
    <col min="11273" max="11273" width="8.7109375" style="25" customWidth="1"/>
    <col min="11274" max="11274" width="6.7109375" style="25" customWidth="1"/>
    <col min="11275" max="11275" width="7.28515625" style="25" customWidth="1"/>
    <col min="11276" max="11276" width="5" style="25" customWidth="1"/>
    <col min="11277" max="11277" width="6.85546875" style="25" customWidth="1"/>
    <col min="11278" max="11278" width="8.5703125" style="25" customWidth="1"/>
    <col min="11279" max="11514" width="9.140625" style="25"/>
    <col min="11515" max="11515" width="16.7109375" style="25" customWidth="1"/>
    <col min="11516" max="11516" width="7.7109375" style="25" customWidth="1"/>
    <col min="11517" max="11517" width="4.7109375" style="25" customWidth="1"/>
    <col min="11518" max="11518" width="8.42578125" style="25" customWidth="1"/>
    <col min="11519" max="11519" width="8" style="25" customWidth="1"/>
    <col min="11520" max="11520" width="7.28515625" style="25" customWidth="1"/>
    <col min="11521" max="11521" width="7" style="25" customWidth="1"/>
    <col min="11522" max="11522" width="8.85546875" style="25" customWidth="1"/>
    <col min="11523" max="11523" width="8.28515625" style="25" customWidth="1"/>
    <col min="11524" max="11524" width="6.85546875" style="25" customWidth="1"/>
    <col min="11525" max="11525" width="8.28515625" style="25" customWidth="1"/>
    <col min="11526" max="11526" width="7" style="25" customWidth="1"/>
    <col min="11527" max="11527" width="8.140625" style="25" customWidth="1"/>
    <col min="11528" max="11528" width="7" style="25" customWidth="1"/>
    <col min="11529" max="11529" width="8.7109375" style="25" customWidth="1"/>
    <col min="11530" max="11530" width="6.7109375" style="25" customWidth="1"/>
    <col min="11531" max="11531" width="7.28515625" style="25" customWidth="1"/>
    <col min="11532" max="11532" width="5" style="25" customWidth="1"/>
    <col min="11533" max="11533" width="6.85546875" style="25" customWidth="1"/>
    <col min="11534" max="11534" width="8.5703125" style="25" customWidth="1"/>
    <col min="11535" max="11770" width="9.140625" style="25"/>
    <col min="11771" max="11771" width="16.7109375" style="25" customWidth="1"/>
    <col min="11772" max="11772" width="7.7109375" style="25" customWidth="1"/>
    <col min="11773" max="11773" width="4.7109375" style="25" customWidth="1"/>
    <col min="11774" max="11774" width="8.42578125" style="25" customWidth="1"/>
    <col min="11775" max="11775" width="8" style="25" customWidth="1"/>
    <col min="11776" max="11776" width="7.28515625" style="25" customWidth="1"/>
    <col min="11777" max="11777" width="7" style="25" customWidth="1"/>
    <col min="11778" max="11778" width="8.85546875" style="25" customWidth="1"/>
    <col min="11779" max="11779" width="8.28515625" style="25" customWidth="1"/>
    <col min="11780" max="11780" width="6.85546875" style="25" customWidth="1"/>
    <col min="11781" max="11781" width="8.28515625" style="25" customWidth="1"/>
    <col min="11782" max="11782" width="7" style="25" customWidth="1"/>
    <col min="11783" max="11783" width="8.140625" style="25" customWidth="1"/>
    <col min="11784" max="11784" width="7" style="25" customWidth="1"/>
    <col min="11785" max="11785" width="8.7109375" style="25" customWidth="1"/>
    <col min="11786" max="11786" width="6.7109375" style="25" customWidth="1"/>
    <col min="11787" max="11787" width="7.28515625" style="25" customWidth="1"/>
    <col min="11788" max="11788" width="5" style="25" customWidth="1"/>
    <col min="11789" max="11789" width="6.85546875" style="25" customWidth="1"/>
    <col min="11790" max="11790" width="8.5703125" style="25" customWidth="1"/>
    <col min="11791" max="12026" width="9.140625" style="25"/>
    <col min="12027" max="12027" width="16.7109375" style="25" customWidth="1"/>
    <col min="12028" max="12028" width="7.7109375" style="25" customWidth="1"/>
    <col min="12029" max="12029" width="4.7109375" style="25" customWidth="1"/>
    <col min="12030" max="12030" width="8.42578125" style="25" customWidth="1"/>
    <col min="12031" max="12031" width="8" style="25" customWidth="1"/>
    <col min="12032" max="12032" width="7.28515625" style="25" customWidth="1"/>
    <col min="12033" max="12033" width="7" style="25" customWidth="1"/>
    <col min="12034" max="12034" width="8.85546875" style="25" customWidth="1"/>
    <col min="12035" max="12035" width="8.28515625" style="25" customWidth="1"/>
    <col min="12036" max="12036" width="6.85546875" style="25" customWidth="1"/>
    <col min="12037" max="12037" width="8.28515625" style="25" customWidth="1"/>
    <col min="12038" max="12038" width="7" style="25" customWidth="1"/>
    <col min="12039" max="12039" width="8.140625" style="25" customWidth="1"/>
    <col min="12040" max="12040" width="7" style="25" customWidth="1"/>
    <col min="12041" max="12041" width="8.7109375" style="25" customWidth="1"/>
    <col min="12042" max="12042" width="6.7109375" style="25" customWidth="1"/>
    <col min="12043" max="12043" width="7.28515625" style="25" customWidth="1"/>
    <col min="12044" max="12044" width="5" style="25" customWidth="1"/>
    <col min="12045" max="12045" width="6.85546875" style="25" customWidth="1"/>
    <col min="12046" max="12046" width="8.5703125" style="25" customWidth="1"/>
    <col min="12047" max="12282" width="9.140625" style="25"/>
    <col min="12283" max="12283" width="16.7109375" style="25" customWidth="1"/>
    <col min="12284" max="12284" width="7.7109375" style="25" customWidth="1"/>
    <col min="12285" max="12285" width="4.7109375" style="25" customWidth="1"/>
    <col min="12286" max="12286" width="8.42578125" style="25" customWidth="1"/>
    <col min="12287" max="12287" width="8" style="25" customWidth="1"/>
    <col min="12288" max="12288" width="7.28515625" style="25" customWidth="1"/>
    <col min="12289" max="12289" width="7" style="25" customWidth="1"/>
    <col min="12290" max="12290" width="8.85546875" style="25" customWidth="1"/>
    <col min="12291" max="12291" width="8.28515625" style="25" customWidth="1"/>
    <col min="12292" max="12292" width="6.85546875" style="25" customWidth="1"/>
    <col min="12293" max="12293" width="8.28515625" style="25" customWidth="1"/>
    <col min="12294" max="12294" width="7" style="25" customWidth="1"/>
    <col min="12295" max="12295" width="8.140625" style="25" customWidth="1"/>
    <col min="12296" max="12296" width="7" style="25" customWidth="1"/>
    <col min="12297" max="12297" width="8.7109375" style="25" customWidth="1"/>
    <col min="12298" max="12298" width="6.7109375" style="25" customWidth="1"/>
    <col min="12299" max="12299" width="7.28515625" style="25" customWidth="1"/>
    <col min="12300" max="12300" width="5" style="25" customWidth="1"/>
    <col min="12301" max="12301" width="6.85546875" style="25" customWidth="1"/>
    <col min="12302" max="12302" width="8.5703125" style="25" customWidth="1"/>
    <col min="12303" max="12538" width="9.140625" style="25"/>
    <col min="12539" max="12539" width="16.7109375" style="25" customWidth="1"/>
    <col min="12540" max="12540" width="7.7109375" style="25" customWidth="1"/>
    <col min="12541" max="12541" width="4.7109375" style="25" customWidth="1"/>
    <col min="12542" max="12542" width="8.42578125" style="25" customWidth="1"/>
    <col min="12543" max="12543" width="8" style="25" customWidth="1"/>
    <col min="12544" max="12544" width="7.28515625" style="25" customWidth="1"/>
    <col min="12545" max="12545" width="7" style="25" customWidth="1"/>
    <col min="12546" max="12546" width="8.85546875" style="25" customWidth="1"/>
    <col min="12547" max="12547" width="8.28515625" style="25" customWidth="1"/>
    <col min="12548" max="12548" width="6.85546875" style="25" customWidth="1"/>
    <col min="12549" max="12549" width="8.28515625" style="25" customWidth="1"/>
    <col min="12550" max="12550" width="7" style="25" customWidth="1"/>
    <col min="12551" max="12551" width="8.140625" style="25" customWidth="1"/>
    <col min="12552" max="12552" width="7" style="25" customWidth="1"/>
    <col min="12553" max="12553" width="8.7109375" style="25" customWidth="1"/>
    <col min="12554" max="12554" width="6.7109375" style="25" customWidth="1"/>
    <col min="12555" max="12555" width="7.28515625" style="25" customWidth="1"/>
    <col min="12556" max="12556" width="5" style="25" customWidth="1"/>
    <col min="12557" max="12557" width="6.85546875" style="25" customWidth="1"/>
    <col min="12558" max="12558" width="8.5703125" style="25" customWidth="1"/>
    <col min="12559" max="12794" width="9.140625" style="25"/>
    <col min="12795" max="12795" width="16.7109375" style="25" customWidth="1"/>
    <col min="12796" max="12796" width="7.7109375" style="25" customWidth="1"/>
    <col min="12797" max="12797" width="4.7109375" style="25" customWidth="1"/>
    <col min="12798" max="12798" width="8.42578125" style="25" customWidth="1"/>
    <col min="12799" max="12799" width="8" style="25" customWidth="1"/>
    <col min="12800" max="12800" width="7.28515625" style="25" customWidth="1"/>
    <col min="12801" max="12801" width="7" style="25" customWidth="1"/>
    <col min="12802" max="12802" width="8.85546875" style="25" customWidth="1"/>
    <col min="12803" max="12803" width="8.28515625" style="25" customWidth="1"/>
    <col min="12804" max="12804" width="6.85546875" style="25" customWidth="1"/>
    <col min="12805" max="12805" width="8.28515625" style="25" customWidth="1"/>
    <col min="12806" max="12806" width="7" style="25" customWidth="1"/>
    <col min="12807" max="12807" width="8.140625" style="25" customWidth="1"/>
    <col min="12808" max="12808" width="7" style="25" customWidth="1"/>
    <col min="12809" max="12809" width="8.7109375" style="25" customWidth="1"/>
    <col min="12810" max="12810" width="6.7109375" style="25" customWidth="1"/>
    <col min="12811" max="12811" width="7.28515625" style="25" customWidth="1"/>
    <col min="12812" max="12812" width="5" style="25" customWidth="1"/>
    <col min="12813" max="12813" width="6.85546875" style="25" customWidth="1"/>
    <col min="12814" max="12814" width="8.5703125" style="25" customWidth="1"/>
    <col min="12815" max="13050" width="9.140625" style="25"/>
    <col min="13051" max="13051" width="16.7109375" style="25" customWidth="1"/>
    <col min="13052" max="13052" width="7.7109375" style="25" customWidth="1"/>
    <col min="13053" max="13053" width="4.7109375" style="25" customWidth="1"/>
    <col min="13054" max="13054" width="8.42578125" style="25" customWidth="1"/>
    <col min="13055" max="13055" width="8" style="25" customWidth="1"/>
    <col min="13056" max="13056" width="7.28515625" style="25" customWidth="1"/>
    <col min="13057" max="13057" width="7" style="25" customWidth="1"/>
    <col min="13058" max="13058" width="8.85546875" style="25" customWidth="1"/>
    <col min="13059" max="13059" width="8.28515625" style="25" customWidth="1"/>
    <col min="13060" max="13060" width="6.85546875" style="25" customWidth="1"/>
    <col min="13061" max="13061" width="8.28515625" style="25" customWidth="1"/>
    <col min="13062" max="13062" width="7" style="25" customWidth="1"/>
    <col min="13063" max="13063" width="8.140625" style="25" customWidth="1"/>
    <col min="13064" max="13064" width="7" style="25" customWidth="1"/>
    <col min="13065" max="13065" width="8.7109375" style="25" customWidth="1"/>
    <col min="13066" max="13066" width="6.7109375" style="25" customWidth="1"/>
    <col min="13067" max="13067" width="7.28515625" style="25" customWidth="1"/>
    <col min="13068" max="13068" width="5" style="25" customWidth="1"/>
    <col min="13069" max="13069" width="6.85546875" style="25" customWidth="1"/>
    <col min="13070" max="13070" width="8.5703125" style="25" customWidth="1"/>
    <col min="13071" max="13306" width="9.140625" style="25"/>
    <col min="13307" max="13307" width="16.7109375" style="25" customWidth="1"/>
    <col min="13308" max="13308" width="7.7109375" style="25" customWidth="1"/>
    <col min="13309" max="13309" width="4.7109375" style="25" customWidth="1"/>
    <col min="13310" max="13310" width="8.42578125" style="25" customWidth="1"/>
    <col min="13311" max="13311" width="8" style="25" customWidth="1"/>
    <col min="13312" max="13312" width="7.28515625" style="25" customWidth="1"/>
    <col min="13313" max="13313" width="7" style="25" customWidth="1"/>
    <col min="13314" max="13314" width="8.85546875" style="25" customWidth="1"/>
    <col min="13315" max="13315" width="8.28515625" style="25" customWidth="1"/>
    <col min="13316" max="13316" width="6.85546875" style="25" customWidth="1"/>
    <col min="13317" max="13317" width="8.28515625" style="25" customWidth="1"/>
    <col min="13318" max="13318" width="7" style="25" customWidth="1"/>
    <col min="13319" max="13319" width="8.140625" style="25" customWidth="1"/>
    <col min="13320" max="13320" width="7" style="25" customWidth="1"/>
    <col min="13321" max="13321" width="8.7109375" style="25" customWidth="1"/>
    <col min="13322" max="13322" width="6.7109375" style="25" customWidth="1"/>
    <col min="13323" max="13323" width="7.28515625" style="25" customWidth="1"/>
    <col min="13324" max="13324" width="5" style="25" customWidth="1"/>
    <col min="13325" max="13325" width="6.85546875" style="25" customWidth="1"/>
    <col min="13326" max="13326" width="8.5703125" style="25" customWidth="1"/>
    <col min="13327" max="13562" width="9.140625" style="25"/>
    <col min="13563" max="13563" width="16.7109375" style="25" customWidth="1"/>
    <col min="13564" max="13564" width="7.7109375" style="25" customWidth="1"/>
    <col min="13565" max="13565" width="4.7109375" style="25" customWidth="1"/>
    <col min="13566" max="13566" width="8.42578125" style="25" customWidth="1"/>
    <col min="13567" max="13567" width="8" style="25" customWidth="1"/>
    <col min="13568" max="13568" width="7.28515625" style="25" customWidth="1"/>
    <col min="13569" max="13569" width="7" style="25" customWidth="1"/>
    <col min="13570" max="13570" width="8.85546875" style="25" customWidth="1"/>
    <col min="13571" max="13571" width="8.28515625" style="25" customWidth="1"/>
    <col min="13572" max="13572" width="6.85546875" style="25" customWidth="1"/>
    <col min="13573" max="13573" width="8.28515625" style="25" customWidth="1"/>
    <col min="13574" max="13574" width="7" style="25" customWidth="1"/>
    <col min="13575" max="13575" width="8.140625" style="25" customWidth="1"/>
    <col min="13576" max="13576" width="7" style="25" customWidth="1"/>
    <col min="13577" max="13577" width="8.7109375" style="25" customWidth="1"/>
    <col min="13578" max="13578" width="6.7109375" style="25" customWidth="1"/>
    <col min="13579" max="13579" width="7.28515625" style="25" customWidth="1"/>
    <col min="13580" max="13580" width="5" style="25" customWidth="1"/>
    <col min="13581" max="13581" width="6.85546875" style="25" customWidth="1"/>
    <col min="13582" max="13582" width="8.5703125" style="25" customWidth="1"/>
    <col min="13583" max="13818" width="9.140625" style="25"/>
    <col min="13819" max="13819" width="16.7109375" style="25" customWidth="1"/>
    <col min="13820" max="13820" width="7.7109375" style="25" customWidth="1"/>
    <col min="13821" max="13821" width="4.7109375" style="25" customWidth="1"/>
    <col min="13822" max="13822" width="8.42578125" style="25" customWidth="1"/>
    <col min="13823" max="13823" width="8" style="25" customWidth="1"/>
    <col min="13824" max="13824" width="7.28515625" style="25" customWidth="1"/>
    <col min="13825" max="13825" width="7" style="25" customWidth="1"/>
    <col min="13826" max="13826" width="8.85546875" style="25" customWidth="1"/>
    <col min="13827" max="13827" width="8.28515625" style="25" customWidth="1"/>
    <col min="13828" max="13828" width="6.85546875" style="25" customWidth="1"/>
    <col min="13829" max="13829" width="8.28515625" style="25" customWidth="1"/>
    <col min="13830" max="13830" width="7" style="25" customWidth="1"/>
    <col min="13831" max="13831" width="8.140625" style="25" customWidth="1"/>
    <col min="13832" max="13832" width="7" style="25" customWidth="1"/>
    <col min="13833" max="13833" width="8.7109375" style="25" customWidth="1"/>
    <col min="13834" max="13834" width="6.7109375" style="25" customWidth="1"/>
    <col min="13835" max="13835" width="7.28515625" style="25" customWidth="1"/>
    <col min="13836" max="13836" width="5" style="25" customWidth="1"/>
    <col min="13837" max="13837" width="6.85546875" style="25" customWidth="1"/>
    <col min="13838" max="13838" width="8.5703125" style="25" customWidth="1"/>
    <col min="13839" max="14074" width="9.140625" style="25"/>
    <col min="14075" max="14075" width="16.7109375" style="25" customWidth="1"/>
    <col min="14076" max="14076" width="7.7109375" style="25" customWidth="1"/>
    <col min="14077" max="14077" width="4.7109375" style="25" customWidth="1"/>
    <col min="14078" max="14078" width="8.42578125" style="25" customWidth="1"/>
    <col min="14079" max="14079" width="8" style="25" customWidth="1"/>
    <col min="14080" max="14080" width="7.28515625" style="25" customWidth="1"/>
    <col min="14081" max="14081" width="7" style="25" customWidth="1"/>
    <col min="14082" max="14082" width="8.85546875" style="25" customWidth="1"/>
    <col min="14083" max="14083" width="8.28515625" style="25" customWidth="1"/>
    <col min="14084" max="14084" width="6.85546875" style="25" customWidth="1"/>
    <col min="14085" max="14085" width="8.28515625" style="25" customWidth="1"/>
    <col min="14086" max="14086" width="7" style="25" customWidth="1"/>
    <col min="14087" max="14087" width="8.140625" style="25" customWidth="1"/>
    <col min="14088" max="14088" width="7" style="25" customWidth="1"/>
    <col min="14089" max="14089" width="8.7109375" style="25" customWidth="1"/>
    <col min="14090" max="14090" width="6.7109375" style="25" customWidth="1"/>
    <col min="14091" max="14091" width="7.28515625" style="25" customWidth="1"/>
    <col min="14092" max="14092" width="5" style="25" customWidth="1"/>
    <col min="14093" max="14093" width="6.85546875" style="25" customWidth="1"/>
    <col min="14094" max="14094" width="8.5703125" style="25" customWidth="1"/>
    <col min="14095" max="14330" width="9.140625" style="25"/>
    <col min="14331" max="14331" width="16.7109375" style="25" customWidth="1"/>
    <col min="14332" max="14332" width="7.7109375" style="25" customWidth="1"/>
    <col min="14333" max="14333" width="4.7109375" style="25" customWidth="1"/>
    <col min="14334" max="14334" width="8.42578125" style="25" customWidth="1"/>
    <col min="14335" max="14335" width="8" style="25" customWidth="1"/>
    <col min="14336" max="14336" width="7.28515625" style="25" customWidth="1"/>
    <col min="14337" max="14337" width="7" style="25" customWidth="1"/>
    <col min="14338" max="14338" width="8.85546875" style="25" customWidth="1"/>
    <col min="14339" max="14339" width="8.28515625" style="25" customWidth="1"/>
    <col min="14340" max="14340" width="6.85546875" style="25" customWidth="1"/>
    <col min="14341" max="14341" width="8.28515625" style="25" customWidth="1"/>
    <col min="14342" max="14342" width="7" style="25" customWidth="1"/>
    <col min="14343" max="14343" width="8.140625" style="25" customWidth="1"/>
    <col min="14344" max="14344" width="7" style="25" customWidth="1"/>
    <col min="14345" max="14345" width="8.7109375" style="25" customWidth="1"/>
    <col min="14346" max="14346" width="6.7109375" style="25" customWidth="1"/>
    <col min="14347" max="14347" width="7.28515625" style="25" customWidth="1"/>
    <col min="14348" max="14348" width="5" style="25" customWidth="1"/>
    <col min="14349" max="14349" width="6.85546875" style="25" customWidth="1"/>
    <col min="14350" max="14350" width="8.5703125" style="25" customWidth="1"/>
    <col min="14351" max="14586" width="9.140625" style="25"/>
    <col min="14587" max="14587" width="16.7109375" style="25" customWidth="1"/>
    <col min="14588" max="14588" width="7.7109375" style="25" customWidth="1"/>
    <col min="14589" max="14589" width="4.7109375" style="25" customWidth="1"/>
    <col min="14590" max="14590" width="8.42578125" style="25" customWidth="1"/>
    <col min="14591" max="14591" width="8" style="25" customWidth="1"/>
    <col min="14592" max="14592" width="7.28515625" style="25" customWidth="1"/>
    <col min="14593" max="14593" width="7" style="25" customWidth="1"/>
    <col min="14594" max="14594" width="8.85546875" style="25" customWidth="1"/>
    <col min="14595" max="14595" width="8.28515625" style="25" customWidth="1"/>
    <col min="14596" max="14596" width="6.85546875" style="25" customWidth="1"/>
    <col min="14597" max="14597" width="8.28515625" style="25" customWidth="1"/>
    <col min="14598" max="14598" width="7" style="25" customWidth="1"/>
    <col min="14599" max="14599" width="8.140625" style="25" customWidth="1"/>
    <col min="14600" max="14600" width="7" style="25" customWidth="1"/>
    <col min="14601" max="14601" width="8.7109375" style="25" customWidth="1"/>
    <col min="14602" max="14602" width="6.7109375" style="25" customWidth="1"/>
    <col min="14603" max="14603" width="7.28515625" style="25" customWidth="1"/>
    <col min="14604" max="14604" width="5" style="25" customWidth="1"/>
    <col min="14605" max="14605" width="6.85546875" style="25" customWidth="1"/>
    <col min="14606" max="14606" width="8.5703125" style="25" customWidth="1"/>
    <col min="14607" max="14842" width="9.140625" style="25"/>
    <col min="14843" max="14843" width="16.7109375" style="25" customWidth="1"/>
    <col min="14844" max="14844" width="7.7109375" style="25" customWidth="1"/>
    <col min="14845" max="14845" width="4.7109375" style="25" customWidth="1"/>
    <col min="14846" max="14846" width="8.42578125" style="25" customWidth="1"/>
    <col min="14847" max="14847" width="8" style="25" customWidth="1"/>
    <col min="14848" max="14848" width="7.28515625" style="25" customWidth="1"/>
    <col min="14849" max="14849" width="7" style="25" customWidth="1"/>
    <col min="14850" max="14850" width="8.85546875" style="25" customWidth="1"/>
    <col min="14851" max="14851" width="8.28515625" style="25" customWidth="1"/>
    <col min="14852" max="14852" width="6.85546875" style="25" customWidth="1"/>
    <col min="14853" max="14853" width="8.28515625" style="25" customWidth="1"/>
    <col min="14854" max="14854" width="7" style="25" customWidth="1"/>
    <col min="14855" max="14855" width="8.140625" style="25" customWidth="1"/>
    <col min="14856" max="14856" width="7" style="25" customWidth="1"/>
    <col min="14857" max="14857" width="8.7109375" style="25" customWidth="1"/>
    <col min="14858" max="14858" width="6.7109375" style="25" customWidth="1"/>
    <col min="14859" max="14859" width="7.28515625" style="25" customWidth="1"/>
    <col min="14860" max="14860" width="5" style="25" customWidth="1"/>
    <col min="14861" max="14861" width="6.85546875" style="25" customWidth="1"/>
    <col min="14862" max="14862" width="8.5703125" style="25" customWidth="1"/>
    <col min="14863" max="15098" width="9.140625" style="25"/>
    <col min="15099" max="15099" width="16.7109375" style="25" customWidth="1"/>
    <col min="15100" max="15100" width="7.7109375" style="25" customWidth="1"/>
    <col min="15101" max="15101" width="4.7109375" style="25" customWidth="1"/>
    <col min="15102" max="15102" width="8.42578125" style="25" customWidth="1"/>
    <col min="15103" max="15103" width="8" style="25" customWidth="1"/>
    <col min="15104" max="15104" width="7.28515625" style="25" customWidth="1"/>
    <col min="15105" max="15105" width="7" style="25" customWidth="1"/>
    <col min="15106" max="15106" width="8.85546875" style="25" customWidth="1"/>
    <col min="15107" max="15107" width="8.28515625" style="25" customWidth="1"/>
    <col min="15108" max="15108" width="6.85546875" style="25" customWidth="1"/>
    <col min="15109" max="15109" width="8.28515625" style="25" customWidth="1"/>
    <col min="15110" max="15110" width="7" style="25" customWidth="1"/>
    <col min="15111" max="15111" width="8.140625" style="25" customWidth="1"/>
    <col min="15112" max="15112" width="7" style="25" customWidth="1"/>
    <col min="15113" max="15113" width="8.7109375" style="25" customWidth="1"/>
    <col min="15114" max="15114" width="6.7109375" style="25" customWidth="1"/>
    <col min="15115" max="15115" width="7.28515625" style="25" customWidth="1"/>
    <col min="15116" max="15116" width="5" style="25" customWidth="1"/>
    <col min="15117" max="15117" width="6.85546875" style="25" customWidth="1"/>
    <col min="15118" max="15118" width="8.5703125" style="25" customWidth="1"/>
    <col min="15119" max="15354" width="9.140625" style="25"/>
    <col min="15355" max="15355" width="16.7109375" style="25" customWidth="1"/>
    <col min="15356" max="15356" width="7.7109375" style="25" customWidth="1"/>
    <col min="15357" max="15357" width="4.7109375" style="25" customWidth="1"/>
    <col min="15358" max="15358" width="8.42578125" style="25" customWidth="1"/>
    <col min="15359" max="15359" width="8" style="25" customWidth="1"/>
    <col min="15360" max="15360" width="7.28515625" style="25" customWidth="1"/>
    <col min="15361" max="15361" width="7" style="25" customWidth="1"/>
    <col min="15362" max="15362" width="8.85546875" style="25" customWidth="1"/>
    <col min="15363" max="15363" width="8.28515625" style="25" customWidth="1"/>
    <col min="15364" max="15364" width="6.85546875" style="25" customWidth="1"/>
    <col min="15365" max="15365" width="8.28515625" style="25" customWidth="1"/>
    <col min="15366" max="15366" width="7" style="25" customWidth="1"/>
    <col min="15367" max="15367" width="8.140625" style="25" customWidth="1"/>
    <col min="15368" max="15368" width="7" style="25" customWidth="1"/>
    <col min="15369" max="15369" width="8.7109375" style="25" customWidth="1"/>
    <col min="15370" max="15370" width="6.7109375" style="25" customWidth="1"/>
    <col min="15371" max="15371" width="7.28515625" style="25" customWidth="1"/>
    <col min="15372" max="15372" width="5" style="25" customWidth="1"/>
    <col min="15373" max="15373" width="6.85546875" style="25" customWidth="1"/>
    <col min="15374" max="15374" width="8.5703125" style="25" customWidth="1"/>
    <col min="15375" max="15610" width="9.140625" style="25"/>
    <col min="15611" max="15611" width="16.7109375" style="25" customWidth="1"/>
    <col min="15612" max="15612" width="7.7109375" style="25" customWidth="1"/>
    <col min="15613" max="15613" width="4.7109375" style="25" customWidth="1"/>
    <col min="15614" max="15614" width="8.42578125" style="25" customWidth="1"/>
    <col min="15615" max="15615" width="8" style="25" customWidth="1"/>
    <col min="15616" max="15616" width="7.28515625" style="25" customWidth="1"/>
    <col min="15617" max="15617" width="7" style="25" customWidth="1"/>
    <col min="15618" max="15618" width="8.85546875" style="25" customWidth="1"/>
    <col min="15619" max="15619" width="8.28515625" style="25" customWidth="1"/>
    <col min="15620" max="15620" width="6.85546875" style="25" customWidth="1"/>
    <col min="15621" max="15621" width="8.28515625" style="25" customWidth="1"/>
    <col min="15622" max="15622" width="7" style="25" customWidth="1"/>
    <col min="15623" max="15623" width="8.140625" style="25" customWidth="1"/>
    <col min="15624" max="15624" width="7" style="25" customWidth="1"/>
    <col min="15625" max="15625" width="8.7109375" style="25" customWidth="1"/>
    <col min="15626" max="15626" width="6.7109375" style="25" customWidth="1"/>
    <col min="15627" max="15627" width="7.28515625" style="25" customWidth="1"/>
    <col min="15628" max="15628" width="5" style="25" customWidth="1"/>
    <col min="15629" max="15629" width="6.85546875" style="25" customWidth="1"/>
    <col min="15630" max="15630" width="8.5703125" style="25" customWidth="1"/>
    <col min="15631" max="15866" width="9.140625" style="25"/>
    <col min="15867" max="15867" width="16.7109375" style="25" customWidth="1"/>
    <col min="15868" max="15868" width="7.7109375" style="25" customWidth="1"/>
    <col min="15869" max="15869" width="4.7109375" style="25" customWidth="1"/>
    <col min="15870" max="15870" width="8.42578125" style="25" customWidth="1"/>
    <col min="15871" max="15871" width="8" style="25" customWidth="1"/>
    <col min="15872" max="15872" width="7.28515625" style="25" customWidth="1"/>
    <col min="15873" max="15873" width="7" style="25" customWidth="1"/>
    <col min="15874" max="15874" width="8.85546875" style="25" customWidth="1"/>
    <col min="15875" max="15875" width="8.28515625" style="25" customWidth="1"/>
    <col min="15876" max="15876" width="6.85546875" style="25" customWidth="1"/>
    <col min="15877" max="15877" width="8.28515625" style="25" customWidth="1"/>
    <col min="15878" max="15878" width="7" style="25" customWidth="1"/>
    <col min="15879" max="15879" width="8.140625" style="25" customWidth="1"/>
    <col min="15880" max="15880" width="7" style="25" customWidth="1"/>
    <col min="15881" max="15881" width="8.7109375" style="25" customWidth="1"/>
    <col min="15882" max="15882" width="6.7109375" style="25" customWidth="1"/>
    <col min="15883" max="15883" width="7.28515625" style="25" customWidth="1"/>
    <col min="15884" max="15884" width="5" style="25" customWidth="1"/>
    <col min="15885" max="15885" width="6.85546875" style="25" customWidth="1"/>
    <col min="15886" max="15886" width="8.5703125" style="25" customWidth="1"/>
    <col min="15887" max="16122" width="9.140625" style="25"/>
    <col min="16123" max="16123" width="16.7109375" style="25" customWidth="1"/>
    <col min="16124" max="16124" width="7.7109375" style="25" customWidth="1"/>
    <col min="16125" max="16125" width="4.7109375" style="25" customWidth="1"/>
    <col min="16126" max="16126" width="8.42578125" style="25" customWidth="1"/>
    <col min="16127" max="16127" width="8" style="25" customWidth="1"/>
    <col min="16128" max="16128" width="7.28515625" style="25" customWidth="1"/>
    <col min="16129" max="16129" width="7" style="25" customWidth="1"/>
    <col min="16130" max="16130" width="8.85546875" style="25" customWidth="1"/>
    <col min="16131" max="16131" width="8.28515625" style="25" customWidth="1"/>
    <col min="16132" max="16132" width="6.85546875" style="25" customWidth="1"/>
    <col min="16133" max="16133" width="8.28515625" style="25" customWidth="1"/>
    <col min="16134" max="16134" width="7" style="25" customWidth="1"/>
    <col min="16135" max="16135" width="8.140625" style="25" customWidth="1"/>
    <col min="16136" max="16136" width="7" style="25" customWidth="1"/>
    <col min="16137" max="16137" width="8.7109375" style="25" customWidth="1"/>
    <col min="16138" max="16138" width="6.7109375" style="25" customWidth="1"/>
    <col min="16139" max="16139" width="7.28515625" style="25" customWidth="1"/>
    <col min="16140" max="16140" width="5" style="25" customWidth="1"/>
    <col min="16141" max="16141" width="6.85546875" style="25" customWidth="1"/>
    <col min="16142" max="16142" width="8.5703125" style="25" customWidth="1"/>
    <col min="16143" max="16384" width="9.140625" style="25"/>
  </cols>
  <sheetData>
    <row r="4" spans="1:22" ht="127.5" customHeight="1">
      <c r="A4" s="400" t="s">
        <v>121</v>
      </c>
      <c r="B4" s="400" t="s">
        <v>122</v>
      </c>
      <c r="C4" s="402" t="s">
        <v>51</v>
      </c>
      <c r="D4" s="403"/>
      <c r="E4" s="400" t="s">
        <v>50</v>
      </c>
      <c r="F4" s="400" t="s">
        <v>52</v>
      </c>
      <c r="G4" s="400" t="s">
        <v>123</v>
      </c>
      <c r="H4" s="400"/>
      <c r="I4" s="400" t="s">
        <v>53</v>
      </c>
      <c r="J4" s="400"/>
      <c r="K4" s="375" t="s">
        <v>41</v>
      </c>
      <c r="L4" s="375"/>
      <c r="M4" s="375"/>
      <c r="N4" s="400" t="s">
        <v>48</v>
      </c>
      <c r="O4" s="400" t="s">
        <v>9</v>
      </c>
    </row>
    <row r="5" spans="1:22" ht="38.25" customHeight="1">
      <c r="A5" s="400"/>
      <c r="B5" s="400"/>
      <c r="C5" s="104" t="s">
        <v>54</v>
      </c>
      <c r="D5" s="104" t="s">
        <v>55</v>
      </c>
      <c r="E5" s="400"/>
      <c r="F5" s="400"/>
      <c r="G5" s="104" t="s">
        <v>54</v>
      </c>
      <c r="H5" s="104" t="s">
        <v>55</v>
      </c>
      <c r="I5" s="104" t="s">
        <v>54</v>
      </c>
      <c r="J5" s="104" t="s">
        <v>55</v>
      </c>
      <c r="K5" s="104" t="s">
        <v>49</v>
      </c>
      <c r="L5" s="104" t="s">
        <v>30</v>
      </c>
      <c r="M5" s="104" t="s">
        <v>31</v>
      </c>
      <c r="N5" s="400"/>
      <c r="O5" s="400"/>
    </row>
    <row r="6" spans="1:22" ht="15.75" customHeight="1">
      <c r="A6" s="401"/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Q6" s="63"/>
    </row>
    <row r="7" spans="1:22" ht="32.1" customHeight="1">
      <c r="A7" s="161"/>
      <c r="B7" s="16" t="s">
        <v>124</v>
      </c>
      <c r="C7" s="62">
        <v>32.200000000000003</v>
      </c>
      <c r="D7" s="17">
        <v>24</v>
      </c>
      <c r="E7" s="17">
        <v>0.4</v>
      </c>
      <c r="F7" s="17">
        <v>4048</v>
      </c>
      <c r="G7" s="19">
        <v>40</v>
      </c>
      <c r="H7" s="19">
        <v>60</v>
      </c>
      <c r="I7" s="62">
        <f>((C7*E7*F7)/(G7/100))/1000</f>
        <v>130.34560000000002</v>
      </c>
      <c r="J7" s="17">
        <f>((D7*E7*F7)/(H7/100))/1000</f>
        <v>64.768000000000001</v>
      </c>
      <c r="K7" s="62">
        <f>I7-J7</f>
        <v>65.577600000000018</v>
      </c>
      <c r="L7" s="62">
        <f>K7*1.0769*0.2871</f>
        <v>20.275150557024006</v>
      </c>
      <c r="M7" s="62">
        <f>(L7*210*2.38)/1000</f>
        <v>10.133520248400599</v>
      </c>
      <c r="N7" s="17">
        <v>42.7</v>
      </c>
      <c r="O7" s="62">
        <f>N7/M7</f>
        <v>4.2137380646907436</v>
      </c>
      <c r="Q7" s="63"/>
      <c r="T7" s="63"/>
      <c r="U7" s="26"/>
      <c r="V7" s="63"/>
    </row>
    <row r="8" spans="1:22" ht="15.75" customHeight="1">
      <c r="A8" s="397" t="s">
        <v>125</v>
      </c>
      <c r="B8" s="398"/>
      <c r="C8" s="398"/>
      <c r="D8" s="398"/>
      <c r="E8" s="398"/>
      <c r="F8" s="398"/>
      <c r="G8" s="398"/>
      <c r="H8" s="398"/>
      <c r="I8" s="398"/>
      <c r="J8" s="399"/>
      <c r="K8" s="105">
        <f>SUM(K7:K7)</f>
        <v>65.577600000000018</v>
      </c>
      <c r="L8" s="105">
        <f>SUM(L7:L7)</f>
        <v>20.275150557024006</v>
      </c>
      <c r="M8" s="105">
        <f>SUM(M7:M7)</f>
        <v>10.133520248400599</v>
      </c>
      <c r="N8" s="105">
        <f>SUM(N7:N7)</f>
        <v>42.7</v>
      </c>
      <c r="O8" s="17"/>
    </row>
    <row r="9" spans="1:22" ht="15.75" customHeight="1"/>
    <row r="10" spans="1:22" ht="15.75" customHeight="1"/>
    <row r="11" spans="1:22" ht="15.75" customHeight="1"/>
    <row r="12" spans="1:22" ht="15.75" customHeight="1"/>
    <row r="13" spans="1:22" ht="15.75" customHeight="1"/>
    <row r="14" spans="1:22" ht="15.75" customHeight="1"/>
    <row r="15" spans="1:22" ht="15.75" customHeight="1"/>
    <row r="16" spans="1:2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</sheetData>
  <mergeCells count="12">
    <mergeCell ref="A8:J8"/>
    <mergeCell ref="I4:J4"/>
    <mergeCell ref="K4:M4"/>
    <mergeCell ref="N4:N5"/>
    <mergeCell ref="O4:O5"/>
    <mergeCell ref="A6:O6"/>
    <mergeCell ref="A4:A5"/>
    <mergeCell ref="B4:B5"/>
    <mergeCell ref="C4:D4"/>
    <mergeCell ref="E4:E5"/>
    <mergeCell ref="F4:F5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33"/>
  <sheetViews>
    <sheetView topLeftCell="C13" zoomScale="80" zoomScaleNormal="80" workbookViewId="0">
      <selection activeCell="I39" sqref="I39"/>
    </sheetView>
  </sheetViews>
  <sheetFormatPr defaultRowHeight="15.75"/>
  <cols>
    <col min="1" max="1" width="22.5703125" style="149" customWidth="1"/>
    <col min="2" max="2" width="35.5703125" style="149" customWidth="1"/>
    <col min="3" max="3" width="13.7109375" style="149" customWidth="1"/>
    <col min="4" max="4" width="18.140625" style="149" customWidth="1"/>
    <col min="5" max="5" width="16.5703125" style="149" customWidth="1"/>
    <col min="6" max="6" width="9.140625" style="149"/>
    <col min="7" max="7" width="12" style="149" customWidth="1"/>
    <col min="8" max="8" width="15" style="149" customWidth="1"/>
    <col min="9" max="9" width="13.7109375" style="149" customWidth="1"/>
    <col min="10" max="10" width="14.28515625" style="149" customWidth="1"/>
    <col min="11" max="11" width="13.85546875" style="149" customWidth="1"/>
    <col min="12" max="12" width="14.85546875" style="149" customWidth="1"/>
    <col min="13" max="13" width="15.7109375" style="149" customWidth="1"/>
    <col min="14" max="16" width="9.140625" style="149"/>
    <col min="17" max="17" width="12.7109375" style="149" customWidth="1"/>
    <col min="18" max="18" width="14.28515625" style="149" customWidth="1"/>
    <col min="19" max="16384" width="9.140625" style="149"/>
  </cols>
  <sheetData>
    <row r="3" spans="1:13" ht="94.5" thickBot="1">
      <c r="A3" s="404" t="s">
        <v>8</v>
      </c>
      <c r="B3" s="219" t="s">
        <v>317</v>
      </c>
      <c r="C3"/>
      <c r="D3"/>
      <c r="E3"/>
      <c r="F3"/>
      <c r="G3"/>
      <c r="H3"/>
      <c r="I3"/>
      <c r="J3"/>
      <c r="K3"/>
      <c r="L3"/>
      <c r="M3"/>
    </row>
    <row r="4" spans="1:13" ht="95.25" thickBot="1">
      <c r="A4" s="404"/>
      <c r="B4" s="224" t="s">
        <v>127</v>
      </c>
      <c r="C4" s="407" t="s">
        <v>318</v>
      </c>
      <c r="D4" s="408"/>
      <c r="E4" s="407" t="s">
        <v>129</v>
      </c>
      <c r="F4" s="408"/>
      <c r="G4" s="225" t="s">
        <v>130</v>
      </c>
      <c r="H4" s="226" t="s">
        <v>131</v>
      </c>
      <c r="I4" s="407" t="s">
        <v>41</v>
      </c>
      <c r="J4" s="409"/>
      <c r="K4" s="408"/>
      <c r="L4" s="226" t="s">
        <v>42</v>
      </c>
      <c r="M4" s="226" t="s">
        <v>9</v>
      </c>
    </row>
    <row r="5" spans="1:13">
      <c r="A5" s="150" t="s">
        <v>197</v>
      </c>
      <c r="B5" s="151"/>
      <c r="C5" s="152"/>
      <c r="D5" s="152"/>
      <c r="E5" s="152"/>
    </row>
    <row r="6" spans="1:13">
      <c r="A6" s="150" t="s">
        <v>198</v>
      </c>
      <c r="B6" s="151"/>
      <c r="C6" s="152"/>
      <c r="D6" s="152"/>
      <c r="E6" s="152"/>
    </row>
    <row r="7" spans="1:13">
      <c r="A7" s="150" t="s">
        <v>199</v>
      </c>
      <c r="B7" s="151"/>
      <c r="C7" s="152"/>
      <c r="D7" s="152"/>
      <c r="E7" s="152"/>
    </row>
    <row r="8" spans="1:13">
      <c r="A8" s="148" t="s">
        <v>200</v>
      </c>
      <c r="B8" s="153"/>
      <c r="C8" s="148"/>
      <c r="D8" s="148"/>
      <c r="E8" s="148"/>
    </row>
    <row r="9" spans="1:13">
      <c r="A9" s="148" t="s">
        <v>201</v>
      </c>
      <c r="B9" s="153"/>
      <c r="C9" s="148"/>
      <c r="D9" s="148"/>
      <c r="E9" s="148"/>
    </row>
    <row r="10" spans="1:13">
      <c r="A10" s="148" t="s">
        <v>202</v>
      </c>
      <c r="B10" s="153"/>
      <c r="C10" s="148"/>
      <c r="D10" s="148"/>
      <c r="E10" s="148"/>
    </row>
    <row r="11" spans="1:13">
      <c r="A11" s="148" t="s">
        <v>203</v>
      </c>
      <c r="B11" s="153"/>
      <c r="C11" s="148"/>
      <c r="D11" s="154"/>
      <c r="E11" s="154"/>
    </row>
    <row r="12" spans="1:13">
      <c r="A12" s="148" t="s">
        <v>205</v>
      </c>
      <c r="B12" s="153"/>
      <c r="C12" s="148"/>
      <c r="D12" s="148"/>
      <c r="E12" s="148"/>
    </row>
    <row r="13" spans="1:13">
      <c r="A13" s="148" t="s">
        <v>206</v>
      </c>
      <c r="B13" s="153"/>
      <c r="C13" s="148"/>
      <c r="D13" s="154"/>
      <c r="E13" s="154"/>
    </row>
    <row r="14" spans="1:13">
      <c r="A14" s="148" t="s">
        <v>207</v>
      </c>
      <c r="B14" s="153"/>
      <c r="C14" s="148"/>
      <c r="D14" s="154"/>
      <c r="E14" s="154"/>
    </row>
    <row r="15" spans="1:13">
      <c r="A15" s="148" t="s">
        <v>208</v>
      </c>
      <c r="B15" s="153"/>
      <c r="C15" s="148"/>
      <c r="D15" s="148"/>
      <c r="E15" s="155"/>
    </row>
    <row r="16" spans="1:13">
      <c r="A16" s="148" t="s">
        <v>209</v>
      </c>
      <c r="B16" s="153"/>
      <c r="C16" s="148"/>
      <c r="D16" s="154"/>
      <c r="E16" s="154"/>
    </row>
    <row r="17" spans="1:13">
      <c r="A17" s="148" t="s">
        <v>210</v>
      </c>
      <c r="B17" s="153"/>
      <c r="C17" s="148"/>
      <c r="D17" s="154"/>
      <c r="E17" s="155"/>
    </row>
    <row r="18" spans="1:13">
      <c r="A18" s="148" t="s">
        <v>211</v>
      </c>
      <c r="B18" s="153"/>
      <c r="C18" s="148"/>
      <c r="D18" s="152"/>
      <c r="E18" s="155"/>
    </row>
    <row r="19" spans="1:13">
      <c r="A19" s="148" t="s">
        <v>212</v>
      </c>
      <c r="B19" s="153"/>
      <c r="C19" s="148"/>
      <c r="D19" s="155"/>
      <c r="E19" s="155"/>
    </row>
    <row r="20" spans="1:13">
      <c r="A20" s="148" t="s">
        <v>213</v>
      </c>
      <c r="B20" s="153"/>
      <c r="C20" s="148"/>
      <c r="D20" s="154"/>
      <c r="E20" s="155"/>
    </row>
    <row r="21" spans="1:13">
      <c r="A21" s="148" t="s">
        <v>214</v>
      </c>
      <c r="B21" s="153"/>
      <c r="C21" s="148"/>
      <c r="D21" s="154"/>
      <c r="E21" s="155"/>
    </row>
    <row r="22" spans="1:13">
      <c r="A22" s="404" t="s">
        <v>215</v>
      </c>
      <c r="B22" s="405"/>
      <c r="C22" s="148"/>
      <c r="D22" s="406"/>
      <c r="E22" s="406"/>
    </row>
    <row r="23" spans="1:13">
      <c r="A23" s="404"/>
      <c r="B23" s="405"/>
      <c r="C23" s="148"/>
      <c r="D23" s="406"/>
      <c r="E23" s="406"/>
    </row>
    <row r="24" spans="1:13">
      <c r="A24" s="148" t="s">
        <v>217</v>
      </c>
      <c r="B24" s="153"/>
      <c r="C24" s="148"/>
      <c r="D24" s="406"/>
      <c r="E24" s="406"/>
    </row>
    <row r="25" spans="1:13">
      <c r="A25" s="148" t="s">
        <v>218</v>
      </c>
      <c r="B25" s="153"/>
      <c r="C25" s="148"/>
      <c r="D25" s="406"/>
      <c r="E25" s="406"/>
    </row>
    <row r="30" spans="1:13" ht="94.5" thickBot="1">
      <c r="B30" s="219" t="s">
        <v>317</v>
      </c>
      <c r="C30"/>
      <c r="D30"/>
      <c r="E30"/>
      <c r="F30"/>
      <c r="G30"/>
      <c r="H30"/>
      <c r="I30"/>
      <c r="J30"/>
      <c r="K30"/>
      <c r="L30"/>
      <c r="M30"/>
    </row>
    <row r="31" spans="1:13" ht="60.75" customHeight="1" thickBot="1">
      <c r="B31" s="385" t="s">
        <v>127</v>
      </c>
      <c r="C31" s="407" t="s">
        <v>318</v>
      </c>
      <c r="D31" s="408"/>
      <c r="E31" s="407" t="s">
        <v>129</v>
      </c>
      <c r="F31" s="408"/>
      <c r="G31" s="410" t="s">
        <v>130</v>
      </c>
      <c r="H31" s="385" t="s">
        <v>131</v>
      </c>
      <c r="I31" s="407" t="s">
        <v>41</v>
      </c>
      <c r="J31" s="409"/>
      <c r="K31" s="408"/>
      <c r="L31" s="385" t="s">
        <v>42</v>
      </c>
      <c r="M31" s="385" t="s">
        <v>9</v>
      </c>
    </row>
    <row r="32" spans="1:13" ht="33.75" thickBot="1">
      <c r="B32" s="386"/>
      <c r="C32" s="218" t="s">
        <v>132</v>
      </c>
      <c r="D32" s="218" t="s">
        <v>133</v>
      </c>
      <c r="E32" s="218" t="s">
        <v>56</v>
      </c>
      <c r="F32" s="218" t="s">
        <v>134</v>
      </c>
      <c r="G32" s="411"/>
      <c r="H32" s="386"/>
      <c r="I32" s="218" t="s">
        <v>24</v>
      </c>
      <c r="J32" s="218" t="s">
        <v>30</v>
      </c>
      <c r="K32" s="218" t="s">
        <v>31</v>
      </c>
      <c r="L32" s="386"/>
      <c r="M32" s="386"/>
    </row>
    <row r="33" spans="2:13" ht="16.5" thickBot="1">
      <c r="B33" s="221">
        <v>112</v>
      </c>
      <c r="C33" s="222">
        <v>0.7</v>
      </c>
      <c r="D33" s="222">
        <v>2</v>
      </c>
      <c r="E33" s="210">
        <v>18</v>
      </c>
      <c r="F33" s="210">
        <v>-1.6</v>
      </c>
      <c r="G33" s="210">
        <v>199</v>
      </c>
      <c r="H33" s="222">
        <v>1.1000000000000001</v>
      </c>
      <c r="I33" s="210">
        <v>9.1999999999999993</v>
      </c>
      <c r="J33" s="210">
        <v>1.7</v>
      </c>
      <c r="K33" s="210">
        <v>0.8</v>
      </c>
      <c r="L33" s="210">
        <v>11.6</v>
      </c>
      <c r="M33" s="222">
        <v>13.8</v>
      </c>
    </row>
  </sheetData>
  <mergeCells count="18">
    <mergeCell ref="L31:L32"/>
    <mergeCell ref="M31:M32"/>
    <mergeCell ref="I4:K4"/>
    <mergeCell ref="B31:B32"/>
    <mergeCell ref="C31:D31"/>
    <mergeCell ref="E31:F31"/>
    <mergeCell ref="G31:G32"/>
    <mergeCell ref="H31:H32"/>
    <mergeCell ref="I31:K31"/>
    <mergeCell ref="D24:E24"/>
    <mergeCell ref="D25:E25"/>
    <mergeCell ref="A3:A4"/>
    <mergeCell ref="A22:A23"/>
    <mergeCell ref="B22:B23"/>
    <mergeCell ref="D22:E22"/>
    <mergeCell ref="D23:E23"/>
    <mergeCell ref="C4:D4"/>
    <mergeCell ref="E4:F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2" sqref="D12:F17"/>
    </sheetView>
  </sheetViews>
  <sheetFormatPr defaultRowHeight="12.75"/>
  <cols>
    <col min="1" max="1" width="22.140625" style="162" customWidth="1"/>
    <col min="2" max="2" width="12.5703125" style="162" customWidth="1"/>
    <col min="3" max="3" width="12.7109375" style="162" customWidth="1"/>
    <col min="4" max="4" width="15.5703125" style="162" customWidth="1"/>
    <col min="5" max="5" width="14.5703125" style="162" customWidth="1"/>
    <col min="6" max="6" width="15.5703125" style="162" customWidth="1"/>
    <col min="7" max="7" width="11.5703125" style="162" customWidth="1"/>
    <col min="8" max="8" width="14" style="162" customWidth="1"/>
    <col min="9" max="9" width="11.5703125" style="162" customWidth="1"/>
    <col min="10" max="10" width="11.85546875" style="162" customWidth="1"/>
    <col min="11" max="11" width="11" style="162" customWidth="1"/>
    <col min="12" max="12" width="13.28515625" style="162" customWidth="1"/>
    <col min="13" max="13" width="8.85546875" style="162" customWidth="1"/>
    <col min="14" max="14" width="8" style="162" customWidth="1"/>
    <col min="15" max="17" width="9.140625" style="162"/>
    <col min="18" max="18" width="17.140625" style="162" customWidth="1"/>
    <col min="19" max="19" width="11" style="162" customWidth="1"/>
    <col min="20" max="20" width="14.42578125" style="162" customWidth="1"/>
    <col min="21" max="16384" width="9.140625" style="162"/>
  </cols>
  <sheetData>
    <row r="1" spans="1:11" s="164" customFormat="1" ht="15.75" customHeight="1"/>
    <row r="2" spans="1:11" ht="100.5" customHeight="1">
      <c r="A2" s="404"/>
      <c r="B2" s="412"/>
      <c r="C2" s="412"/>
      <c r="D2" s="412"/>
      <c r="E2" s="412"/>
      <c r="F2" s="412"/>
      <c r="G2" s="415"/>
      <c r="H2" s="415"/>
      <c r="I2" s="415"/>
      <c r="J2" s="412"/>
      <c r="K2" s="412"/>
    </row>
    <row r="3" spans="1:11" ht="108.75" customHeight="1">
      <c r="A3" s="404"/>
      <c r="B3" s="413"/>
      <c r="C3" s="413"/>
      <c r="D3" s="413"/>
      <c r="E3" s="413"/>
      <c r="F3" s="413"/>
      <c r="G3" s="89"/>
      <c r="H3" s="89"/>
      <c r="I3" s="89"/>
      <c r="J3" s="413"/>
      <c r="K3" s="413"/>
    </row>
    <row r="4" spans="1:11" ht="15.75">
      <c r="A4" s="165"/>
      <c r="B4" s="150"/>
      <c r="C4" s="166"/>
      <c r="D4" s="150"/>
      <c r="E4" s="150"/>
      <c r="F4" s="155"/>
      <c r="G4" s="167"/>
      <c r="H4" s="93"/>
      <c r="I4" s="93"/>
      <c r="J4" s="93"/>
      <c r="K4" s="168"/>
    </row>
    <row r="8" spans="1:11">
      <c r="A8" s="88"/>
      <c r="B8" s="88"/>
    </row>
    <row r="9" spans="1:11" ht="51" customHeight="1">
      <c r="A9" s="163"/>
      <c r="B9" s="91"/>
    </row>
    <row r="10" spans="1:11">
      <c r="A10" s="95"/>
      <c r="B10" s="91"/>
    </row>
    <row r="11" spans="1:11" ht="13.5" thickBot="1">
      <c r="A11" s="95"/>
      <c r="B11" s="91"/>
    </row>
    <row r="12" spans="1:11" ht="48" thickBot="1">
      <c r="A12" s="95"/>
      <c r="B12" s="91"/>
      <c r="D12" s="227" t="s">
        <v>319</v>
      </c>
      <c r="E12" s="228">
        <v>20.55</v>
      </c>
      <c r="F12" s="228" t="s">
        <v>216</v>
      </c>
    </row>
    <row r="13" spans="1:11" ht="16.5" thickBot="1">
      <c r="A13" s="88"/>
      <c r="B13" s="97"/>
      <c r="D13" s="379" t="s">
        <v>41</v>
      </c>
      <c r="E13" s="210">
        <v>371.3</v>
      </c>
      <c r="F13" s="210" t="s">
        <v>24</v>
      </c>
    </row>
    <row r="14" spans="1:11" ht="16.5" thickBot="1">
      <c r="D14" s="414"/>
      <c r="E14" s="210">
        <v>4.5</v>
      </c>
      <c r="F14" s="210" t="s">
        <v>320</v>
      </c>
    </row>
    <row r="15" spans="1:11" ht="16.5" thickBot="1">
      <c r="D15" s="414"/>
      <c r="E15" s="210">
        <v>61.8</v>
      </c>
      <c r="F15" s="210" t="s">
        <v>30</v>
      </c>
    </row>
    <row r="16" spans="1:11" ht="16.5" thickBot="1">
      <c r="D16" s="380"/>
      <c r="E16" s="210">
        <v>33.4</v>
      </c>
      <c r="F16" s="210" t="s">
        <v>31</v>
      </c>
    </row>
    <row r="17" spans="4:6" ht="32.25" thickBot="1">
      <c r="D17" s="211" t="s">
        <v>163</v>
      </c>
      <c r="E17" s="210">
        <v>0.61</v>
      </c>
      <c r="F17" s="210" t="s">
        <v>23</v>
      </c>
    </row>
  </sheetData>
  <mergeCells count="10">
    <mergeCell ref="D13:D16"/>
    <mergeCell ref="F2:F3"/>
    <mergeCell ref="G2:I2"/>
    <mergeCell ref="J2:J3"/>
    <mergeCell ref="K2:K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"/>
  <sheetViews>
    <sheetView zoomScale="80" zoomScaleNormal="80" workbookViewId="0">
      <selection activeCell="H5" sqref="H5"/>
    </sheetView>
  </sheetViews>
  <sheetFormatPr defaultRowHeight="12.75"/>
  <cols>
    <col min="1" max="1" width="3.140625" customWidth="1"/>
    <col min="2" max="2" width="16.28515625" customWidth="1"/>
    <col min="3" max="3" width="15.7109375" customWidth="1"/>
    <col min="4" max="4" width="15.28515625" customWidth="1"/>
    <col min="5" max="5" width="15" customWidth="1"/>
    <col min="6" max="6" width="6.7109375" customWidth="1"/>
    <col min="7" max="7" width="6.42578125" customWidth="1"/>
    <col min="8" max="8" width="7.140625" customWidth="1"/>
    <col min="9" max="9" width="10.7109375" bestFit="1" customWidth="1"/>
    <col min="10" max="10" width="9.28515625" bestFit="1" customWidth="1"/>
  </cols>
  <sheetData>
    <row r="1" spans="1:10" ht="15.75">
      <c r="A1" s="70"/>
      <c r="B1" s="70"/>
      <c r="C1" s="70"/>
      <c r="D1" s="70"/>
      <c r="E1" s="70"/>
    </row>
    <row r="2" spans="1:10" ht="45.75" customHeight="1">
      <c r="A2" s="416" t="s">
        <v>8</v>
      </c>
      <c r="B2" s="416" t="s">
        <v>67</v>
      </c>
      <c r="C2" s="416" t="s">
        <v>68</v>
      </c>
      <c r="D2" s="416" t="s">
        <v>69</v>
      </c>
      <c r="E2" s="416" t="s">
        <v>50</v>
      </c>
      <c r="F2" s="416" t="s">
        <v>41</v>
      </c>
      <c r="G2" s="416"/>
      <c r="H2" s="416"/>
      <c r="I2" s="416" t="s">
        <v>70</v>
      </c>
      <c r="J2" s="416" t="s">
        <v>71</v>
      </c>
    </row>
    <row r="3" spans="1:10" ht="36.75" customHeight="1">
      <c r="A3" s="416"/>
      <c r="B3" s="416"/>
      <c r="C3" s="416"/>
      <c r="D3" s="416"/>
      <c r="E3" s="416"/>
      <c r="F3" s="71" t="s">
        <v>72</v>
      </c>
      <c r="G3" s="71" t="s">
        <v>30</v>
      </c>
      <c r="H3" s="71" t="s">
        <v>31</v>
      </c>
      <c r="I3" s="416"/>
      <c r="J3" s="416"/>
    </row>
    <row r="4" spans="1:10" s="72" customFormat="1" ht="15.75" customHeight="1">
      <c r="A4" s="420"/>
      <c r="B4" s="420"/>
      <c r="C4" s="420"/>
      <c r="D4" s="420"/>
      <c r="E4" s="420"/>
      <c r="F4" s="420"/>
      <c r="G4" s="420"/>
      <c r="H4" s="420"/>
      <c r="I4" s="420"/>
      <c r="J4" s="420"/>
    </row>
    <row r="5" spans="1:10" ht="15.75">
      <c r="A5" s="71">
        <v>1</v>
      </c>
      <c r="B5" s="71">
        <v>7.5</v>
      </c>
      <c r="C5" s="71">
        <v>4.8</v>
      </c>
      <c r="D5" s="71">
        <v>4840</v>
      </c>
      <c r="E5" s="73">
        <v>0.7</v>
      </c>
      <c r="F5" s="74">
        <f>((B5-C5)*D5*E5)/1000</f>
        <v>9.1475999999999988</v>
      </c>
      <c r="G5" s="74">
        <f>F5*0.2871*1.0769</f>
        <v>2.828236581324</v>
      </c>
      <c r="H5" s="74">
        <f>G5*210*2.38/1000</f>
        <v>1.4135526433457353</v>
      </c>
      <c r="I5" s="74">
        <v>4</v>
      </c>
      <c r="J5" s="74">
        <f>I5/H5</f>
        <v>2.8297495808379707</v>
      </c>
    </row>
    <row r="6" spans="1:10" ht="15.75">
      <c r="A6" s="421" t="s">
        <v>10</v>
      </c>
      <c r="B6" s="421"/>
      <c r="C6" s="421"/>
      <c r="D6" s="421"/>
      <c r="E6" s="421"/>
      <c r="F6" s="75">
        <f>F5</f>
        <v>9.1475999999999988</v>
      </c>
      <c r="G6" s="75">
        <f t="shared" ref="G6:I6" si="0">G5</f>
        <v>2.828236581324</v>
      </c>
      <c r="H6" s="75">
        <f t="shared" si="0"/>
        <v>1.4135526433457353</v>
      </c>
      <c r="I6" s="75">
        <f t="shared" si="0"/>
        <v>4</v>
      </c>
      <c r="J6" s="76"/>
    </row>
    <row r="11" spans="1:10" ht="15.75">
      <c r="A11" s="417"/>
      <c r="B11" s="417"/>
      <c r="C11" s="417"/>
      <c r="D11" s="417"/>
      <c r="E11" s="417"/>
      <c r="F11" s="417"/>
      <c r="G11" s="417"/>
      <c r="H11" s="417"/>
      <c r="I11" s="417"/>
      <c r="J11" s="417"/>
    </row>
    <row r="12" spans="1:10" ht="15.75">
      <c r="A12" s="417"/>
      <c r="B12" s="417"/>
      <c r="C12" s="417"/>
      <c r="D12" s="417"/>
      <c r="E12" s="417"/>
      <c r="F12" s="77"/>
      <c r="G12" s="77"/>
      <c r="H12" s="77"/>
      <c r="I12" s="417"/>
      <c r="J12" s="417"/>
    </row>
    <row r="13" spans="1:10" ht="15.75">
      <c r="A13" s="418"/>
      <c r="B13" s="418"/>
      <c r="C13" s="418"/>
      <c r="D13" s="418"/>
      <c r="E13" s="418"/>
      <c r="F13" s="418"/>
      <c r="G13" s="418"/>
      <c r="H13" s="418"/>
      <c r="I13" s="418"/>
      <c r="J13" s="418"/>
    </row>
    <row r="14" spans="1:10" ht="15.75">
      <c r="A14" s="77"/>
      <c r="B14" s="77"/>
      <c r="C14" s="77"/>
      <c r="D14" s="77"/>
      <c r="E14" s="78"/>
      <c r="F14" s="36"/>
      <c r="G14" s="36"/>
      <c r="H14" s="36"/>
      <c r="I14" s="36"/>
      <c r="J14" s="36"/>
    </row>
    <row r="15" spans="1:10" ht="15.75">
      <c r="A15" s="419"/>
      <c r="B15" s="419"/>
      <c r="C15" s="419"/>
      <c r="D15" s="419"/>
      <c r="E15" s="419"/>
      <c r="F15" s="79"/>
      <c r="G15" s="79"/>
      <c r="H15" s="79"/>
      <c r="I15" s="79"/>
      <c r="J15" s="80"/>
    </row>
  </sheetData>
  <mergeCells count="20">
    <mergeCell ref="I11:I12"/>
    <mergeCell ref="J11:J12"/>
    <mergeCell ref="A13:J13"/>
    <mergeCell ref="A15:E15"/>
    <mergeCell ref="I2:I3"/>
    <mergeCell ref="J2:J3"/>
    <mergeCell ref="A4:J4"/>
    <mergeCell ref="A6:E6"/>
    <mergeCell ref="A11:A12"/>
    <mergeCell ref="B11:B12"/>
    <mergeCell ref="C11:C12"/>
    <mergeCell ref="D11:D12"/>
    <mergeCell ref="E11:E12"/>
    <mergeCell ref="F11:H11"/>
    <mergeCell ref="A2:A3"/>
    <mergeCell ref="B2:B3"/>
    <mergeCell ref="C2:C3"/>
    <mergeCell ref="D2:D3"/>
    <mergeCell ref="E2:E3"/>
    <mergeCell ref="F2:H2"/>
  </mergeCells>
  <pageMargins left="0.78740157480314965" right="0.19685039370078741" top="0" bottom="0" header="0.51181102362204722" footer="0.51181102362204722"/>
  <pageSetup paperSize="9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B23"/>
  <sheetViews>
    <sheetView topLeftCell="A22" zoomScale="80" zoomScaleNormal="80" workbookViewId="0">
      <selection activeCell="B17" sqref="B17:B18"/>
    </sheetView>
  </sheetViews>
  <sheetFormatPr defaultRowHeight="12.75"/>
  <cols>
    <col min="1" max="1" width="3.140625" customWidth="1"/>
    <col min="2" max="2" width="16.28515625" customWidth="1"/>
    <col min="3" max="3" width="9.85546875" customWidth="1"/>
    <col min="4" max="4" width="9.5703125" customWidth="1"/>
    <col min="5" max="5" width="8.85546875" customWidth="1"/>
    <col min="6" max="7" width="8.140625" customWidth="1"/>
    <col min="8" max="8" width="8.42578125" customWidth="1"/>
    <col min="9" max="9" width="8.140625" customWidth="1"/>
    <col min="10" max="10" width="8" customWidth="1"/>
    <col min="11" max="11" width="7.7109375" customWidth="1"/>
    <col min="12" max="13" width="6.7109375" customWidth="1"/>
    <col min="14" max="14" width="7.42578125" customWidth="1"/>
    <col min="15" max="15" width="7.140625" customWidth="1"/>
    <col min="16" max="16" width="5.7109375" customWidth="1"/>
    <col min="18" max="18" width="24.85546875" customWidth="1"/>
    <col min="19" max="19" width="13.28515625" customWidth="1"/>
    <col min="21" max="21" width="19" customWidth="1"/>
    <col min="24" max="24" width="16.7109375" customWidth="1"/>
    <col min="27" max="27" width="14.85546875" customWidth="1"/>
  </cols>
  <sheetData>
    <row r="2" spans="2:21">
      <c r="C2" s="81" t="s">
        <v>73</v>
      </c>
      <c r="D2" s="81" t="s">
        <v>74</v>
      </c>
      <c r="E2" s="81" t="s">
        <v>75</v>
      </c>
      <c r="F2" s="81" t="s">
        <v>76</v>
      </c>
      <c r="G2" s="81" t="s">
        <v>77</v>
      </c>
    </row>
    <row r="3" spans="2:21">
      <c r="B3" s="82" t="s">
        <v>78</v>
      </c>
      <c r="C3" s="82">
        <v>15</v>
      </c>
      <c r="D3" s="82">
        <v>3000</v>
      </c>
      <c r="E3" s="82">
        <v>55</v>
      </c>
      <c r="F3" s="82">
        <v>50</v>
      </c>
      <c r="G3" s="82">
        <v>50</v>
      </c>
    </row>
    <row r="4" spans="2:21">
      <c r="B4" s="82" t="s">
        <v>78</v>
      </c>
      <c r="C4" s="82">
        <v>15</v>
      </c>
      <c r="D4" s="82">
        <v>3000</v>
      </c>
      <c r="E4" s="82">
        <v>55</v>
      </c>
      <c r="F4" s="82">
        <v>50</v>
      </c>
      <c r="G4" s="82">
        <v>50</v>
      </c>
    </row>
    <row r="5" spans="2:21">
      <c r="B5" s="83" t="s">
        <v>79</v>
      </c>
      <c r="C5" s="84">
        <v>15</v>
      </c>
      <c r="D5" s="84">
        <v>3000</v>
      </c>
      <c r="E5" s="84">
        <v>68</v>
      </c>
      <c r="F5" s="84">
        <v>50</v>
      </c>
      <c r="G5" s="84">
        <v>50</v>
      </c>
    </row>
    <row r="6" spans="2:21" ht="33.75">
      <c r="B6" s="85" t="s">
        <v>80</v>
      </c>
      <c r="C6" s="84">
        <v>11</v>
      </c>
      <c r="D6" s="84">
        <v>3000</v>
      </c>
      <c r="E6" s="84">
        <v>68</v>
      </c>
      <c r="F6" s="84">
        <v>45</v>
      </c>
      <c r="G6" s="84">
        <v>45</v>
      </c>
    </row>
    <row r="7" spans="2:21">
      <c r="B7" s="81" t="s">
        <v>81</v>
      </c>
      <c r="C7" s="81">
        <v>45</v>
      </c>
      <c r="D7" s="81">
        <v>2900</v>
      </c>
      <c r="E7" s="81">
        <v>57</v>
      </c>
      <c r="F7" s="81">
        <v>100</v>
      </c>
      <c r="G7" s="81">
        <v>80</v>
      </c>
    </row>
    <row r="8" spans="2:21">
      <c r="B8" s="86" t="s">
        <v>82</v>
      </c>
      <c r="C8" s="86">
        <v>45</v>
      </c>
      <c r="D8" s="86">
        <v>2900</v>
      </c>
      <c r="E8" s="86">
        <v>67</v>
      </c>
      <c r="F8" s="86">
        <v>100</v>
      </c>
      <c r="G8" s="86">
        <v>80</v>
      </c>
    </row>
    <row r="9" spans="2:21">
      <c r="B9" s="86" t="s">
        <v>83</v>
      </c>
      <c r="C9" s="86">
        <v>37</v>
      </c>
      <c r="D9" s="86">
        <v>3000</v>
      </c>
      <c r="E9" s="86">
        <v>67</v>
      </c>
      <c r="F9" s="86">
        <v>90</v>
      </c>
      <c r="G9" s="86">
        <v>65</v>
      </c>
      <c r="U9">
        <v>210</v>
      </c>
    </row>
    <row r="10" spans="2:21">
      <c r="B10" s="81" t="s">
        <v>84</v>
      </c>
      <c r="C10" s="81">
        <v>37</v>
      </c>
      <c r="D10" s="81">
        <v>3000</v>
      </c>
      <c r="E10" s="81">
        <v>56</v>
      </c>
      <c r="F10" s="81">
        <v>100</v>
      </c>
      <c r="G10" s="81">
        <v>52</v>
      </c>
      <c r="U10">
        <v>2.38</v>
      </c>
    </row>
    <row r="11" spans="2:21">
      <c r="B11" s="87" t="s">
        <v>85</v>
      </c>
      <c r="C11" s="86">
        <v>30</v>
      </c>
      <c r="D11" s="86">
        <v>3000</v>
      </c>
      <c r="E11" s="86">
        <v>67</v>
      </c>
      <c r="F11" s="86">
        <v>100</v>
      </c>
      <c r="G11" s="86">
        <v>50</v>
      </c>
    </row>
    <row r="17" spans="2:28" ht="48.75" customHeight="1">
      <c r="B17" s="416" t="s">
        <v>86</v>
      </c>
      <c r="C17" s="412" t="s">
        <v>87</v>
      </c>
      <c r="D17" s="412" t="s">
        <v>88</v>
      </c>
      <c r="E17" s="412" t="s">
        <v>89</v>
      </c>
      <c r="F17" s="412" t="s">
        <v>90</v>
      </c>
      <c r="G17" s="412" t="s">
        <v>91</v>
      </c>
      <c r="H17" s="412" t="s">
        <v>92</v>
      </c>
      <c r="I17" s="412" t="s">
        <v>93</v>
      </c>
      <c r="J17" s="412" t="s">
        <v>94</v>
      </c>
      <c r="K17" s="412" t="s">
        <v>95</v>
      </c>
      <c r="L17" s="415" t="s">
        <v>41</v>
      </c>
      <c r="M17" s="415"/>
      <c r="N17" s="415"/>
      <c r="O17" s="412" t="s">
        <v>96</v>
      </c>
      <c r="P17" s="412" t="s">
        <v>9</v>
      </c>
      <c r="R17" s="88" t="s">
        <v>97</v>
      </c>
      <c r="S17" s="88" t="s">
        <v>98</v>
      </c>
      <c r="U17" s="88" t="s">
        <v>97</v>
      </c>
      <c r="V17" s="88" t="s">
        <v>98</v>
      </c>
      <c r="X17" s="88" t="s">
        <v>97</v>
      </c>
      <c r="Y17" s="88" t="s">
        <v>98</v>
      </c>
      <c r="AA17" s="88" t="s">
        <v>97</v>
      </c>
      <c r="AB17" s="88" t="s">
        <v>98</v>
      </c>
    </row>
    <row r="18" spans="2:28" ht="128.25" customHeight="1">
      <c r="B18" s="416"/>
      <c r="C18" s="413"/>
      <c r="D18" s="413"/>
      <c r="E18" s="413"/>
      <c r="F18" s="413"/>
      <c r="G18" s="413"/>
      <c r="H18" s="413"/>
      <c r="I18" s="413"/>
      <c r="J18" s="413"/>
      <c r="K18" s="413"/>
      <c r="L18" s="89" t="s">
        <v>72</v>
      </c>
      <c r="M18" s="89" t="s">
        <v>30</v>
      </c>
      <c r="N18" s="89" t="s">
        <v>99</v>
      </c>
      <c r="O18" s="413"/>
      <c r="P18" s="413"/>
      <c r="R18" s="90" t="s">
        <v>100</v>
      </c>
      <c r="S18" s="91">
        <v>1300</v>
      </c>
      <c r="U18" s="90" t="s">
        <v>100</v>
      </c>
      <c r="V18" s="91">
        <v>1300</v>
      </c>
      <c r="X18" s="90" t="s">
        <v>100</v>
      </c>
      <c r="Y18" s="91">
        <v>1500</v>
      </c>
      <c r="AA18" s="90" t="s">
        <v>100</v>
      </c>
      <c r="AB18" s="91">
        <v>1200</v>
      </c>
    </row>
    <row r="19" spans="2:28" ht="48.75" customHeight="1">
      <c r="B19" s="71" t="s">
        <v>80</v>
      </c>
      <c r="C19" s="71">
        <v>15</v>
      </c>
      <c r="D19" s="71">
        <v>11</v>
      </c>
      <c r="E19" s="71">
        <v>0.55000000000000004</v>
      </c>
      <c r="F19" s="71">
        <v>0.68</v>
      </c>
      <c r="G19" s="71">
        <v>45</v>
      </c>
      <c r="H19" s="71">
        <v>45</v>
      </c>
      <c r="I19" s="71">
        <v>6800</v>
      </c>
      <c r="J19" s="71">
        <v>6550</v>
      </c>
      <c r="K19" s="92">
        <f>+D19*I19*E19*0.7/1000</f>
        <v>28.797999999999995</v>
      </c>
      <c r="L19" s="74">
        <f>(((C19*E19*I19)-(D19*F19*J19))*0.7*1.0769)/1000</f>
        <v>5.3567159799999997</v>
      </c>
      <c r="M19" s="93">
        <f>+L19*0.2871*1.0769</f>
        <v>1.6561786796972802</v>
      </c>
      <c r="N19" s="93">
        <f>ROUND(+M19*U$9*U$10,0)/1000</f>
        <v>0.82799999999999996</v>
      </c>
      <c r="O19" s="93">
        <f>+S22/1000</f>
        <v>1.6964999999999999</v>
      </c>
      <c r="P19" s="94">
        <f>+ROUND(O19/N19,3)</f>
        <v>2.0489999999999999</v>
      </c>
      <c r="R19" s="95" t="s">
        <v>45</v>
      </c>
      <c r="S19" s="91">
        <f>S20*0.1</f>
        <v>32.5</v>
      </c>
      <c r="U19" s="95" t="s">
        <v>45</v>
      </c>
      <c r="V19" s="91">
        <f>V20*0.1</f>
        <v>32.5</v>
      </c>
      <c r="X19" s="95" t="s">
        <v>45</v>
      </c>
      <c r="Y19" s="91">
        <f>Y20*0.1</f>
        <v>37.5</v>
      </c>
      <c r="AA19" s="95" t="s">
        <v>45</v>
      </c>
      <c r="AB19" s="91">
        <f>AB20*0.1</f>
        <v>30</v>
      </c>
    </row>
    <row r="20" spans="2:28" ht="47.25">
      <c r="B20" s="71" t="s">
        <v>80</v>
      </c>
      <c r="C20" s="71">
        <v>15</v>
      </c>
      <c r="D20" s="71">
        <v>11</v>
      </c>
      <c r="E20" s="71">
        <v>0.55000000000000004</v>
      </c>
      <c r="F20" s="71">
        <v>0.68</v>
      </c>
      <c r="G20" s="71">
        <v>45</v>
      </c>
      <c r="H20" s="71">
        <v>45</v>
      </c>
      <c r="I20" s="71">
        <v>6800</v>
      </c>
      <c r="J20" s="71">
        <v>6550</v>
      </c>
      <c r="K20" s="92">
        <f>+D20*J20*0.7/1000</f>
        <v>50.435000000000002</v>
      </c>
      <c r="L20" s="74">
        <f t="shared" ref="L20:L22" si="0">(((C20*E20*I20)-(D20*F20*J20))*0.7*1.0769)/1000</f>
        <v>5.3567159799999997</v>
      </c>
      <c r="M20" s="93">
        <f t="shared" ref="M20:M22" si="1">+L20*0.2871*1.0769</f>
        <v>1.6561786796972802</v>
      </c>
      <c r="N20" s="93">
        <f t="shared" ref="N20:N22" si="2">ROUND(+M20*U$9*U$10,0)/1000</f>
        <v>0.82799999999999996</v>
      </c>
      <c r="O20" s="93">
        <f>+V22/1000</f>
        <v>1.6964999999999999</v>
      </c>
      <c r="P20" s="94">
        <f t="shared" ref="P20:P23" si="3">+ROUND(O20/N20,3)</f>
        <v>2.0489999999999999</v>
      </c>
      <c r="R20" s="95" t="s">
        <v>101</v>
      </c>
      <c r="S20" s="91">
        <f>SUM(S18:S18)*0.25</f>
        <v>325</v>
      </c>
      <c r="U20" s="95" t="s">
        <v>101</v>
      </c>
      <c r="V20" s="91">
        <f>SUM(V18:V18)*0.25</f>
        <v>325</v>
      </c>
      <c r="X20" s="95" t="s">
        <v>101</v>
      </c>
      <c r="Y20" s="91">
        <f>SUM(Y18:Y18)*0.25</f>
        <v>375</v>
      </c>
      <c r="AA20" s="95" t="s">
        <v>101</v>
      </c>
      <c r="AB20" s="91">
        <f>SUM(AB18:AB18)*0.25</f>
        <v>300</v>
      </c>
    </row>
    <row r="21" spans="2:28" ht="38.25">
      <c r="B21" s="96" t="s">
        <v>83</v>
      </c>
      <c r="C21" s="71">
        <v>45</v>
      </c>
      <c r="D21" s="71">
        <v>37</v>
      </c>
      <c r="E21" s="71">
        <v>0.56999999999999995</v>
      </c>
      <c r="F21" s="71">
        <v>0.67</v>
      </c>
      <c r="G21" s="71">
        <v>90</v>
      </c>
      <c r="H21" s="71">
        <v>65</v>
      </c>
      <c r="I21" s="71">
        <v>7000</v>
      </c>
      <c r="J21" s="71">
        <v>6600</v>
      </c>
      <c r="K21" s="92">
        <f>+D21*J21*0.7/1000</f>
        <v>170.94</v>
      </c>
      <c r="L21" s="74">
        <f t="shared" si="0"/>
        <v>12.013034879999978</v>
      </c>
      <c r="M21" s="93">
        <f t="shared" si="1"/>
        <v>3.7141659779982845</v>
      </c>
      <c r="N21" s="93">
        <f t="shared" si="2"/>
        <v>1.8560000000000001</v>
      </c>
      <c r="O21" s="93">
        <f>+Y22/1000</f>
        <v>1.9575</v>
      </c>
      <c r="P21" s="94">
        <f t="shared" si="3"/>
        <v>1.0549999999999999</v>
      </c>
      <c r="R21" s="95" t="s">
        <v>46</v>
      </c>
      <c r="S21" s="91">
        <f>SUM(S18:S18)*0.03</f>
        <v>39</v>
      </c>
      <c r="U21" s="95" t="s">
        <v>46</v>
      </c>
      <c r="V21" s="91">
        <f>SUM(V18:V18)*0.03</f>
        <v>39</v>
      </c>
      <c r="X21" s="95" t="s">
        <v>46</v>
      </c>
      <c r="Y21" s="91">
        <f>SUM(Y18:Y18)*0.03</f>
        <v>45</v>
      </c>
      <c r="AA21" s="95" t="s">
        <v>46</v>
      </c>
      <c r="AB21" s="91">
        <f>SUM(AB18:AB18)*0.03</f>
        <v>36</v>
      </c>
    </row>
    <row r="22" spans="2:28" ht="45" customHeight="1">
      <c r="B22" s="96" t="s">
        <v>85</v>
      </c>
      <c r="C22" s="71">
        <v>37</v>
      </c>
      <c r="D22" s="71">
        <v>30</v>
      </c>
      <c r="E22" s="71">
        <v>0.56000000000000005</v>
      </c>
      <c r="F22" s="71">
        <v>0.67</v>
      </c>
      <c r="G22" s="71">
        <v>100</v>
      </c>
      <c r="H22" s="71">
        <v>50</v>
      </c>
      <c r="I22" s="71">
        <v>7000</v>
      </c>
      <c r="J22" s="71">
        <v>6600</v>
      </c>
      <c r="K22" s="92">
        <f>+D22*J22*0.7/1000</f>
        <v>138.6</v>
      </c>
      <c r="L22" s="74">
        <f t="shared" si="0"/>
        <v>9.3324154000000217</v>
      </c>
      <c r="M22" s="93">
        <f t="shared" si="1"/>
        <v>2.8853774352170527</v>
      </c>
      <c r="N22" s="93">
        <f t="shared" si="2"/>
        <v>1.4419999999999999</v>
      </c>
      <c r="O22" s="93">
        <f>+AB22/1000</f>
        <v>1.5660000000000001</v>
      </c>
      <c r="P22" s="94">
        <f t="shared" si="3"/>
        <v>1.0860000000000001</v>
      </c>
      <c r="R22" s="88" t="s">
        <v>47</v>
      </c>
      <c r="S22" s="97">
        <f>SUM(S18:S21)</f>
        <v>1696.5</v>
      </c>
      <c r="U22" s="88" t="s">
        <v>47</v>
      </c>
      <c r="V22" s="97">
        <f>SUM(V18:V21)</f>
        <v>1696.5</v>
      </c>
      <c r="X22" s="88" t="s">
        <v>47</v>
      </c>
      <c r="Y22" s="97">
        <f>SUM(Y18:Y21)</f>
        <v>1957.5</v>
      </c>
      <c r="AA22" s="88" t="s">
        <v>47</v>
      </c>
      <c r="AB22" s="97">
        <f>SUM(AB18:AB21)</f>
        <v>1566</v>
      </c>
    </row>
    <row r="23" spans="2:28" ht="15">
      <c r="L23" s="205">
        <f>SUM(L19:L22)</f>
        <v>32.058882240000003</v>
      </c>
      <c r="M23" s="205">
        <f t="shared" ref="M23:O23" si="4">SUM(M19:M22)</f>
        <v>9.9119007726098971</v>
      </c>
      <c r="N23" s="205">
        <f t="shared" si="4"/>
        <v>4.9539999999999997</v>
      </c>
      <c r="O23" s="205">
        <f t="shared" si="4"/>
        <v>6.9165000000000001</v>
      </c>
      <c r="P23" s="94">
        <f t="shared" si="3"/>
        <v>1.3959999999999999</v>
      </c>
    </row>
  </sheetData>
  <mergeCells count="13">
    <mergeCell ref="P17:P18"/>
    <mergeCell ref="H17:H18"/>
    <mergeCell ref="I17:I18"/>
    <mergeCell ref="J17:J18"/>
    <mergeCell ref="K17:K18"/>
    <mergeCell ref="L17:N17"/>
    <mergeCell ref="O17:O18"/>
    <mergeCell ref="G17:G18"/>
    <mergeCell ref="B17:B18"/>
    <mergeCell ref="C17:C18"/>
    <mergeCell ref="D17:D18"/>
    <mergeCell ref="E17:E18"/>
    <mergeCell ref="F17:F18"/>
  </mergeCells>
  <pageMargins left="0.78740157480314965" right="0.19685039370078741" top="0" bottom="0" header="0.51181102362204722" footer="0.51181102362204722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8</vt:i4>
      </vt:variant>
    </vt:vector>
  </HeadingPairs>
  <TitlesOfParts>
    <vt:vector size="25" baseType="lpstr">
      <vt:lpstr>изоляции задвижки</vt:lpstr>
      <vt:lpstr>Теплогенераторы</vt:lpstr>
      <vt:lpstr>замена котла</vt:lpstr>
      <vt:lpstr>окна</vt:lpstr>
      <vt:lpstr>Замена печей</vt:lpstr>
      <vt:lpstr>стены</vt:lpstr>
      <vt:lpstr>выпар</vt:lpstr>
      <vt:lpstr>Замена вент</vt:lpstr>
      <vt:lpstr>Замена насосов</vt:lpstr>
      <vt:lpstr>лампы</vt:lpstr>
      <vt:lpstr>изоляция бака и тд</vt:lpstr>
      <vt:lpstr>молоко</vt:lpstr>
      <vt:lpstr>компенсаторы реактивной мощност</vt:lpstr>
      <vt:lpstr>Программа</vt:lpstr>
      <vt:lpstr>Прогрессивные нормы</vt:lpstr>
      <vt:lpstr>Укрупненно</vt:lpstr>
      <vt:lpstr>1</vt:lpstr>
      <vt:lpstr>Программа!Print_Area</vt:lpstr>
      <vt:lpstr>Программа!Print_Titles</vt:lpstr>
      <vt:lpstr>'замена котла'!Заголовки_для_печати</vt:lpstr>
      <vt:lpstr>Программа!Заголовки_для_печати</vt:lpstr>
      <vt:lpstr>'замена котла'!Область_печати</vt:lpstr>
      <vt:lpstr>'изоляция бака и тд'!Область_печати</vt:lpstr>
      <vt:lpstr>Программа!Область_печати</vt:lpstr>
      <vt:lpstr>'Прогрессивные нормы'!Область_печати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2022-10-12T06:37:05Z</cp:lastPrinted>
  <dcterms:created xsi:type="dcterms:W3CDTF">2006-02-22T12:11:52Z</dcterms:created>
  <dcterms:modified xsi:type="dcterms:W3CDTF">2022-10-26T14:09:13Z</dcterms:modified>
</cp:coreProperties>
</file>