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tables/table31.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4.xml" ContentType="application/vnd.openxmlformats-officedocument.spreadsheetml.comments+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codeName="{A63ED3A1-9429-3D75-F2AA-CA7E51A8F3A1}"/>
  <workbookPr codeName="ЭтаКнига" defaultThemeVersion="166925"/>
  <mc:AlternateContent xmlns:mc="http://schemas.openxmlformats.org/markup-compatibility/2006">
    <mc:Choice Requires="x15">
      <x15ac:absPath xmlns:x15ac="http://schemas.microsoft.com/office/spreadsheetml/2010/11/ac" url="/Users/pavel/Downloads/"/>
    </mc:Choice>
  </mc:AlternateContent>
  <xr:revisionPtr revIDLastSave="0" documentId="13_ncr:1_{83BB02D3-3292-F844-838B-9F6CCC3639F5}" xr6:coauthVersionLast="47" xr6:coauthVersionMax="47" xr10:uidLastSave="{00000000-0000-0000-0000-000000000000}"/>
  <bookViews>
    <workbookView xWindow="3400" yWindow="1760" windowWidth="29760" windowHeight="19120" activeTab="6" xr2:uid="{D28D79B9-5872-AE49-9051-340B3D27D109}"/>
  </bookViews>
  <sheets>
    <sheet name="Prototypes" sheetId="64" r:id="rId1"/>
    <sheet name="_Settings" sheetId="78" state="veryHidden" r:id="rId2"/>
    <sheet name="Data STO Gazprom 9.2-003-2020" sheetId="15" r:id="rId3"/>
    <sheet name="Research data" sheetId="31" r:id="rId4"/>
    <sheet name="Menu" sheetId="49" r:id="rId5"/>
    <sheet name="Pipe calculation" sheetId="57" r:id="rId6"/>
    <sheet name="Anod calculation" sheetId="62" r:id="rId7"/>
    <sheet name="List CP" sheetId="46" r:id="rId8"/>
    <sheet name="List AG" sheetId="77" r:id="rId9"/>
    <sheet name="Список_имен" sheetId="80" r:id="rId10"/>
    <sheet name="Реальные_имена_со_областью" sheetId="81" r:id="rId11"/>
  </sheets>
  <externalReferences>
    <externalReference r:id="rId12"/>
  </externalReferences>
  <definedNames>
    <definedName name="_xlnm._FilterDatabase" localSheetId="9" hidden="1">Список_имен!$A$1:$E$117</definedName>
    <definedName name="_xlnm._FilterDatabase" localSheetId="5" hidden="1">'Pipe calculation'!#REF!</definedName>
    <definedName name="сokeBreezeDiameterAG" comment="Диаметр электрода заземлителя в коксовой засыпке_x0009_0.15_x0009_м_x0009_dа" localSheetId="6">'Anod calculation'!$D$41:$M$41</definedName>
    <definedName name="сokeBreezelengthElectrodeAG" comment="Длина электрода заземлителя в коксовой засыпке_x0009_1.9_x0009_м_x0009_lа" localSheetId="6">'Anod calculation'!$D$42:$M$42</definedName>
    <definedName name="сokeBreezeResistivityAG" comment="Удельное электрическое сопротивление коксовой засыпки_x0009_1_x0009_1_x0009_1_x0009_1_x0009_1_x0009_1_x0009_1_x0009_1_x0009_1_x0009_1_x0009_Ом·м_x0009_ρкз" localSheetId="6">'Anod calculation'!$D$47:$M$47</definedName>
    <definedName name="avgProtectionCurrentCPOverLife" localSheetId="6">'Anod calculation'!$D$25:$M$25</definedName>
    <definedName name="correctResistanceAG" comment="Сопротивление растеканию тока одного подповерхностного заземлителя Rр1 Ом: 1-вертикальное расположение электрода; 2-горизонтальное расположении электрода; 3-комбинированное располоржение электрорда." localSheetId="6">'Anod calculation'!$D$110:$D$118</definedName>
    <definedName name="currentCP" localSheetId="6">'Anod calculation'!$D$20:$M$20</definedName>
    <definedName name="currentEndLifeCP" localSheetId="6">'Anod calculation'!$D$21:$M$21</definedName>
    <definedName name="depthToMidAG" comment="Глубина монтажа  анодного заземлителя (до середины заземлителя)_x0009_1.5_x0009_1.5_x0009_1.5_x0009_1.5_x0009_1.5_x0009_1.5_x0009_7.5_x0009_7.5_x0009_7.5_x0009_1.5_x0009_м_x0009_hп" localSheetId="6">'Anod calculation'!$D$51:$M$51</definedName>
    <definedName name="diameterAG" comment="Диаметр электрода заземлителя" localSheetId="6">'Anod calculation'!$D$39:$M$39</definedName>
    <definedName name="dissolutionRateAG" comment="Скорость растворения материала электродов анодного заземления " localSheetId="6">'Anod calculation'!$D$44:$M$44</definedName>
    <definedName name="drainWireCrossSection" comment="сечение медного провода дренажной линии_x0009_" localSheetId="6">'Anod calculation'!$D$11:$M$11</definedName>
    <definedName name="factorCurrent" localSheetId="6">'Anod calculation'!$D$9:$M$9</definedName>
    <definedName name="factorMutualInfluence" localSheetId="6">'Anod calculation'!$D$6</definedName>
    <definedName name="factorPropagationCurrentAlongPipe" comment=" Постоянная распространения тока вдоль левого плеча трубы αтЛ 1/м" localSheetId="5">'Pipe calculation'!$D$24:$M$24</definedName>
    <definedName name="factorPropagationCurrentAlongPipeEndLife" comment="Постоянная распространения тока вдоль левого плеча трубы на срок эксплуатации t αт(t)Л 1/м" localSheetId="5">'Pipe calculation'!$D$25:$M$25</definedName>
    <definedName name="factorSoilHeterogeneity" comment="Коэффициент неоднородности грунта_x0009_2.016900603_x0009_2.016900603_x0009_2.016900603_x0009_2.016900603_x0009_2.016900603_x0009_2.016900603_x0009_2.016900603_x0009_2.016900603_x0009_2.016900603_x0009_2.016900603_x0009__x0009_kг" localSheetId="6">'Anod calculation'!$D$54:$M$54</definedName>
    <definedName name="factorSoilHeterogeneity" comment="Расчет неоднородности по данным изысканий" localSheetId="3">'Research data'!$DT$1:$EC$1</definedName>
    <definedName name="factorUseMassAG" comment="Коэффициент использования массы заземлителя_x0009_0.77_x0009__x0009_kи" localSheetId="6">'Anod calculation'!$D$55:$M$55</definedName>
    <definedName name="factorVoltageMarginCP" comment="Коэффициент, учитывающий запас УКЗ по выходному напряжению (50%);_x0009_0.7_x0009_kв" localSheetId="6">'Anod calculation'!$D$56:$M$56</definedName>
    <definedName name="InstallCP" comment="Выбор из списка TableCP листа List CP" localSheetId="6">'Anod calculation'!$D$26:$M$26</definedName>
    <definedName name="lengthElectrodeAG" localSheetId="6">'Anod calculation'!$D$40:$M$40</definedName>
    <definedName name="lengthProtectiveZone" localSheetId="6">'Anod calculation'!$D$18</definedName>
    <definedName name="lengthWireAGtoPipe" localSheetId="6">'Anod calculation'!$D$13:$M$13</definedName>
    <definedName name="lengthWireCPtoPipe" comment="Длина дренажной линии и спусков провода с опор катодной станции к трубе" localSheetId="6">'Anod calculation'!$D$12:$M$12</definedName>
    <definedName name="lengthWorkPartDeepAG" comment="Длина рабочей части глубинного анодного заземления_x0009_15.41024767_x0009_м_x0009_lз_x0009_вычисляют по формуле (6.33)" localSheetId="6">'Anod calculation'!$D$59:$M$59</definedName>
    <definedName name="massOneElectrodeAG" comment="Масса материала электрода заземления без коксовой засыпки" localSheetId="6">'Anod calculation'!$D$43:$M$43</definedName>
    <definedName name="maxProtectPotential" localSheetId="6">'Anod calculation'!$D$4</definedName>
    <definedName name="minDistancePipeToAG" comment="Для ПАЗ до ближайшего защищаемого сооружения, не менее 200 м_x000a_Для ГАЗ это расстояние должно быть не меньше 50 м_x0009__x0009_200_x0009_м. _x0009_" localSheetId="6">'Anod calculation'!$D$50:$M$50</definedName>
    <definedName name="minProtectPotential" localSheetId="6">'Anod calculation'!$D$3</definedName>
    <definedName name="naturalPotential" localSheetId="6">'Anod calculation'!$D$5</definedName>
    <definedName name="nominalOutputCurrenCP" comment="Номинальный выходной ток УКЗ_x0009_Iукз_x0009_20_x0009_А" localSheetId="6">'Anod calculation'!$D$29:$M$29</definedName>
    <definedName name="nominalOutputPowerCP" comment="Номинальная выходная мощьность УКЗ_x0009_Рукз_x0009_960_x0009_Вт" localSheetId="6">'Anod calculation'!$D$31:$M$31</definedName>
    <definedName name="nominalOutputVoltageCP" localSheetId="6">'Anod calculation'!$D$30:$M$30</definedName>
    <definedName name="numElectrodesAG" comment="Количество электродов ПАЗ 1-при вертикальном или горизонтальном расположении 6 шт, 2-при комбинированном заземлении из вертикальных электродов, соединенных горизонтальным электродом 1 ш" localSheetId="6">'Anod calculation'!$D$70:$M$79</definedName>
    <definedName name="oneElectrodeResistanceAG" comment="Сопротивление одного ПАЗ:_x000a_- вертикальный электрод;_x000a_- горизонтальный электрод lэ&lt;h, короткий;_x000a_- горизонтальный электрод lэ&gt;12h, протяженный;_x000a_- горизонтальный электрод lэ&gt;h и lэ&gt;&gt;dэ в коксовой засыпке;_x000a_- горизонтальный электрод lэ&gt;&gt;12h в коксовой засыпке." localSheetId="6">'Anod calculation'!$D$60:$M$69</definedName>
    <definedName name="pipeAlongResistance" comment="Продольное сопротивление трубы на единицу длины_x0009_Rт_x0009_7.49573E-06_x0009_6.85808E-06_x0009_Ом/м" localSheetId="5">'Pipe calculation'!$D$17:$M$17</definedName>
    <definedName name="pipeCountCP" comment="Количество установок катодной защиты необходимое для защиты трубы длиной L_x0009_N_x0009_1_x0009_шт" localSheetId="6">'Anod calculation'!$D$19</definedName>
    <definedName name="pipeDiameter" localSheetId="6">'Anod calculation'!$D$7:$M$7</definedName>
    <definedName name="pipeDiameter" comment="диаметр трубы_x0009_Dт_x0009_1.02_x0009_1.02_x0009_м_x0009__x0009_Ручной ввод или Выбор из списка Таблица Б.1, Б.2" localSheetId="5">'Pipe calculation'!$D$7:$M$7</definedName>
    <definedName name="pipeDifferentParametersNum" localSheetId="6">'Anod calculation'!$D$3</definedName>
    <definedName name="pipeDifferentParametersNum" comment="Количество веток трубопровода с различными электрическими параметрами_x0009__x0009__x0009_2" localSheetId="5">'Pipe calculation'!$D$3</definedName>
    <definedName name="pipeImpedance" comment="Характеристическое сопротивление трубопровода_x0009_Z_x0009_0.837933263_x0009_2.479449379_x0009_Ом" localSheetId="5">'Pipe calculation'!$D$26:$M$26</definedName>
    <definedName name="pipeImpedanceEndLife" comment="Характеристическое сопротивление трубы  прогноз изменения за срок эксплуатации t_x0009_Z(t)_x0009_0.338868874_x0009_0.338868874_x0009_Ом_x0009__x0009_вычисляют по формуле (6.12-6.13)" localSheetId="5">'Pipe calculation'!$D$27:$M$27</definedName>
    <definedName name="pipeInputResistance" comment="Входное сопротивление трубопровода на начальный срок эксплуатации_x0009_Zвт_x0009_0.626280816_x0009__x0009_Ом" localSheetId="5">'Pipe calculation'!$D$28</definedName>
    <definedName name="pipeInputResistanceEndLife" comment="Входное сопротивление трубопровода прогноз изменения за срок эксплуатации t_x0009_Zвт(t)_x0009_0.160605396_x0009__x0009_Ом" localSheetId="5">'Pipe calculation'!$D$29</definedName>
    <definedName name="pipeInsulationResistanceStartLife" comment="Начальное сопротивление защитного покрытия левого плеча трубы (на единицу длины)_x0009_R'из0_x0009_31206.85159_x0009_312068.5159_x0009_Ом·м" localSheetId="5">'Pipe calculation'!$D$21:$M$21</definedName>
    <definedName name="pipeInsulationResistivityStartLife" comment="сопротивление защитного покрытия трубы_x0009_Rиз_x0009_100000_x0009_1000000_x0009_Ом·м2" localSheetId="5">'Pipe calculation'!$D$9:$M$9</definedName>
    <definedName name="pipeLayingDepth" comment="глубина укладки трубы_x0009_Hт_x0009_1.5_x0009_1.5_x0009_м_x0009__x0009_Ручной ввод (данные СТО Газпром 2-2.1-411-2010)" localSheetId="5">'Pipe calculation'!$D$10:$M$10</definedName>
    <definedName name="pipeLength" comment="Сумма отрезков трубопровода каждой УКЗ" localSheetId="6">'Anod calculation'!$D$7</definedName>
    <definedName name="pipeLengthCP" comment="Отрезок трубопровода на каждую УКЗ " localSheetId="6">'Anod calculation'!$D$8:$M$8</definedName>
    <definedName name="pipeResistivityChangeFactor" comment="коэффициент, характеризующий скорость изменения сопротивления защитного покрытия во времени_x0009_γ_x0009_0.05_x0009_0.05_x0009_1/год_x0009_Справочные данные по умолчанию или ручной ввод" localSheetId="5">'Pipe calculation'!$D$13:$M$13</definedName>
    <definedName name="pipeShiftPotentialMin" localSheetId="6">'Anod calculation'!$D$16</definedName>
    <definedName name="pipeShiftPotentialPoint" localSheetId="6">'Anod calculation'!$D$17</definedName>
    <definedName name="pipeSidesInputResistance" comment="Входное сопротивление трубы Zвт Ом" localSheetId="5">'Pipe calculation'!#REF!</definedName>
    <definedName name="pipeSidesInputResistanceEndLife" comment=" Входное сопротивление плеч трубопровода на срок эксплуатации t Zвт(t) Ом" localSheetId="5">'Pipe calculation'!#REF!</definedName>
    <definedName name="pipeSteelResistivity" comment="удельные электрические сопротивления материала плеч трубы_x0009_𝜌т_x0009_0.000000245_x0009_0.000000263_x0009_Ом·м" localSheetId="5">'Pipe calculation'!$D$6:$M$6</definedName>
    <definedName name="pipeTransientResistance" comment="Переходное сопротивление трубы на единицу длины Rп_x0009_101149.1468_x0009_1001105.167_x0009_Ом·м Rпп, Rпл принимаются на основе 6.1.3.3 ( с учетом типа покрытия и нормативных показателей ГОСТ Р 51164) для уложенных в грунт и засыпанных труб" localSheetId="5">'Pipe calculation'!$D$22:$M$22</definedName>
    <definedName name="pipeTransientResistanceEndLife" comment="Переходное сопротивление трубы на единицу длины прогноз изменения за срок эксплуатации t_x0009_Rп(t)_x0009_15099.68544_x0009_147755.6169_x0009_Ом·м" localSheetId="5">'Pipe calculation'!$D$23:$M$23</definedName>
    <definedName name="pipeWallThickness" comment="толщина стенки трубы_x0009_𝛿т_x0009_0.011069565_x0009_0.011273006_x0009_м_x0009__x0009_Ручной ввод или Расчет среднего значения" localSheetId="5">'Pipe calculation'!$D$8:$M$8</definedName>
    <definedName name="pipeWallThicknessAvg1" comment="Средняя толщина стенки левого плеча трубы_x0009_𝛿т.ср.Л_x0009_м" localSheetId="5">'Research data'!$BW$3</definedName>
    <definedName name="pipeWallThicknessAvg10" localSheetId="5">'Research data'!$DG$3</definedName>
    <definedName name="pipeWallThicknessAvg2" comment="Средняя толщина стенки правого плеча трубы_x0009_𝛿т.ср.П_x0009_м" localSheetId="5">'Research data'!$CA$3</definedName>
    <definedName name="pipeWallThicknessAvg3" localSheetId="5">'Research data'!$CE$3</definedName>
    <definedName name="pipeWallThicknessAvg4" localSheetId="5">'Research data'!$CI$3</definedName>
    <definedName name="pipeWallThicknessAvg5" localSheetId="5">'Research data'!$CM$3</definedName>
    <definedName name="pipeWallThicknessAvg6" localSheetId="5">'Research data'!$CQ$3</definedName>
    <definedName name="pipeWallThicknessAvg7" localSheetId="5">'Research data'!$CU$3</definedName>
    <definedName name="pipeWallThicknessAvg8" localSheetId="5">'Research data'!$CY$3</definedName>
    <definedName name="pipeWallThicknessAvg9" localSheetId="5">'Research data'!$DC$3</definedName>
    <definedName name="powerEndLifeCP" comment="Мощность катодной установки на заданный срок эксплуатации t (год)_x0009_P_x0009_352.1029415_x0009_Вт_x0009_Р = I·U" localSheetId="6">'Anod calculation'!$D$24:$M$24</definedName>
    <definedName name="ratedCurrent" comment="Номинальная токовая нагрузка заземлителя" localSheetId="6">'Anod calculation'!$D$45:$M$45</definedName>
    <definedName name="resistanceEndLifeAG" localSheetId="6">'Anod calculation'!$D$58:$M$58</definedName>
    <definedName name="resistivity_i_layerDeepAG" comment="Удельное электрическое сопротивление i -того слоя земли, в котором располагается глубинное анодное заземление_x0009_50_x0009__x0009_ρi_x0009_Ручной ввод или расчет по данным изысканий" localSheetId="6">'Anod calculation'!$D$53:$M$53</definedName>
    <definedName name="resistivity_ilayerDeepAG" localSheetId="3">'Research data'!$DT$3:$EC$3</definedName>
    <definedName name="resistivityMaterialAG" comment="Удельное электрическое сопротивление материала электрода анодного заземления_x0009_0.000001_x0009_0.000001_x0009_0.000001_x0009_0.000001_x0009_0.000001_x0009_0.000001_x0009_0.000001_x0009_0.000001_x0009_0.000001_x0009_0.000001_x0009_Ом·м_x0009_ρа" localSheetId="6">'Anod calculation'!$D$46:$M$46</definedName>
    <definedName name="resistivitySoilAG" comment="Удельное электрическое сопротивление грунта в месте подповерхностного анодного заземления" localSheetId="6">'Anod calculation'!$D$52:$M$52</definedName>
    <definedName name="serviceLifeAG" comment="Срок службы" localSheetId="6">'Anod calculation'!$D$90:$M$99</definedName>
    <definedName name="serviceLifeDesigned" comment="срок эксплуатации трубы_x0009_t_x0009_15_x0009_15_x0009_год_x0009__x0009_Ручной ввод" localSheetId="5">'Pipe calculation'!$D$12:$M$12</definedName>
    <definedName name="serviceLifeDeviation" comment="Коэффициент отклонения срока службы от проектного kт_x0009_Кт_x0009_-0.146758518_x0009__x0009__x0009_вычисляют по формуле (6.38)_x0009_" localSheetId="6">'Anod calculation'!$D$100:$D$107</definedName>
    <definedName name="soilAvgResistivityAlongPipe1" comment="среднее удельное электрическое сопротивление грунта по длине левого плеча трубы_x0009_𝜌г.ср.Л_x0009_Ом*м" localSheetId="5">'Research data'!$I$3</definedName>
    <definedName name="soilAvgResistivityAlongPipe10" localSheetId="5">'Research data'!$BK$3</definedName>
    <definedName name="soilAvgResistivityAlongPipe2" comment="среднее удельное электрическое сопротивление грунта по длине правого плеча трубы_x0009_𝜌г.ср.П_x0009_Ом*м" localSheetId="5">'Research data'!$O$3</definedName>
    <definedName name="soilAvgResistivityAlongPipe3" localSheetId="5">'Research data'!$U$3</definedName>
    <definedName name="soilAvgResistivityAlongPipe4" localSheetId="5">'Research data'!$AA$3</definedName>
    <definedName name="soilAvgResistivityAlongPipe5" localSheetId="5">'Research data'!$AG$3</definedName>
    <definedName name="soilAvgResistivityAlongPipe6" localSheetId="5">'Research data'!$AM$3</definedName>
    <definedName name="soilAvgResistivityAlongPipe7" localSheetId="5">'Research data'!$AS$3</definedName>
    <definedName name="soilAvgResistivityAlongPipe8" localSheetId="5">'Research data'!$AY$3</definedName>
    <definedName name="soilAvgResistivityAlongPipe9" localSheetId="5">'Research data'!$BE$3</definedName>
    <definedName name="soilResistanceAroundPipe" comment="Сопротивление растеканию тока левого плеча трубы_x0009_Rр_x0009__x0009__x0009_Ом·м2" localSheetId="5">'Pipe calculation'!$D$18:$M$18</definedName>
    <definedName name="soilResistivityAG" comment="Удельное электрическое сопротивление грунта в месте подповерхностного анодного заземления_x0009_50_x0009_50_x0009_50_x0009_50_x0009_50_x0009_50_x0009_50_x0009_50_x0009_50_x0009_50_x0009_Ом·м_x0009_ρг ρгс" localSheetId="6">'Anod calculation'!$D$52:$M$52</definedName>
    <definedName name="soilResistivityAroundPipe" comment="Сопротивление растеканию тока трубы на единицу длины_x0009_R'р_x0009_358.6125305_x0009_344.8878853_x0009_Ом·м" localSheetId="5">'Pipe calculation'!$D$20:$M$20</definedName>
    <definedName name="soilResistivityAvg" comment="удельное электрическое сопротивление грунта трубы_x0009_𝜌г_x0009_64.42733848_x0009_61.78535638_x0009_Ом*м_x0009__x0009_Ручной ввод или импорт данных изысканий и вычисление среднего для левого плеча" localSheetId="5">'Pipe calculation'!$D$11:$M$11</definedName>
    <definedName name="specificMaccOneMetеrAG" comment="Удельная масса заземлителя кг/м" localSheetId="6">'Anod calculation'!$D$49:$M$49</definedName>
    <definedName name="specificMassOneElectrodeAG" comment="Удельная масса протяженного заземлителя">'Anod calculation'!$D$49:$M$49</definedName>
    <definedName name="specificRatedCurrent" comment="Удельная номинальная токовая нагрузка протяженного заземлителя" localSheetId="6">'Anod calculation'!$D$48:$M$48</definedName>
    <definedName name="steelGradePipe" comment="марки стали плеч с разными параметрами трубы_x0009_мСт_x0009_Данные о марке стали отсутствуют_x0009_18ХГ2САФ" localSheetId="5">'Pipe calculation'!$D$5:$M$5</definedName>
    <definedName name="t" comment="срок эксплуатации трубы_x0009_t_x0009_15_x0009_15_x0009_год_x0009__x0009_Ручной ввод" localSheetId="5">'Pipe calculation'!$D$12:$E$12</definedName>
    <definedName name="typeAG" comment="Модель_x0009_ПАЗ-ФК (23)_x0009_Менделеевец-ФПП(43)_x0009_АЗФ-П_x0009_АЗФ-Г_x0009_АЗП-П_x0009_АЗП-Г_x0009_ГАЗ-МK_x0009_ГАЗ-ТК_x0009_ПАЗ-МК_x0009_ПАЗ.Ф.К_x0009__x0009__x0009_" localSheetId="6">'Anod calculation'!$D$38:$M$38</definedName>
    <definedName name="typeCP" comment="Тип установки катодной защиты:_x0009_МПН-ОПЕ-М14-1/С1-1/1,0-1/20-48-У2-А485_x0009_Выбор из списка" localSheetId="6">'Anod calculation'!$D$26:$M$26</definedName>
    <definedName name="typeDeliveryAG" comment="Поставка_x0009_Комплектный/Не комплектный_x0009__x0009_" localSheetId="6">'Anod calculation'!$D$37:$M$37</definedName>
    <definedName name="typeInstallationAG" comment="Тип монтажа анодного заземлителя" localSheetId="6">'Anod calculation'!$D$36:$M$36</definedName>
    <definedName name="typeMaterial" comment="Тип материала:_x0009_Ферросилид _x0009_Магнетит_x0009_Графит_x0009_Графитопласт_x0009_Титановые (ММО)_x0009_Титан-диоксидмарганцевые_x0009_Полимер_x0009_Полимер (протяженные АЗ)_x0009_Ферросилид_x0009_Железо" localSheetId="6">'Anod calculation'!$D$34:$M$34</definedName>
    <definedName name="typeSoilAG" comment="Тип грунта_x0009_1" localSheetId="6">'Anod calculation'!#REF!</definedName>
    <definedName name="voltageEndLifeCP" localSheetId="6">'Anod calculation'!$D$22:$M$22</definedName>
    <definedName name="webLinkCP" comment="ссылка на сайт производителя_x0009_ПН-ОПЕ-М11-С(0,1,4)-20-48-У1-А.2_x0009_https://www.energomera.ru/ru/products/ehz/pn-ope-m11" localSheetId="6">'Anod calculation'!$D$27:$M$27</definedName>
    <definedName name="weightWithoutFillingAG" comment="Масса материала электродов" localSheetId="6">'Anod calculation'!$D$80:$M$89</definedName>
    <definedName name="wireResistivity" localSheetId="6">'Anod calculation'!$D$10:$M$10</definedName>
    <definedName name="wiresResistanceCPpipeAG" localSheetId="6">'Anod calculation'!$D$23:$M$23</definedName>
  </definedNames>
  <calcPr calcId="191029" calcMode="manual" refMode="R1C1" iterate="1" iterateCount="100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 i="77" l="1" a="1"/>
  <c r="B3" i="77"/>
  <c r="AI3" i="77"/>
  <c r="AK3" i="77"/>
  <c r="AV3" i="77"/>
  <c r="CW2" i="77" a="1"/>
  <c r="CW2" i="77"/>
  <c r="CX2" i="77" a="1"/>
  <c r="CX2" i="77"/>
  <c r="CY2" i="77" a="1"/>
  <c r="CY2" i="77"/>
  <c r="CZ2" i="77" a="1"/>
  <c r="CZ2" i="77"/>
  <c r="DA2" i="77" a="1"/>
  <c r="DA2" i="77"/>
  <c r="DB2" i="77" a="1"/>
  <c r="DB2" i="77"/>
  <c r="DC2" i="77" a="1"/>
  <c r="DC2" i="77"/>
  <c r="DD2" i="77" a="1"/>
  <c r="DD2" i="77"/>
  <c r="DE2" i="77" a="1"/>
  <c r="DE2" i="77"/>
  <c r="DF2" i="77" a="1"/>
  <c r="DF2" i="77"/>
  <c r="DG2" i="77" a="1"/>
  <c r="DG2" i="77"/>
  <c r="DH2" i="77" a="1"/>
  <c r="DH2" i="77"/>
  <c r="DI2" i="77" a="1"/>
  <c r="DI2" i="77"/>
  <c r="DJ2" i="77" a="1"/>
  <c r="DJ2" i="77"/>
  <c r="DK2" i="77" a="1"/>
  <c r="DK2" i="77"/>
  <c r="DL2" i="77" a="1"/>
  <c r="DL2" i="77"/>
  <c r="DM2" i="77" a="1"/>
  <c r="DM2" i="77"/>
  <c r="DN2" i="77" a="1"/>
  <c r="DN2" i="77"/>
  <c r="DO2" i="77" a="1"/>
  <c r="DO2" i="77"/>
  <c r="DP2" i="77" a="1"/>
  <c r="DP2" i="77"/>
  <c r="DQ2" i="77" a="1"/>
  <c r="DQ2" i="77"/>
  <c r="DR2" i="77" a="1"/>
  <c r="DR2" i="77"/>
  <c r="DS2" i="77" a="1"/>
  <c r="DS2" i="77"/>
  <c r="DT2" i="77" a="1"/>
  <c r="DT2" i="77"/>
  <c r="DU2" i="77" a="1"/>
  <c r="DU2" i="77"/>
  <c r="DV2" i="77" a="1"/>
  <c r="DV2" i="77"/>
  <c r="DW2" i="77" a="1"/>
  <c r="DW2" i="77"/>
  <c r="DX2" i="77" a="1"/>
  <c r="DX2" i="77"/>
  <c r="DY2" i="77" a="1"/>
  <c r="DY2" i="77"/>
  <c r="DZ2" i="77" a="1"/>
  <c r="DZ2" i="77"/>
  <c r="EA2" i="77" a="1"/>
  <c r="EA2" i="77"/>
  <c r="EB2" i="77" a="1"/>
  <c r="EB2" i="77"/>
  <c r="EC2" i="77" a="1"/>
  <c r="EC2" i="77"/>
  <c r="ED2" i="77" a="1"/>
  <c r="ED2" i="77"/>
  <c r="EE2" i="77" a="1"/>
  <c r="EE2" i="77"/>
  <c r="EF2" i="77" a="1"/>
  <c r="EF2" i="77"/>
  <c r="EG2" i="77" a="1"/>
  <c r="EG2" i="77"/>
  <c r="EH2" i="77" a="1"/>
  <c r="EH2" i="77"/>
  <c r="EI2" i="77" a="1"/>
  <c r="EI2" i="77"/>
  <c r="EJ2" i="77" a="1"/>
  <c r="EJ2" i="77"/>
  <c r="D68" i="62"/>
  <c r="M78" i="62"/>
  <c r="L78" i="62"/>
  <c r="K68" i="62"/>
  <c r="K78" i="62"/>
  <c r="J78" i="62"/>
  <c r="I78" i="62"/>
  <c r="H78" i="62"/>
  <c r="G78" i="62"/>
  <c r="F78" i="62"/>
  <c r="E78" i="62"/>
  <c r="D16" i="62"/>
  <c r="D17" i="62" a="1"/>
  <c r="D17" i="62"/>
  <c r="D20" i="62"/>
  <c r="E20" i="62"/>
  <c r="F20" i="62"/>
  <c r="G20" i="62"/>
  <c r="H20" i="62"/>
  <c r="I20" i="62"/>
  <c r="J20" i="62"/>
  <c r="K20" i="62"/>
  <c r="L20" i="62"/>
  <c r="M20" i="62"/>
  <c r="D21" i="62"/>
  <c r="E21" i="62"/>
  <c r="F21" i="62"/>
  <c r="G21" i="62"/>
  <c r="H21" i="62"/>
  <c r="I21" i="62"/>
  <c r="J21" i="62"/>
  <c r="K21" i="62"/>
  <c r="L21" i="62"/>
  <c r="M21" i="62"/>
  <c r="D23" i="62"/>
  <c r="D58" i="62"/>
  <c r="D22" i="62"/>
  <c r="E23" i="62"/>
  <c r="E58" i="62"/>
  <c r="E22" i="62"/>
  <c r="F23" i="62"/>
  <c r="F58" i="62"/>
  <c r="F22" i="62"/>
  <c r="G23" i="62"/>
  <c r="G58" i="62"/>
  <c r="G22" i="62"/>
  <c r="H23" i="62"/>
  <c r="H58" i="62"/>
  <c r="H22" i="62"/>
  <c r="I23" i="62"/>
  <c r="I58" i="62"/>
  <c r="I22" i="62"/>
  <c r="J23" i="62"/>
  <c r="J58" i="62"/>
  <c r="J22" i="62"/>
  <c r="K23" i="62"/>
  <c r="K58" i="62"/>
  <c r="K22" i="62"/>
  <c r="L23" i="62"/>
  <c r="L58" i="62"/>
  <c r="L22" i="62"/>
  <c r="M23" i="62"/>
  <c r="M58" i="62"/>
  <c r="M22" i="62"/>
  <c r="D24" i="62"/>
  <c r="E24" i="62"/>
  <c r="F24" i="62"/>
  <c r="G24" i="62"/>
  <c r="H24" i="62"/>
  <c r="I24" i="62"/>
  <c r="J24" i="62"/>
  <c r="K24" i="62"/>
  <c r="L24" i="62"/>
  <c r="M24" i="62"/>
  <c r="D25" i="62"/>
  <c r="E25" i="62"/>
  <c r="F25" i="62"/>
  <c r="G25" i="62"/>
  <c r="H25" i="62"/>
  <c r="I25" i="62"/>
  <c r="J25" i="62"/>
  <c r="K25" i="62"/>
  <c r="L25" i="62"/>
  <c r="M25" i="62"/>
  <c r="C8" i="62"/>
  <c r="E3" i="81"/>
  <c r="E2" i="81"/>
  <c r="E59" i="81"/>
  <c r="E58" i="81"/>
  <c r="E57" i="81"/>
  <c r="E56" i="81"/>
  <c r="E55" i="81"/>
  <c r="E54" i="81"/>
  <c r="E53" i="81"/>
  <c r="E52" i="81"/>
  <c r="E51" i="81"/>
  <c r="E50" i="81"/>
  <c r="E49" i="81"/>
  <c r="E48" i="81"/>
  <c r="E47" i="81"/>
  <c r="E46" i="81"/>
  <c r="E45" i="81"/>
  <c r="E44" i="81"/>
  <c r="E43" i="81"/>
  <c r="E42" i="81"/>
  <c r="E41" i="81"/>
  <c r="E40" i="81"/>
  <c r="E39" i="81"/>
  <c r="E38" i="81"/>
  <c r="E37" i="81"/>
  <c r="E36" i="81"/>
  <c r="E35" i="81"/>
  <c r="E34" i="81"/>
  <c r="E33" i="81"/>
  <c r="E32" i="81"/>
  <c r="E31" i="81"/>
  <c r="E30" i="81"/>
  <c r="E29" i="81"/>
  <c r="E28" i="81"/>
  <c r="E27" i="81"/>
  <c r="E26" i="81"/>
  <c r="E25" i="81"/>
  <c r="E24" i="81"/>
  <c r="E50" i="62"/>
  <c r="E23" i="81"/>
  <c r="E22" i="81"/>
  <c r="E21" i="81"/>
  <c r="E59" i="62"/>
  <c r="E20" i="81"/>
  <c r="E19" i="81"/>
  <c r="E18" i="81"/>
  <c r="E16" i="81"/>
  <c r="E15" i="81"/>
  <c r="E14" i="81"/>
  <c r="E13" i="81"/>
  <c r="E12" i="81"/>
  <c r="E11" i="81"/>
  <c r="E10" i="81"/>
  <c r="E9" i="81"/>
  <c r="E8" i="81"/>
  <c r="E7" i="81"/>
  <c r="E6" i="81"/>
  <c r="E5" i="81"/>
  <c r="E4" i="81"/>
  <c r="E117" i="80"/>
  <c r="E116" i="80"/>
  <c r="E115" i="80"/>
  <c r="E114" i="80"/>
  <c r="E113" i="80"/>
  <c r="E112" i="80"/>
  <c r="E111" i="80"/>
  <c r="E110" i="80"/>
  <c r="E109" i="80"/>
  <c r="E108" i="80"/>
  <c r="E107" i="80"/>
  <c r="E106" i="80"/>
  <c r="E105" i="80"/>
  <c r="E104" i="80"/>
  <c r="E103" i="80"/>
  <c r="E102" i="80"/>
  <c r="E101" i="80"/>
  <c r="E99" i="80"/>
  <c r="BF6" i="31"/>
  <c r="BF7" i="31"/>
  <c r="BF8" i="31"/>
  <c r="BF9" i="31"/>
  <c r="BF10" i="31"/>
  <c r="BF11" i="31"/>
  <c r="BF12" i="31"/>
  <c r="BF13" i="31"/>
  <c r="BF14" i="31"/>
  <c r="BF15" i="31"/>
  <c r="BF16" i="31"/>
  <c r="BF17" i="31"/>
  <c r="BF18" i="31"/>
  <c r="BF19" i="31"/>
  <c r="BF20" i="31"/>
  <c r="BF21" i="31"/>
  <c r="BF22" i="31"/>
  <c r="BF23" i="31"/>
  <c r="BF24" i="31"/>
  <c r="BF25" i="31"/>
  <c r="BF26" i="31"/>
  <c r="BF27" i="31"/>
  <c r="BF28" i="31"/>
  <c r="BF29" i="31"/>
  <c r="BF30" i="31"/>
  <c r="BF31" i="31"/>
  <c r="BF32" i="31"/>
  <c r="BF33" i="31"/>
  <c r="BF34" i="31"/>
  <c r="BF35" i="31"/>
  <c r="BF354" i="31"/>
  <c r="BF355" i="31"/>
  <c r="BF356" i="31"/>
  <c r="BF357" i="31"/>
  <c r="BF358" i="31"/>
  <c r="BF359" i="31"/>
  <c r="BF360" i="31"/>
  <c r="BF361" i="31"/>
  <c r="BF362" i="31"/>
  <c r="BF363" i="31"/>
  <c r="BF364" i="31"/>
  <c r="BF365" i="31"/>
  <c r="BF366" i="31"/>
  <c r="BF367" i="31"/>
  <c r="BF368" i="31"/>
  <c r="BF369" i="31"/>
  <c r="BF370" i="31"/>
  <c r="BF371" i="31"/>
  <c r="BF372" i="31"/>
  <c r="BF373" i="31"/>
  <c r="BF374" i="31"/>
  <c r="BF375" i="31"/>
  <c r="BF376" i="31"/>
  <c r="BF377" i="31"/>
  <c r="BF378" i="31"/>
  <c r="BF379" i="31"/>
  <c r="BF380" i="31"/>
  <c r="BF381" i="31"/>
  <c r="BF382" i="31"/>
  <c r="BF383" i="31"/>
  <c r="BF384" i="31"/>
  <c r="BF385" i="31"/>
  <c r="BF386" i="31"/>
  <c r="BF387" i="31"/>
  <c r="BF388" i="31"/>
  <c r="BF389" i="31"/>
  <c r="BF390" i="31"/>
  <c r="BF391" i="31"/>
  <c r="BF392" i="31"/>
  <c r="BF393" i="31"/>
  <c r="BF394" i="31"/>
  <c r="BF395" i="31"/>
  <c r="BF396" i="31"/>
  <c r="BF397" i="31"/>
  <c r="BF398" i="31"/>
  <c r="BF399" i="31"/>
  <c r="BF400" i="31"/>
  <c r="BF401" i="31"/>
  <c r="BF402" i="31"/>
  <c r="BF403" i="31"/>
  <c r="BF404" i="31"/>
  <c r="BF405" i="31"/>
  <c r="BF406" i="31"/>
  <c r="BF407" i="31"/>
  <c r="BF408" i="31"/>
  <c r="BF409" i="31"/>
  <c r="BF410" i="31"/>
  <c r="BF411" i="31"/>
  <c r="BF412" i="31"/>
  <c r="BF413" i="31"/>
  <c r="BF414" i="31"/>
  <c r="BF415" i="31"/>
  <c r="BF416" i="31"/>
  <c r="BF417" i="31"/>
  <c r="BF418" i="31"/>
  <c r="BF419" i="31"/>
  <c r="BF420" i="31"/>
  <c r="BF421" i="31"/>
  <c r="BF422" i="31"/>
  <c r="BF423" i="31"/>
  <c r="BF424" i="31"/>
  <c r="BF425" i="31"/>
  <c r="BF426" i="31"/>
  <c r="BF427" i="31"/>
  <c r="BF428" i="31"/>
  <c r="BF429" i="31"/>
  <c r="BF430" i="31"/>
  <c r="BF431" i="31"/>
  <c r="BF432" i="31"/>
  <c r="BF433" i="31"/>
  <c r="BF434" i="31"/>
  <c r="BF435" i="31"/>
  <c r="BF436" i="31"/>
  <c r="BF437" i="31"/>
  <c r="BF438" i="31"/>
  <c r="BF439" i="31"/>
  <c r="BF440" i="31"/>
  <c r="BF441" i="31"/>
  <c r="BF442" i="31"/>
  <c r="BF443" i="31"/>
  <c r="BF444" i="31"/>
  <c r="BF445" i="31"/>
  <c r="BF446" i="31"/>
  <c r="BF447" i="31"/>
  <c r="BF448" i="31"/>
  <c r="BF449" i="31"/>
  <c r="BF450" i="31"/>
  <c r="BF451" i="31"/>
  <c r="BF452" i="31"/>
  <c r="BF453" i="31"/>
  <c r="BF454" i="31"/>
  <c r="BF455" i="31"/>
  <c r="BF456" i="31"/>
  <c r="BF457" i="31"/>
  <c r="BF458" i="31"/>
  <c r="BF459" i="31"/>
  <c r="BF460" i="31"/>
  <c r="BF461" i="31"/>
  <c r="BF462" i="31"/>
  <c r="BF463" i="31"/>
  <c r="BF464" i="31"/>
  <c r="BF465" i="31"/>
  <c r="BF466" i="31"/>
  <c r="BF467" i="31"/>
  <c r="BF468" i="31"/>
  <c r="BF469" i="31"/>
  <c r="BF470" i="31"/>
  <c r="BF471" i="31"/>
  <c r="BF472" i="31"/>
  <c r="BF473" i="31"/>
  <c r="BF474" i="31"/>
  <c r="BF475" i="31"/>
  <c r="BF476" i="31"/>
  <c r="BF477" i="31"/>
  <c r="BF478" i="31"/>
  <c r="BF479" i="31"/>
  <c r="BF480" i="31"/>
  <c r="BF481" i="31"/>
  <c r="BF482" i="31"/>
  <c r="BF483" i="31"/>
  <c r="BF484" i="31"/>
  <c r="BF485" i="31"/>
  <c r="BF486" i="31"/>
  <c r="BF487" i="31"/>
  <c r="BF488" i="31"/>
  <c r="BF489" i="31"/>
  <c r="BF490" i="31"/>
  <c r="BF491" i="31"/>
  <c r="BF492" i="31"/>
  <c r="BF493" i="31"/>
  <c r="BF494" i="31"/>
  <c r="BF495" i="31"/>
  <c r="BF496" i="31"/>
  <c r="BF497" i="31"/>
  <c r="BF498" i="31"/>
  <c r="BF499" i="31"/>
  <c r="BF500" i="31"/>
  <c r="BF501" i="31"/>
  <c r="BF502" i="31"/>
  <c r="BF503" i="31"/>
  <c r="BF504" i="31"/>
  <c r="BF505" i="31"/>
  <c r="BF506" i="31"/>
  <c r="BF507" i="31"/>
  <c r="BF508" i="31"/>
  <c r="BF509" i="31"/>
  <c r="BF510" i="31"/>
  <c r="BF511" i="31"/>
  <c r="BF512" i="31"/>
  <c r="BF513" i="31"/>
  <c r="BF514" i="31"/>
  <c r="BF515" i="31"/>
  <c r="BF516" i="31"/>
  <c r="BF517" i="31"/>
  <c r="BF518" i="31"/>
  <c r="BF519" i="31"/>
  <c r="BF520" i="31"/>
  <c r="BF521" i="31"/>
  <c r="BF522" i="31"/>
  <c r="BF523" i="31"/>
  <c r="BF524" i="31"/>
  <c r="BF525" i="31"/>
  <c r="BF526" i="31"/>
  <c r="BF527" i="31"/>
  <c r="BF528" i="31"/>
  <c r="BF529" i="31"/>
  <c r="BF530" i="31"/>
  <c r="BF531" i="31"/>
  <c r="BF532" i="31"/>
  <c r="BF533" i="31"/>
  <c r="BF534" i="31"/>
  <c r="BF535" i="31"/>
  <c r="BF536" i="31"/>
  <c r="BF537" i="31"/>
  <c r="BF538" i="31"/>
  <c r="BF539" i="31"/>
  <c r="BF540" i="31"/>
  <c r="BF541" i="31"/>
  <c r="BF542" i="31"/>
  <c r="BF543" i="31"/>
  <c r="BF544" i="31"/>
  <c r="BF545" i="31"/>
  <c r="BF546" i="31"/>
  <c r="BF547" i="31"/>
  <c r="BF548" i="31"/>
  <c r="BF549" i="31"/>
  <c r="BF550" i="31"/>
  <c r="BF551" i="31"/>
  <c r="BF552" i="31"/>
  <c r="BF553" i="31"/>
  <c r="BF554" i="31"/>
  <c r="BF555" i="31"/>
  <c r="BF556" i="31"/>
  <c r="BF557" i="31"/>
  <c r="BF558" i="31"/>
  <c r="BF559" i="31"/>
  <c r="BF560" i="31"/>
  <c r="BF561" i="31"/>
  <c r="BF562" i="31"/>
  <c r="BF563" i="31"/>
  <c r="BF564" i="31"/>
  <c r="BF565" i="31"/>
  <c r="BF566" i="31"/>
  <c r="BF567" i="31"/>
  <c r="BF568" i="31"/>
  <c r="BF569" i="31"/>
  <c r="BF570" i="31"/>
  <c r="BF571" i="31"/>
  <c r="BF572" i="31"/>
  <c r="BF573" i="31"/>
  <c r="BF574" i="31"/>
  <c r="BF575" i="31"/>
  <c r="BF576" i="31"/>
  <c r="BF577" i="31"/>
  <c r="BF578" i="31"/>
  <c r="BF579" i="31"/>
  <c r="BF580" i="31"/>
  <c r="BF581" i="31"/>
  <c r="BF582" i="31"/>
  <c r="BF583" i="31"/>
  <c r="BF584" i="31"/>
  <c r="BF585" i="31"/>
  <c r="BF586" i="31"/>
  <c r="BF587" i="31"/>
  <c r="BF588" i="31"/>
  <c r="BF589" i="31"/>
  <c r="BF590" i="31"/>
  <c r="BF591" i="31"/>
  <c r="BF592" i="31"/>
  <c r="BF593" i="31"/>
  <c r="BF594" i="31"/>
  <c r="BF595" i="31"/>
  <c r="BF596" i="31"/>
  <c r="BF597" i="31"/>
  <c r="BF598" i="31"/>
  <c r="BF599" i="31"/>
  <c r="BF600" i="31"/>
  <c r="BF601" i="31"/>
  <c r="BF602" i="31"/>
  <c r="BF603" i="31"/>
  <c r="BF604" i="31"/>
  <c r="BF605" i="31"/>
  <c r="BF606" i="31"/>
  <c r="BF607" i="31"/>
  <c r="BF608" i="31"/>
  <c r="BF609" i="31"/>
  <c r="BF610" i="31"/>
  <c r="BF611" i="31"/>
  <c r="BF612" i="31"/>
  <c r="BF613" i="31"/>
  <c r="BF614" i="31"/>
  <c r="BF615" i="31"/>
  <c r="BF616" i="31"/>
  <c r="BF617" i="31"/>
  <c r="BF618" i="31"/>
  <c r="BF619" i="31"/>
  <c r="BF620" i="31"/>
  <c r="BF621" i="31"/>
  <c r="BF622" i="31"/>
  <c r="BF623" i="31"/>
  <c r="BF624" i="31"/>
  <c r="BF625" i="31"/>
  <c r="BF626" i="31"/>
  <c r="BF627" i="31"/>
  <c r="BF628" i="31"/>
  <c r="BF629" i="31"/>
  <c r="BF630" i="31"/>
  <c r="BF631" i="31"/>
  <c r="BF632" i="31"/>
  <c r="BF633" i="31"/>
  <c r="BF634" i="31"/>
  <c r="BF635" i="31"/>
  <c r="BF636" i="31"/>
  <c r="BF637" i="31"/>
  <c r="BF638" i="31"/>
  <c r="BF639" i="31"/>
  <c r="BF640" i="31"/>
  <c r="BF641" i="31"/>
  <c r="BF642" i="31"/>
  <c r="BF643" i="31"/>
  <c r="BF644" i="31"/>
  <c r="BF645" i="31"/>
  <c r="BF646" i="31"/>
  <c r="BF647" i="31"/>
  <c r="BF648" i="31"/>
  <c r="BF649" i="31"/>
  <c r="BF650" i="31"/>
  <c r="BF651" i="31"/>
  <c r="BF652" i="31"/>
  <c r="BF653" i="31"/>
  <c r="BF654" i="31"/>
  <c r="BF655" i="31"/>
  <c r="BF656" i="31"/>
  <c r="BF657" i="31"/>
  <c r="BF658" i="31"/>
  <c r="BF659" i="31"/>
  <c r="BF660" i="31"/>
  <c r="BF661" i="31"/>
  <c r="BF662" i="31"/>
  <c r="BF663" i="31"/>
  <c r="BF664" i="31"/>
  <c r="BF665" i="31"/>
  <c r="BF666" i="31"/>
  <c r="BF667" i="31"/>
  <c r="BF668" i="31"/>
  <c r="BF669" i="31"/>
  <c r="BF670" i="31"/>
  <c r="BF671" i="31"/>
  <c r="BF672" i="31"/>
  <c r="BF673" i="31"/>
  <c r="BF674" i="31"/>
  <c r="BF675" i="31"/>
  <c r="BF676" i="31"/>
  <c r="BF677" i="31"/>
  <c r="BF678" i="31"/>
  <c r="BF679" i="31"/>
  <c r="BF680" i="31"/>
  <c r="BF681" i="31"/>
  <c r="BF682" i="31"/>
  <c r="BF683" i="31"/>
  <c r="BF684" i="31"/>
  <c r="BF685" i="31"/>
  <c r="BF686" i="31"/>
  <c r="BF687" i="31"/>
  <c r="BF688" i="31"/>
  <c r="BF689" i="31"/>
  <c r="BF690" i="31"/>
  <c r="BF691" i="31"/>
  <c r="BF692" i="31"/>
  <c r="BF693" i="31"/>
  <c r="BF694" i="31"/>
  <c r="BF695" i="31"/>
  <c r="BF696" i="31"/>
  <c r="BF697" i="31"/>
  <c r="BF698" i="31"/>
  <c r="BF699" i="31"/>
  <c r="BF700" i="31"/>
  <c r="BF701" i="31"/>
  <c r="BF702" i="31"/>
  <c r="BF703" i="31"/>
  <c r="BF704" i="31"/>
  <c r="BF705" i="31"/>
  <c r="BF706" i="31"/>
  <c r="BF707" i="31"/>
  <c r="BF708" i="31"/>
  <c r="BF709" i="31"/>
  <c r="BF710" i="31"/>
  <c r="BF711" i="31"/>
  <c r="BF712" i="31"/>
  <c r="BF713" i="31"/>
  <c r="BF714" i="31"/>
  <c r="BF715" i="31"/>
  <c r="BG6" i="31"/>
  <c r="BG7" i="31"/>
  <c r="BG8" i="31"/>
  <c r="BG9" i="31"/>
  <c r="BG10" i="31"/>
  <c r="BG11" i="31"/>
  <c r="BG12" i="31"/>
  <c r="BG13" i="31"/>
  <c r="BG14" i="31"/>
  <c r="BG15" i="31"/>
  <c r="BG16" i="31"/>
  <c r="BG17" i="31"/>
  <c r="BG18" i="31"/>
  <c r="BG19" i="31"/>
  <c r="BG20" i="31"/>
  <c r="BG21" i="31"/>
  <c r="BG22" i="31"/>
  <c r="BG23" i="31"/>
  <c r="BG24" i="31"/>
  <c r="BG25" i="31"/>
  <c r="BG26" i="31"/>
  <c r="BG27" i="31"/>
  <c r="BG28" i="31"/>
  <c r="BG29" i="31"/>
  <c r="BG30" i="31"/>
  <c r="BG31" i="31"/>
  <c r="BG32" i="31"/>
  <c r="BG33" i="31"/>
  <c r="BG34" i="31"/>
  <c r="BG35" i="31"/>
  <c r="BG36" i="31"/>
  <c r="BG37" i="31"/>
  <c r="BG38" i="31"/>
  <c r="BG39" i="31"/>
  <c r="BG40" i="31"/>
  <c r="BG41" i="31"/>
  <c r="BG42" i="31"/>
  <c r="BG43" i="31"/>
  <c r="BG44" i="31"/>
  <c r="BG45" i="31"/>
  <c r="BG46" i="31"/>
  <c r="BG47" i="31"/>
  <c r="BG48" i="31"/>
  <c r="BG49" i="31"/>
  <c r="BG50" i="31"/>
  <c r="BG51" i="31"/>
  <c r="BG52" i="31"/>
  <c r="BG53" i="31"/>
  <c r="BG54" i="31"/>
  <c r="BG55" i="31"/>
  <c r="BG56" i="31"/>
  <c r="BG57" i="31"/>
  <c r="BG58" i="31"/>
  <c r="BG59" i="31"/>
  <c r="BG60" i="31"/>
  <c r="BG61" i="31"/>
  <c r="BG62" i="31"/>
  <c r="BG63" i="31"/>
  <c r="BG64" i="31"/>
  <c r="BG65" i="31"/>
  <c r="BG66" i="31"/>
  <c r="BG67" i="31"/>
  <c r="BG68" i="31"/>
  <c r="BG69" i="31"/>
  <c r="BG70" i="31"/>
  <c r="BG71" i="31"/>
  <c r="BG72" i="31"/>
  <c r="BG73" i="31"/>
  <c r="BG74" i="31"/>
  <c r="BG75" i="31"/>
  <c r="BG76" i="31"/>
  <c r="BG77" i="31"/>
  <c r="BG78" i="31"/>
  <c r="BG79" i="31"/>
  <c r="BG80" i="31"/>
  <c r="BG81" i="31"/>
  <c r="BG82" i="31"/>
  <c r="BG83" i="31"/>
  <c r="BG84" i="31"/>
  <c r="BG85" i="31"/>
  <c r="BG86" i="31"/>
  <c r="BG87" i="31"/>
  <c r="BG88" i="31"/>
  <c r="BG89" i="31"/>
  <c r="BG90" i="31"/>
  <c r="BG91" i="31"/>
  <c r="BG92" i="31"/>
  <c r="BG93" i="31"/>
  <c r="BG94" i="31"/>
  <c r="BG95" i="31"/>
  <c r="BG96" i="31"/>
  <c r="BG97" i="31"/>
  <c r="BG98" i="31"/>
  <c r="BG99" i="31"/>
  <c r="BG100" i="31"/>
  <c r="BG101" i="31"/>
  <c r="BG102" i="31"/>
  <c r="BG103" i="31"/>
  <c r="BG104" i="31"/>
  <c r="BG105" i="31"/>
  <c r="BG106" i="31"/>
  <c r="BG107" i="31"/>
  <c r="BG108" i="31"/>
  <c r="BG109" i="31"/>
  <c r="BG110" i="31"/>
  <c r="BG111" i="31"/>
  <c r="BG112" i="31"/>
  <c r="BG113" i="31"/>
  <c r="BG114" i="31"/>
  <c r="BG115" i="31"/>
  <c r="BG116" i="31"/>
  <c r="BG117" i="31"/>
  <c r="BG118" i="31"/>
  <c r="BG119" i="31"/>
  <c r="BG120" i="31"/>
  <c r="BG121" i="31"/>
  <c r="BG122" i="31"/>
  <c r="BG123" i="31"/>
  <c r="BG124" i="31"/>
  <c r="BG125" i="31"/>
  <c r="BG126" i="31"/>
  <c r="BG127" i="31"/>
  <c r="BG128" i="31"/>
  <c r="BG129" i="31"/>
  <c r="BG130" i="31"/>
  <c r="BG131" i="31"/>
  <c r="BG132" i="31"/>
  <c r="BG133" i="31"/>
  <c r="BG134" i="31"/>
  <c r="BG135" i="31"/>
  <c r="BG136" i="31"/>
  <c r="BG137" i="31"/>
  <c r="BG138" i="31"/>
  <c r="BG139" i="31"/>
  <c r="BG140" i="31"/>
  <c r="BG141" i="31"/>
  <c r="BG142" i="31"/>
  <c r="BG143" i="31"/>
  <c r="BG144" i="31"/>
  <c r="BG145" i="31"/>
  <c r="BG146" i="31"/>
  <c r="BG147" i="31"/>
  <c r="BG148" i="31"/>
  <c r="BG149" i="31"/>
  <c r="BG150" i="31"/>
  <c r="BG151" i="31"/>
  <c r="BG152" i="31"/>
  <c r="BG153" i="31"/>
  <c r="BG154" i="31"/>
  <c r="BG155" i="31"/>
  <c r="BG156" i="31"/>
  <c r="BG157" i="31"/>
  <c r="BG158" i="31"/>
  <c r="BG159" i="31"/>
  <c r="BG160" i="31"/>
  <c r="BG161" i="31"/>
  <c r="BG162" i="31"/>
  <c r="BG163" i="31"/>
  <c r="BG164" i="31"/>
  <c r="BG165" i="31"/>
  <c r="BG166" i="31"/>
  <c r="BG167" i="31"/>
  <c r="BG168" i="31"/>
  <c r="BG169" i="31"/>
  <c r="BG170" i="31"/>
  <c r="BG171" i="31"/>
  <c r="BG172" i="31"/>
  <c r="BG173" i="31"/>
  <c r="BG174" i="31"/>
  <c r="BG175" i="31"/>
  <c r="BG176" i="31"/>
  <c r="BG177" i="31"/>
  <c r="BG178" i="31"/>
  <c r="BG179" i="31"/>
  <c r="BG180" i="31"/>
  <c r="BG181" i="31"/>
  <c r="BG182" i="31"/>
  <c r="BG183" i="31"/>
  <c r="BG184" i="31"/>
  <c r="BG185" i="31"/>
  <c r="BG186" i="31"/>
  <c r="BG187" i="31"/>
  <c r="BG188" i="31"/>
  <c r="BG189" i="31"/>
  <c r="BG190" i="31"/>
  <c r="BG191" i="31"/>
  <c r="BG192" i="31"/>
  <c r="BG193" i="31"/>
  <c r="BG194" i="31"/>
  <c r="BG195" i="31"/>
  <c r="BG196" i="31"/>
  <c r="BG197" i="31"/>
  <c r="BG198" i="31"/>
  <c r="BG199" i="31"/>
  <c r="BG200" i="31"/>
  <c r="BG201" i="31"/>
  <c r="BG202" i="31"/>
  <c r="BG203" i="31"/>
  <c r="BG204" i="31"/>
  <c r="BG205" i="31"/>
  <c r="BG206" i="31"/>
  <c r="BG207" i="31"/>
  <c r="BG208" i="31"/>
  <c r="BG209" i="31"/>
  <c r="BG210" i="31"/>
  <c r="BG211" i="31"/>
  <c r="BG212" i="31"/>
  <c r="BG213" i="31"/>
  <c r="BG214" i="31"/>
  <c r="BG215" i="31"/>
  <c r="BG216" i="31"/>
  <c r="BG217" i="31"/>
  <c r="BG218" i="31"/>
  <c r="BG219" i="31"/>
  <c r="BG220" i="31"/>
  <c r="BG221" i="31"/>
  <c r="BG222" i="31"/>
  <c r="BG223" i="31"/>
  <c r="BG224" i="31"/>
  <c r="BG225" i="31"/>
  <c r="BG226" i="31"/>
  <c r="BG227" i="31"/>
  <c r="BG228" i="31"/>
  <c r="BG229" i="31"/>
  <c r="BG230" i="31"/>
  <c r="BG231" i="31"/>
  <c r="BG232" i="31"/>
  <c r="BG233" i="31"/>
  <c r="BG234" i="31"/>
  <c r="BG235" i="31"/>
  <c r="BG236" i="31"/>
  <c r="BG237" i="31"/>
  <c r="BG238" i="31"/>
  <c r="BG239" i="31"/>
  <c r="BG240" i="31"/>
  <c r="BG241" i="31"/>
  <c r="BG242" i="31"/>
  <c r="BG243" i="31"/>
  <c r="BG244" i="31"/>
  <c r="BG245" i="31"/>
  <c r="BG246" i="31"/>
  <c r="BG247" i="31"/>
  <c r="BG248" i="31"/>
  <c r="BG249" i="31"/>
  <c r="BG250" i="31"/>
  <c r="BG251" i="31"/>
  <c r="BG252" i="31"/>
  <c r="BG253" i="31"/>
  <c r="BG254" i="31"/>
  <c r="BG255" i="31"/>
  <c r="BG256" i="31"/>
  <c r="BG257" i="31"/>
  <c r="BG258" i="31"/>
  <c r="BG259" i="31"/>
  <c r="BG260" i="31"/>
  <c r="BG261" i="31"/>
  <c r="BG262" i="31"/>
  <c r="BG263" i="31"/>
  <c r="BG264" i="31"/>
  <c r="BG265" i="31"/>
  <c r="BG266" i="31"/>
  <c r="BG267" i="31"/>
  <c r="BG268" i="31"/>
  <c r="BG269" i="31"/>
  <c r="BG270" i="31"/>
  <c r="BG271" i="31"/>
  <c r="BG272" i="31"/>
  <c r="BG273" i="31"/>
  <c r="BG274" i="31"/>
  <c r="BG275" i="31"/>
  <c r="BG276" i="31"/>
  <c r="BG277" i="31"/>
  <c r="BG278" i="31"/>
  <c r="BG279" i="31"/>
  <c r="BG280" i="31"/>
  <c r="BG281" i="31"/>
  <c r="BG282" i="31"/>
  <c r="BG283" i="31"/>
  <c r="BG284" i="31"/>
  <c r="BG285" i="31"/>
  <c r="BG286" i="31"/>
  <c r="BG287" i="31"/>
  <c r="BG288" i="31"/>
  <c r="BG289" i="31"/>
  <c r="BG290" i="31"/>
  <c r="BG291" i="31"/>
  <c r="BG292" i="31"/>
  <c r="BG293" i="31"/>
  <c r="BG294" i="31"/>
  <c r="BG295" i="31"/>
  <c r="BG296" i="31"/>
  <c r="BG297" i="31"/>
  <c r="BG298" i="31"/>
  <c r="BG299" i="31"/>
  <c r="BG300" i="31"/>
  <c r="BG301" i="31"/>
  <c r="BG302" i="31"/>
  <c r="BG303" i="31"/>
  <c r="BG304" i="31"/>
  <c r="BG305" i="31"/>
  <c r="BG306" i="31"/>
  <c r="BG307" i="31"/>
  <c r="BG308" i="31"/>
  <c r="BG309" i="31"/>
  <c r="BG310" i="31"/>
  <c r="BG311" i="31"/>
  <c r="BG312" i="31"/>
  <c r="BG313" i="31"/>
  <c r="BG314" i="31"/>
  <c r="BG315" i="31"/>
  <c r="BG316" i="31"/>
  <c r="BG317" i="31"/>
  <c r="BG318" i="31"/>
  <c r="BG319" i="31"/>
  <c r="BG320" i="31"/>
  <c r="BG321" i="31"/>
  <c r="BG322" i="31"/>
  <c r="BG323" i="31"/>
  <c r="BG324" i="31"/>
  <c r="BG325" i="31"/>
  <c r="BG326" i="31"/>
  <c r="BG327" i="31"/>
  <c r="BG328" i="31"/>
  <c r="BG329" i="31"/>
  <c r="BG330" i="31"/>
  <c r="BG331" i="31"/>
  <c r="BG332" i="31"/>
  <c r="BG333" i="31"/>
  <c r="BG334" i="31"/>
  <c r="BG335" i="31"/>
  <c r="BG336" i="31"/>
  <c r="BG337" i="31"/>
  <c r="BG338" i="31"/>
  <c r="BG339" i="31"/>
  <c r="BG340" i="31"/>
  <c r="BG341" i="31"/>
  <c r="BG342" i="31"/>
  <c r="BG343" i="31"/>
  <c r="BG344" i="31"/>
  <c r="BG345" i="31"/>
  <c r="BG346" i="31"/>
  <c r="BG347" i="31"/>
  <c r="BG348" i="31"/>
  <c r="BG349" i="31"/>
  <c r="BG350" i="31"/>
  <c r="BG351" i="31"/>
  <c r="BG352" i="31"/>
  <c r="BG353" i="31"/>
  <c r="BG354" i="31"/>
  <c r="BG355" i="31"/>
  <c r="BG356" i="31"/>
  <c r="BG357" i="31"/>
  <c r="BG358" i="31"/>
  <c r="BG359" i="31"/>
  <c r="BG360" i="31"/>
  <c r="BG361" i="31"/>
  <c r="BG362" i="31"/>
  <c r="BG363" i="31"/>
  <c r="BG364" i="31"/>
  <c r="BG365" i="31"/>
  <c r="BG366" i="31"/>
  <c r="BG367" i="31"/>
  <c r="BG368" i="31"/>
  <c r="BG369" i="31"/>
  <c r="BG370" i="31"/>
  <c r="BG371" i="31"/>
  <c r="BG372" i="31"/>
  <c r="BG373" i="31"/>
  <c r="BG374" i="31"/>
  <c r="BG375" i="31"/>
  <c r="BG376" i="31"/>
  <c r="BG377" i="31"/>
  <c r="BG378" i="31"/>
  <c r="BG379" i="31"/>
  <c r="BG380" i="31"/>
  <c r="BG381" i="31"/>
  <c r="BG382" i="31"/>
  <c r="BG383" i="31"/>
  <c r="BG384" i="31"/>
  <c r="BG385" i="31"/>
  <c r="BG386" i="31"/>
  <c r="BG387" i="31"/>
  <c r="BG388" i="31"/>
  <c r="BG389" i="31"/>
  <c r="BG390" i="31"/>
  <c r="BG391" i="31"/>
  <c r="BG392" i="31"/>
  <c r="BG393" i="31"/>
  <c r="BG394" i="31"/>
  <c r="BG395" i="31"/>
  <c r="BG396" i="31"/>
  <c r="BG397" i="31"/>
  <c r="BG398" i="31"/>
  <c r="BG399" i="31"/>
  <c r="BG400" i="31"/>
  <c r="BG401" i="31"/>
  <c r="BG402" i="31"/>
  <c r="BG403" i="31"/>
  <c r="BG404" i="31"/>
  <c r="BG405" i="31"/>
  <c r="BG406" i="31"/>
  <c r="BG407" i="31"/>
  <c r="BG408" i="31"/>
  <c r="BG409" i="31"/>
  <c r="BG410" i="31"/>
  <c r="BG411" i="31"/>
  <c r="BG412" i="31"/>
  <c r="BG413" i="31"/>
  <c r="BG414" i="31"/>
  <c r="BG415" i="31"/>
  <c r="BG416" i="31"/>
  <c r="BG417" i="31"/>
  <c r="BG418" i="31"/>
  <c r="BG419" i="31"/>
  <c r="BG420" i="31"/>
  <c r="BG421" i="31"/>
  <c r="BG422" i="31"/>
  <c r="BG423" i="31"/>
  <c r="BG424" i="31"/>
  <c r="BG425" i="31"/>
  <c r="BG426" i="31"/>
  <c r="BG427" i="31"/>
  <c r="BG428" i="31"/>
  <c r="BG429" i="31"/>
  <c r="BG430" i="31"/>
  <c r="BG431" i="31"/>
  <c r="BG432" i="31"/>
  <c r="BG433" i="31"/>
  <c r="BG434" i="31"/>
  <c r="BG435" i="31"/>
  <c r="BG436" i="31"/>
  <c r="BG437" i="31"/>
  <c r="BG438" i="31"/>
  <c r="BG439" i="31"/>
  <c r="BG440" i="31"/>
  <c r="BG441" i="31"/>
  <c r="BG442" i="31"/>
  <c r="BG443" i="31"/>
  <c r="BG444" i="31"/>
  <c r="BG445" i="31"/>
  <c r="BG446" i="31"/>
  <c r="BG447" i="31"/>
  <c r="BG448" i="31"/>
  <c r="BG449" i="31"/>
  <c r="BG450" i="31"/>
  <c r="BG451" i="31"/>
  <c r="BG452" i="31"/>
  <c r="BG453" i="31"/>
  <c r="BG454" i="31"/>
  <c r="BG455" i="31"/>
  <c r="BG456" i="31"/>
  <c r="BG457" i="31"/>
  <c r="BG458" i="31"/>
  <c r="BG459" i="31"/>
  <c r="BG460" i="31"/>
  <c r="BG461" i="31"/>
  <c r="BG462" i="31"/>
  <c r="BG463" i="31"/>
  <c r="BG464" i="31"/>
  <c r="BG465" i="31"/>
  <c r="BG466" i="31"/>
  <c r="BG467" i="31"/>
  <c r="BG468" i="31"/>
  <c r="BG469" i="31"/>
  <c r="BG470" i="31"/>
  <c r="BG471" i="31"/>
  <c r="BG472" i="31"/>
  <c r="BG473" i="31"/>
  <c r="BG474" i="31"/>
  <c r="BG475" i="31"/>
  <c r="BG476" i="31"/>
  <c r="BG477" i="31"/>
  <c r="BG478" i="31"/>
  <c r="BG479" i="31"/>
  <c r="BG480" i="31"/>
  <c r="BG481" i="31"/>
  <c r="BG482" i="31"/>
  <c r="BG483" i="31"/>
  <c r="BG484" i="31"/>
  <c r="BG485" i="31"/>
  <c r="BG486" i="31"/>
  <c r="BG487" i="31"/>
  <c r="BG488" i="31"/>
  <c r="BG489" i="31"/>
  <c r="BG490" i="31"/>
  <c r="BG491" i="31"/>
  <c r="BG492" i="31"/>
  <c r="BG493" i="31"/>
  <c r="BG494" i="31"/>
  <c r="BG495" i="31"/>
  <c r="BG496" i="31"/>
  <c r="BG497" i="31"/>
  <c r="BG498" i="31"/>
  <c r="BG499" i="31"/>
  <c r="BG500" i="31"/>
  <c r="BG501" i="31"/>
  <c r="BG502" i="31"/>
  <c r="BG503" i="31"/>
  <c r="BG504" i="31"/>
  <c r="BG505" i="31"/>
  <c r="BG506" i="31"/>
  <c r="BG507" i="31"/>
  <c r="BG508" i="31"/>
  <c r="BG509" i="31"/>
  <c r="BG510" i="31"/>
  <c r="BG511" i="31"/>
  <c r="BG512" i="31"/>
  <c r="BG513" i="31"/>
  <c r="BG514" i="31"/>
  <c r="BG515" i="31"/>
  <c r="BG516" i="31"/>
  <c r="BG517" i="31"/>
  <c r="BG518" i="31"/>
  <c r="BG519" i="31"/>
  <c r="BG520" i="31"/>
  <c r="BG521" i="31"/>
  <c r="BG522" i="31"/>
  <c r="BG523" i="31"/>
  <c r="BG524" i="31"/>
  <c r="BG525" i="31"/>
  <c r="BG526" i="31"/>
  <c r="BG527" i="31"/>
  <c r="BG528" i="31"/>
  <c r="BG529" i="31"/>
  <c r="BG530" i="31"/>
  <c r="BG531" i="31"/>
  <c r="BG532" i="31"/>
  <c r="BG533" i="31"/>
  <c r="BG534" i="31"/>
  <c r="BG535" i="31"/>
  <c r="BG536" i="31"/>
  <c r="BG537" i="31"/>
  <c r="BG538" i="31"/>
  <c r="BG539" i="31"/>
  <c r="BG540" i="31"/>
  <c r="BG541" i="31"/>
  <c r="BG542" i="31"/>
  <c r="BG543" i="31"/>
  <c r="BG544" i="31"/>
  <c r="BG545" i="31"/>
  <c r="BG546" i="31"/>
  <c r="BG547" i="31"/>
  <c r="BG548" i="31"/>
  <c r="BG549" i="31"/>
  <c r="BG550" i="31"/>
  <c r="BG551" i="31"/>
  <c r="BG552" i="31"/>
  <c r="BG553" i="31"/>
  <c r="BG554" i="31"/>
  <c r="BG555" i="31"/>
  <c r="BG556" i="31"/>
  <c r="BG557" i="31"/>
  <c r="BG558" i="31"/>
  <c r="BG559" i="31"/>
  <c r="BG560" i="31"/>
  <c r="BG561" i="31"/>
  <c r="BG562" i="31"/>
  <c r="BG563" i="31"/>
  <c r="BG564" i="31"/>
  <c r="BG565" i="31"/>
  <c r="BG566" i="31"/>
  <c r="BG567" i="31"/>
  <c r="BG568" i="31"/>
  <c r="BG569" i="31"/>
  <c r="BG570" i="31"/>
  <c r="BG571" i="31"/>
  <c r="BG572" i="31"/>
  <c r="BG573" i="31"/>
  <c r="BG574" i="31"/>
  <c r="BG575" i="31"/>
  <c r="BG576" i="31"/>
  <c r="BG577" i="31"/>
  <c r="BG578" i="31"/>
  <c r="BG579" i="31"/>
  <c r="BG580" i="31"/>
  <c r="BG581" i="31"/>
  <c r="BG582" i="31"/>
  <c r="BG583" i="31"/>
  <c r="BG584" i="31"/>
  <c r="BG585" i="31"/>
  <c r="BG586" i="31"/>
  <c r="BG587" i="31"/>
  <c r="BG588" i="31"/>
  <c r="BG589" i="31"/>
  <c r="BG590" i="31"/>
  <c r="BG591" i="31"/>
  <c r="BG592" i="31"/>
  <c r="BG593" i="31"/>
  <c r="BG594" i="31"/>
  <c r="BG595" i="31"/>
  <c r="BG596" i="31"/>
  <c r="BG597" i="31"/>
  <c r="BG598" i="31"/>
  <c r="BG599" i="31"/>
  <c r="BG600" i="31"/>
  <c r="BG601" i="31"/>
  <c r="BG602" i="31"/>
  <c r="BG603" i="31"/>
  <c r="BG604" i="31"/>
  <c r="BG605" i="31"/>
  <c r="BG606" i="31"/>
  <c r="BG607" i="31"/>
  <c r="BG608" i="31"/>
  <c r="BG609" i="31"/>
  <c r="BG610" i="31"/>
  <c r="BG611" i="31"/>
  <c r="BG612" i="31"/>
  <c r="BG613" i="31"/>
  <c r="BG614" i="31"/>
  <c r="BG615" i="31"/>
  <c r="BG616" i="31"/>
  <c r="BG617" i="31"/>
  <c r="BG618" i="31"/>
  <c r="BG619" i="31"/>
  <c r="BG620" i="31"/>
  <c r="BG621" i="31"/>
  <c r="BG622" i="31"/>
  <c r="BG623" i="31"/>
  <c r="BG624" i="31"/>
  <c r="BG625" i="31"/>
  <c r="BG626" i="31"/>
  <c r="BG627" i="31"/>
  <c r="BG628" i="31"/>
  <c r="BG629" i="31"/>
  <c r="BG630" i="31"/>
  <c r="BG631" i="31"/>
  <c r="BG632" i="31"/>
  <c r="BG633" i="31"/>
  <c r="BG634" i="31"/>
  <c r="BG635" i="31"/>
  <c r="BG636" i="31"/>
  <c r="BG637" i="31"/>
  <c r="BG638" i="31"/>
  <c r="BG639" i="31"/>
  <c r="BG640" i="31"/>
  <c r="BG641" i="31"/>
  <c r="BG642" i="31"/>
  <c r="BG643" i="31"/>
  <c r="BG644" i="31"/>
  <c r="BG645" i="31"/>
  <c r="BG646" i="31"/>
  <c r="BG647" i="31"/>
  <c r="BG648" i="31"/>
  <c r="BG649" i="31"/>
  <c r="BG650" i="31"/>
  <c r="BG651" i="31"/>
  <c r="BG652" i="31"/>
  <c r="BG653" i="31"/>
  <c r="BG654" i="31"/>
  <c r="BG655" i="31"/>
  <c r="BG656" i="31"/>
  <c r="BG657" i="31"/>
  <c r="BG658" i="31"/>
  <c r="BG659" i="31"/>
  <c r="BG660" i="31"/>
  <c r="BG661" i="31"/>
  <c r="BG662" i="31"/>
  <c r="BG663" i="31"/>
  <c r="BG664" i="31"/>
  <c r="BG665" i="31"/>
  <c r="BG666" i="31"/>
  <c r="BG667" i="31"/>
  <c r="BG668" i="31"/>
  <c r="BG669" i="31"/>
  <c r="BG670" i="31"/>
  <c r="BG671" i="31"/>
  <c r="BG672" i="31"/>
  <c r="BG673" i="31"/>
  <c r="BG674" i="31"/>
  <c r="BG675" i="31"/>
  <c r="BG676" i="31"/>
  <c r="BG677" i="31"/>
  <c r="BG678" i="31"/>
  <c r="BG679" i="31"/>
  <c r="BG680" i="31"/>
  <c r="BG681" i="31"/>
  <c r="BG682" i="31"/>
  <c r="BG683" i="31"/>
  <c r="BG684" i="31"/>
  <c r="BG685" i="31"/>
  <c r="BG686" i="31"/>
  <c r="BG687" i="31"/>
  <c r="BG688" i="31"/>
  <c r="BG689" i="31"/>
  <c r="BG690" i="31"/>
  <c r="BG691" i="31"/>
  <c r="BG692" i="31"/>
  <c r="BG693" i="31"/>
  <c r="BG694" i="31"/>
  <c r="BG695" i="31"/>
  <c r="BG696" i="31"/>
  <c r="BG697" i="31"/>
  <c r="BG698" i="31"/>
  <c r="BG699" i="31"/>
  <c r="BG700" i="31"/>
  <c r="BG701" i="31"/>
  <c r="BG702" i="31"/>
  <c r="BG703" i="31"/>
  <c r="BG704" i="31"/>
  <c r="BG705" i="31"/>
  <c r="BG706" i="31"/>
  <c r="BG707" i="31"/>
  <c r="BG708" i="31"/>
  <c r="BG709" i="31"/>
  <c r="BG710" i="31"/>
  <c r="BG711" i="31"/>
  <c r="BG712" i="31"/>
  <c r="BG713" i="31"/>
  <c r="BG714" i="31"/>
  <c r="BG715" i="31"/>
  <c r="BE3" i="31"/>
  <c r="E97" i="80"/>
  <c r="AZ6" i="31"/>
  <c r="AZ7" i="31"/>
  <c r="AZ8" i="31"/>
  <c r="AZ9" i="31"/>
  <c r="AZ10" i="31"/>
  <c r="AZ11" i="31"/>
  <c r="AZ12" i="31"/>
  <c r="AZ13" i="31"/>
  <c r="AZ14" i="31"/>
  <c r="AZ15" i="31"/>
  <c r="AZ16" i="31"/>
  <c r="AZ17" i="31"/>
  <c r="AZ18" i="31"/>
  <c r="AZ19" i="31"/>
  <c r="AZ20" i="31"/>
  <c r="AZ21" i="31"/>
  <c r="AZ22" i="31"/>
  <c r="AZ23" i="31"/>
  <c r="AZ24" i="31"/>
  <c r="AZ25" i="31"/>
  <c r="AZ26" i="31"/>
  <c r="AZ27" i="31"/>
  <c r="AZ28" i="31"/>
  <c r="AZ29" i="31"/>
  <c r="AZ30" i="31"/>
  <c r="AZ31" i="31"/>
  <c r="AZ32" i="31"/>
  <c r="AZ33" i="31"/>
  <c r="AZ34" i="31"/>
  <c r="AZ35" i="31"/>
  <c r="AZ168" i="31"/>
  <c r="AZ169" i="31"/>
  <c r="AZ170" i="31"/>
  <c r="AZ171" i="31"/>
  <c r="AZ172" i="31"/>
  <c r="AZ173" i="31"/>
  <c r="AZ174" i="31"/>
  <c r="AZ175" i="31"/>
  <c r="AZ176" i="31"/>
  <c r="AZ177" i="31"/>
  <c r="AZ178" i="31"/>
  <c r="AZ179" i="31"/>
  <c r="AZ180" i="31"/>
  <c r="AZ181" i="31"/>
  <c r="AZ182" i="31"/>
  <c r="AZ183" i="31"/>
  <c r="AZ184" i="31"/>
  <c r="AZ185" i="31"/>
  <c r="AZ186" i="31"/>
  <c r="AZ187" i="31"/>
  <c r="AZ188" i="31"/>
  <c r="AZ189" i="31"/>
  <c r="AZ190" i="31"/>
  <c r="AZ191" i="31"/>
  <c r="AZ192" i="31"/>
  <c r="AZ193" i="31"/>
  <c r="AZ194" i="31"/>
  <c r="AZ195" i="31"/>
  <c r="AZ196" i="31"/>
  <c r="AZ197" i="31"/>
  <c r="AZ198" i="31"/>
  <c r="AZ199" i="31"/>
  <c r="AZ200" i="31"/>
  <c r="AZ201" i="31"/>
  <c r="AZ202" i="31"/>
  <c r="AZ203" i="31"/>
  <c r="AZ204" i="31"/>
  <c r="AZ205" i="31"/>
  <c r="AZ206" i="31"/>
  <c r="AZ207" i="31"/>
  <c r="AZ208" i="31"/>
  <c r="AZ209" i="31"/>
  <c r="AZ210" i="31"/>
  <c r="AZ211" i="31"/>
  <c r="AZ212" i="31"/>
  <c r="AZ213" i="31"/>
  <c r="AZ214" i="31"/>
  <c r="AZ215" i="31"/>
  <c r="AZ216" i="31"/>
  <c r="AZ217" i="31"/>
  <c r="AZ218" i="31"/>
  <c r="AZ219" i="31"/>
  <c r="AZ220" i="31"/>
  <c r="AZ221" i="31"/>
  <c r="AZ222" i="31"/>
  <c r="AZ223" i="31"/>
  <c r="AZ224" i="31"/>
  <c r="AZ225" i="31"/>
  <c r="AZ226" i="31"/>
  <c r="AZ227" i="31"/>
  <c r="AZ228" i="31"/>
  <c r="AZ229" i="31"/>
  <c r="AZ230" i="31"/>
  <c r="AZ231" i="31"/>
  <c r="AZ232" i="31"/>
  <c r="AZ233" i="31"/>
  <c r="AZ234" i="31"/>
  <c r="AZ235" i="31"/>
  <c r="AZ236" i="31"/>
  <c r="AZ237" i="31"/>
  <c r="AZ238" i="31"/>
  <c r="AZ239" i="31"/>
  <c r="AZ240" i="31"/>
  <c r="AZ241" i="31"/>
  <c r="AZ242" i="31"/>
  <c r="AZ243" i="31"/>
  <c r="AZ244" i="31"/>
  <c r="AZ245" i="31"/>
  <c r="AZ246" i="31"/>
  <c r="AZ247" i="31"/>
  <c r="AZ248" i="31"/>
  <c r="AZ249" i="31"/>
  <c r="AZ250" i="31"/>
  <c r="AZ251" i="31"/>
  <c r="AZ252" i="31"/>
  <c r="AZ253" i="31"/>
  <c r="AZ254" i="31"/>
  <c r="AZ255" i="31"/>
  <c r="AZ256" i="31"/>
  <c r="AZ257" i="31"/>
  <c r="AZ258" i="31"/>
  <c r="AZ259" i="31"/>
  <c r="AZ260" i="31"/>
  <c r="AZ261" i="31"/>
  <c r="AZ262" i="31"/>
  <c r="AZ263" i="31"/>
  <c r="AZ264" i="31"/>
  <c r="AZ265" i="31"/>
  <c r="AZ266" i="31"/>
  <c r="AZ267" i="31"/>
  <c r="AZ268" i="31"/>
  <c r="AZ269" i="31"/>
  <c r="AZ270" i="31"/>
  <c r="AZ271" i="31"/>
  <c r="AZ272" i="31"/>
  <c r="AZ273" i="31"/>
  <c r="AZ274" i="31"/>
  <c r="AZ275" i="31"/>
  <c r="AZ276" i="31"/>
  <c r="AZ277" i="31"/>
  <c r="AZ278" i="31"/>
  <c r="AZ279" i="31"/>
  <c r="AZ280" i="31"/>
  <c r="AZ281" i="31"/>
  <c r="AZ282" i="31"/>
  <c r="AZ283" i="31"/>
  <c r="AZ284" i="31"/>
  <c r="AZ285" i="31"/>
  <c r="AZ286" i="31"/>
  <c r="AZ287" i="31"/>
  <c r="AZ288" i="31"/>
  <c r="AZ289" i="31"/>
  <c r="AZ290" i="31"/>
  <c r="AZ291" i="31"/>
  <c r="AZ292" i="31"/>
  <c r="AZ293" i="31"/>
  <c r="AZ294" i="31"/>
  <c r="AZ295" i="31"/>
  <c r="AZ296" i="31"/>
  <c r="AZ297" i="31"/>
  <c r="AZ298" i="31"/>
  <c r="AZ299" i="31"/>
  <c r="AZ300" i="31"/>
  <c r="AZ301" i="31"/>
  <c r="AZ302" i="31"/>
  <c r="AZ303" i="31"/>
  <c r="AZ304" i="31"/>
  <c r="AZ305" i="31"/>
  <c r="AZ306" i="31"/>
  <c r="AZ307" i="31"/>
  <c r="AZ308" i="31"/>
  <c r="AZ309" i="31"/>
  <c r="AZ310" i="31"/>
  <c r="AZ311" i="31"/>
  <c r="AZ312" i="31"/>
  <c r="AZ313" i="31"/>
  <c r="AZ314" i="31"/>
  <c r="AZ315" i="31"/>
  <c r="AZ316" i="31"/>
  <c r="AZ317" i="31"/>
  <c r="AZ318" i="31"/>
  <c r="AZ319" i="31"/>
  <c r="AZ320" i="31"/>
  <c r="AZ321" i="31"/>
  <c r="AZ322" i="31"/>
  <c r="AZ323" i="31"/>
  <c r="AZ324" i="31"/>
  <c r="AZ325" i="31"/>
  <c r="AZ326" i="31"/>
  <c r="AZ327" i="31"/>
  <c r="AZ328" i="31"/>
  <c r="AZ329" i="31"/>
  <c r="AZ330" i="31"/>
  <c r="AZ331" i="31"/>
  <c r="AZ332" i="31"/>
  <c r="AZ333" i="31"/>
  <c r="AZ334" i="31"/>
  <c r="AZ335" i="31"/>
  <c r="AZ336" i="31"/>
  <c r="AZ337" i="31"/>
  <c r="AZ338" i="31"/>
  <c r="AZ339" i="31"/>
  <c r="AZ340" i="31"/>
  <c r="AZ341" i="31"/>
  <c r="AZ342" i="31"/>
  <c r="AZ343" i="31"/>
  <c r="AZ344" i="31"/>
  <c r="AZ345" i="31"/>
  <c r="AZ346" i="31"/>
  <c r="AZ347" i="31"/>
  <c r="AZ348" i="31"/>
  <c r="AZ349" i="31"/>
  <c r="AZ350" i="31"/>
  <c r="AZ351" i="31"/>
  <c r="AZ352" i="31"/>
  <c r="AZ353" i="31"/>
  <c r="AZ354" i="31"/>
  <c r="AZ355" i="31"/>
  <c r="AZ356" i="31"/>
  <c r="AZ357" i="31"/>
  <c r="AZ358" i="31"/>
  <c r="AZ359" i="31"/>
  <c r="AZ360" i="31"/>
  <c r="AZ361" i="31"/>
  <c r="AZ362" i="31"/>
  <c r="AZ363" i="31"/>
  <c r="AZ364" i="31"/>
  <c r="AZ365" i="31"/>
  <c r="AZ366" i="31"/>
  <c r="AZ367" i="31"/>
  <c r="AZ368" i="31"/>
  <c r="AZ369" i="31"/>
  <c r="AZ370" i="31"/>
  <c r="AZ371" i="31"/>
  <c r="AZ372" i="31"/>
  <c r="AZ373" i="31"/>
  <c r="AZ374" i="31"/>
  <c r="AZ375" i="31"/>
  <c r="AZ376" i="31"/>
  <c r="AZ377" i="31"/>
  <c r="AZ378" i="31"/>
  <c r="AZ379" i="31"/>
  <c r="AZ380" i="31"/>
  <c r="AZ381" i="31"/>
  <c r="AZ382" i="31"/>
  <c r="AZ383" i="31"/>
  <c r="AZ384" i="31"/>
  <c r="AZ385" i="31"/>
  <c r="AZ386" i="31"/>
  <c r="AZ387" i="31"/>
  <c r="AZ388" i="31"/>
  <c r="AZ389" i="31"/>
  <c r="AZ390" i="31"/>
  <c r="AZ391" i="31"/>
  <c r="AZ392" i="31"/>
  <c r="AZ393" i="31"/>
  <c r="AZ394" i="31"/>
  <c r="AZ395" i="31"/>
  <c r="AZ396" i="31"/>
  <c r="AZ397" i="31"/>
  <c r="AZ398" i="31"/>
  <c r="AZ399" i="31"/>
  <c r="AZ400" i="31"/>
  <c r="AZ401" i="31"/>
  <c r="AZ402" i="31"/>
  <c r="AZ403" i="31"/>
  <c r="AZ404" i="31"/>
  <c r="AZ405" i="31"/>
  <c r="AZ406" i="31"/>
  <c r="AZ407" i="31"/>
  <c r="AZ408" i="31"/>
  <c r="AZ409" i="31"/>
  <c r="AZ410" i="31"/>
  <c r="AZ411" i="31"/>
  <c r="AZ412" i="31"/>
  <c r="AZ413" i="31"/>
  <c r="AZ414" i="31"/>
  <c r="AZ415" i="31"/>
  <c r="AZ416" i="31"/>
  <c r="AZ417" i="31"/>
  <c r="AZ418" i="31"/>
  <c r="AZ419" i="31"/>
  <c r="AZ420" i="31"/>
  <c r="AZ421" i="31"/>
  <c r="AZ422" i="31"/>
  <c r="AZ423" i="31"/>
  <c r="AZ424" i="31"/>
  <c r="AZ425" i="31"/>
  <c r="AZ426" i="31"/>
  <c r="AZ427" i="31"/>
  <c r="AZ428" i="31"/>
  <c r="AZ429" i="31"/>
  <c r="AZ430" i="31"/>
  <c r="AZ431" i="31"/>
  <c r="AZ432" i="31"/>
  <c r="AZ433" i="31"/>
  <c r="AZ434" i="31"/>
  <c r="AZ435" i="31"/>
  <c r="AZ436" i="31"/>
  <c r="AZ437" i="31"/>
  <c r="AZ438" i="31"/>
  <c r="AZ439" i="31"/>
  <c r="AZ440" i="31"/>
  <c r="AZ441" i="31"/>
  <c r="AZ442" i="31"/>
  <c r="AZ443" i="31"/>
  <c r="AZ444" i="31"/>
  <c r="AZ445" i="31"/>
  <c r="AZ446" i="31"/>
  <c r="AZ447" i="31"/>
  <c r="AZ448" i="31"/>
  <c r="AZ449" i="31"/>
  <c r="AZ450" i="31"/>
  <c r="AZ451" i="31"/>
  <c r="AZ452" i="31"/>
  <c r="AZ453" i="31"/>
  <c r="AZ454" i="31"/>
  <c r="AZ455" i="31"/>
  <c r="AZ456" i="31"/>
  <c r="AZ457" i="31"/>
  <c r="AZ458" i="31"/>
  <c r="AZ459" i="31"/>
  <c r="AZ460" i="31"/>
  <c r="AZ461" i="31"/>
  <c r="AZ462" i="31"/>
  <c r="AZ463" i="31"/>
  <c r="AZ464" i="31"/>
  <c r="AZ465" i="31"/>
  <c r="AZ466" i="31"/>
  <c r="AZ467" i="31"/>
  <c r="AZ468" i="31"/>
  <c r="AZ469" i="31"/>
  <c r="AZ470" i="31"/>
  <c r="AZ471" i="31"/>
  <c r="AZ472" i="31"/>
  <c r="AZ473" i="31"/>
  <c r="AZ474" i="31"/>
  <c r="AZ475" i="31"/>
  <c r="AZ476" i="31"/>
  <c r="AZ477" i="31"/>
  <c r="AZ478" i="31"/>
  <c r="AZ479" i="31"/>
  <c r="AZ480" i="31"/>
  <c r="AZ481" i="31"/>
  <c r="AZ482" i="31"/>
  <c r="AZ483" i="31"/>
  <c r="AZ484" i="31"/>
  <c r="AZ485" i="31"/>
  <c r="AZ486" i="31"/>
  <c r="AZ487" i="31"/>
  <c r="AZ488" i="31"/>
  <c r="AZ489" i="31"/>
  <c r="AZ490" i="31"/>
  <c r="AZ491" i="31"/>
  <c r="AZ492" i="31"/>
  <c r="AZ493" i="31"/>
  <c r="AZ494" i="31"/>
  <c r="AZ495" i="31"/>
  <c r="AZ496" i="31"/>
  <c r="AZ497" i="31"/>
  <c r="AZ498" i="31"/>
  <c r="AZ499" i="31"/>
  <c r="AZ500" i="31"/>
  <c r="AZ501" i="31"/>
  <c r="AZ502" i="31"/>
  <c r="AZ503" i="31"/>
  <c r="AZ504" i="31"/>
  <c r="AZ505" i="31"/>
  <c r="AZ506" i="31"/>
  <c r="AZ507" i="31"/>
  <c r="AZ508" i="31"/>
  <c r="AZ509" i="31"/>
  <c r="AZ510" i="31"/>
  <c r="AZ511" i="31"/>
  <c r="AZ512" i="31"/>
  <c r="AZ513" i="31"/>
  <c r="AZ514" i="31"/>
  <c r="AZ515" i="31"/>
  <c r="AZ516" i="31"/>
  <c r="AZ517" i="31"/>
  <c r="AZ518" i="31"/>
  <c r="AZ519" i="31"/>
  <c r="AZ520" i="31"/>
  <c r="AZ521" i="31"/>
  <c r="AZ522" i="31"/>
  <c r="AZ523" i="31"/>
  <c r="AZ524" i="31"/>
  <c r="AZ525" i="31"/>
  <c r="AZ526" i="31"/>
  <c r="AZ527" i="31"/>
  <c r="AZ528" i="31"/>
  <c r="AZ529" i="31"/>
  <c r="AZ530" i="31"/>
  <c r="AZ531" i="31"/>
  <c r="AZ532" i="31"/>
  <c r="AZ533" i="31"/>
  <c r="AZ534" i="31"/>
  <c r="AZ535" i="31"/>
  <c r="AZ536" i="31"/>
  <c r="AZ537" i="31"/>
  <c r="AZ538" i="31"/>
  <c r="AZ539" i="31"/>
  <c r="AZ540" i="31"/>
  <c r="AZ541" i="31"/>
  <c r="AZ542" i="31"/>
  <c r="AZ543" i="31"/>
  <c r="AZ544" i="31"/>
  <c r="AZ545" i="31"/>
  <c r="AZ546" i="31"/>
  <c r="AZ547" i="31"/>
  <c r="AZ548" i="31"/>
  <c r="AZ549" i="31"/>
  <c r="AZ550" i="31"/>
  <c r="AZ551" i="31"/>
  <c r="AZ552" i="31"/>
  <c r="AZ553" i="31"/>
  <c r="AZ554" i="31"/>
  <c r="AZ555" i="31"/>
  <c r="AZ556" i="31"/>
  <c r="AZ557" i="31"/>
  <c r="AZ558" i="31"/>
  <c r="AZ559" i="31"/>
  <c r="AZ560" i="31"/>
  <c r="AZ561" i="31"/>
  <c r="AZ562" i="31"/>
  <c r="AZ563" i="31"/>
  <c r="AZ564" i="31"/>
  <c r="AZ565" i="31"/>
  <c r="AZ566" i="31"/>
  <c r="AZ567" i="31"/>
  <c r="AZ568" i="31"/>
  <c r="AZ569" i="31"/>
  <c r="AZ570" i="31"/>
  <c r="AZ571" i="31"/>
  <c r="AZ572" i="31"/>
  <c r="AZ573" i="31"/>
  <c r="AZ574" i="31"/>
  <c r="AZ575" i="31"/>
  <c r="AZ576" i="31"/>
  <c r="AZ577" i="31"/>
  <c r="AZ578" i="31"/>
  <c r="AZ579" i="31"/>
  <c r="AZ580" i="31"/>
  <c r="AZ581" i="31"/>
  <c r="AZ582" i="31"/>
  <c r="AZ583" i="31"/>
  <c r="AZ584" i="31"/>
  <c r="AZ585" i="31"/>
  <c r="AZ586" i="31"/>
  <c r="AZ587" i="31"/>
  <c r="AZ588" i="31"/>
  <c r="AZ589" i="31"/>
  <c r="AZ590" i="31"/>
  <c r="AZ591" i="31"/>
  <c r="AZ592" i="31"/>
  <c r="AZ593" i="31"/>
  <c r="AZ594" i="31"/>
  <c r="AZ595" i="31"/>
  <c r="AZ596" i="31"/>
  <c r="AZ597" i="31"/>
  <c r="AZ598" i="31"/>
  <c r="AZ599" i="31"/>
  <c r="AZ600" i="31"/>
  <c r="AZ601" i="31"/>
  <c r="AZ602" i="31"/>
  <c r="AZ603" i="31"/>
  <c r="AZ604" i="31"/>
  <c r="AZ605" i="31"/>
  <c r="AZ606" i="31"/>
  <c r="AZ607" i="31"/>
  <c r="AZ608" i="31"/>
  <c r="AZ609" i="31"/>
  <c r="AZ610" i="31"/>
  <c r="AZ611" i="31"/>
  <c r="AZ612" i="31"/>
  <c r="AZ613" i="31"/>
  <c r="AZ614" i="31"/>
  <c r="AZ615" i="31"/>
  <c r="AZ616" i="31"/>
  <c r="AZ617" i="31"/>
  <c r="AZ618" i="31"/>
  <c r="AZ619" i="31"/>
  <c r="AZ620" i="31"/>
  <c r="AZ621" i="31"/>
  <c r="AZ622" i="31"/>
  <c r="AZ623" i="31"/>
  <c r="AZ624" i="31"/>
  <c r="AZ625" i="31"/>
  <c r="AZ626" i="31"/>
  <c r="AZ627" i="31"/>
  <c r="AZ628" i="31"/>
  <c r="AZ629" i="31"/>
  <c r="AZ630" i="31"/>
  <c r="AZ631" i="31"/>
  <c r="AZ632" i="31"/>
  <c r="AZ633" i="31"/>
  <c r="AZ634" i="31"/>
  <c r="AZ635" i="31"/>
  <c r="AZ636" i="31"/>
  <c r="AZ637" i="31"/>
  <c r="AZ638" i="31"/>
  <c r="AZ639" i="31"/>
  <c r="AZ640" i="31"/>
  <c r="AZ641" i="31"/>
  <c r="AZ642" i="31"/>
  <c r="AZ643" i="31"/>
  <c r="AZ644" i="31"/>
  <c r="AZ645" i="31"/>
  <c r="AZ646" i="31"/>
  <c r="AZ647" i="31"/>
  <c r="AZ648" i="31"/>
  <c r="AZ649" i="31"/>
  <c r="AZ650" i="31"/>
  <c r="AZ651" i="31"/>
  <c r="AZ652" i="31"/>
  <c r="AZ653" i="31"/>
  <c r="AZ654" i="31"/>
  <c r="AZ655" i="31"/>
  <c r="AZ656" i="31"/>
  <c r="AZ657" i="31"/>
  <c r="AZ658" i="31"/>
  <c r="AZ659" i="31"/>
  <c r="AZ660" i="31"/>
  <c r="AZ661" i="31"/>
  <c r="AZ662" i="31"/>
  <c r="AZ663" i="31"/>
  <c r="AZ664" i="31"/>
  <c r="AZ665" i="31"/>
  <c r="AZ666" i="31"/>
  <c r="AZ667" i="31"/>
  <c r="AZ668" i="31"/>
  <c r="AZ669" i="31"/>
  <c r="AZ670" i="31"/>
  <c r="AZ671" i="31"/>
  <c r="AZ672" i="31"/>
  <c r="AZ673" i="31"/>
  <c r="AZ674" i="31"/>
  <c r="AZ675" i="31"/>
  <c r="AZ676" i="31"/>
  <c r="AZ677" i="31"/>
  <c r="AZ678" i="31"/>
  <c r="AZ679" i="31"/>
  <c r="AZ680" i="31"/>
  <c r="AZ681" i="31"/>
  <c r="AZ682" i="31"/>
  <c r="AZ683" i="31"/>
  <c r="AZ684" i="31"/>
  <c r="AZ685" i="31"/>
  <c r="AZ686" i="31"/>
  <c r="AZ687" i="31"/>
  <c r="AZ688" i="31"/>
  <c r="AZ689" i="31"/>
  <c r="AZ690" i="31"/>
  <c r="AZ691" i="31"/>
  <c r="AZ692" i="31"/>
  <c r="AZ693" i="31"/>
  <c r="AZ694" i="31"/>
  <c r="AZ695" i="31"/>
  <c r="AZ696" i="31"/>
  <c r="AZ697" i="31"/>
  <c r="AZ698" i="31"/>
  <c r="AZ699" i="31"/>
  <c r="AZ700" i="31"/>
  <c r="AZ701" i="31"/>
  <c r="AZ702" i="31"/>
  <c r="AZ703" i="31"/>
  <c r="AZ704" i="31"/>
  <c r="AZ705" i="31"/>
  <c r="AZ706" i="31"/>
  <c r="AZ707" i="31"/>
  <c r="AZ708" i="31"/>
  <c r="AZ709" i="31"/>
  <c r="AZ710" i="31"/>
  <c r="AZ711" i="31"/>
  <c r="AZ712" i="31"/>
  <c r="AZ713" i="31"/>
  <c r="AZ714" i="31"/>
  <c r="AZ715" i="31"/>
  <c r="BA6" i="31"/>
  <c r="BA7" i="31"/>
  <c r="BA8" i="31"/>
  <c r="BA9" i="31"/>
  <c r="BA10" i="31"/>
  <c r="BA11" i="31"/>
  <c r="BA12" i="31"/>
  <c r="BA13" i="31"/>
  <c r="BA14" i="31"/>
  <c r="BA15" i="31"/>
  <c r="BA16" i="31"/>
  <c r="BA17" i="31"/>
  <c r="BA18" i="31"/>
  <c r="BA19" i="31"/>
  <c r="BA20" i="31"/>
  <c r="BA21" i="31"/>
  <c r="BA22" i="31"/>
  <c r="BA23" i="31"/>
  <c r="BA24" i="31"/>
  <c r="BA25" i="31"/>
  <c r="BA26" i="31"/>
  <c r="BA27" i="31"/>
  <c r="BA28" i="31"/>
  <c r="BA29" i="31"/>
  <c r="BA30" i="31"/>
  <c r="BA31" i="31"/>
  <c r="BA32" i="31"/>
  <c r="BA33" i="31"/>
  <c r="BA34" i="31"/>
  <c r="BA35" i="31"/>
  <c r="BA36" i="31"/>
  <c r="BA37" i="31"/>
  <c r="BA38" i="31"/>
  <c r="BA39" i="31"/>
  <c r="BA40" i="31"/>
  <c r="BA41" i="31"/>
  <c r="BA42" i="31"/>
  <c r="BA43" i="31"/>
  <c r="BA44" i="31"/>
  <c r="BA45" i="31"/>
  <c r="BA46" i="31"/>
  <c r="BA47" i="31"/>
  <c r="BA48" i="31"/>
  <c r="BA49" i="31"/>
  <c r="BA50" i="31"/>
  <c r="BA51" i="31"/>
  <c r="BA52" i="31"/>
  <c r="BA53" i="31"/>
  <c r="BA54" i="31"/>
  <c r="BA55" i="31"/>
  <c r="BA56" i="31"/>
  <c r="BA57" i="31"/>
  <c r="BA58" i="31"/>
  <c r="BA59" i="31"/>
  <c r="BA60" i="31"/>
  <c r="BA61" i="31"/>
  <c r="BA62" i="31"/>
  <c r="BA63" i="31"/>
  <c r="BA64" i="31"/>
  <c r="BA65" i="31"/>
  <c r="BA66" i="31"/>
  <c r="BA67" i="31"/>
  <c r="BA68" i="31"/>
  <c r="BA69" i="31"/>
  <c r="BA70" i="31"/>
  <c r="BA71" i="31"/>
  <c r="BA72" i="31"/>
  <c r="BA73" i="31"/>
  <c r="BA74" i="31"/>
  <c r="BA75" i="31"/>
  <c r="BA76" i="31"/>
  <c r="BA77" i="31"/>
  <c r="BA78" i="31"/>
  <c r="BA79" i="31"/>
  <c r="BA80" i="31"/>
  <c r="BA81" i="31"/>
  <c r="BA82" i="31"/>
  <c r="BA83" i="31"/>
  <c r="BA84" i="31"/>
  <c r="BA85" i="31"/>
  <c r="BA86" i="31"/>
  <c r="BA87" i="31"/>
  <c r="BA88" i="31"/>
  <c r="BA89" i="31"/>
  <c r="BA90" i="31"/>
  <c r="BA91" i="31"/>
  <c r="BA92" i="31"/>
  <c r="BA93" i="31"/>
  <c r="BA94" i="31"/>
  <c r="BA95" i="31"/>
  <c r="BA96" i="31"/>
  <c r="BA97" i="31"/>
  <c r="BA98" i="31"/>
  <c r="BA99" i="31"/>
  <c r="BA100" i="31"/>
  <c r="BA101" i="31"/>
  <c r="BA102" i="31"/>
  <c r="BA103" i="31"/>
  <c r="BA104" i="31"/>
  <c r="BA105" i="31"/>
  <c r="BA106" i="31"/>
  <c r="BA107" i="31"/>
  <c r="BA108" i="31"/>
  <c r="BA109" i="31"/>
  <c r="BA110" i="31"/>
  <c r="BA111" i="31"/>
  <c r="BA112" i="31"/>
  <c r="BA113" i="31"/>
  <c r="BA114" i="31"/>
  <c r="BA115" i="31"/>
  <c r="BA116" i="31"/>
  <c r="BA117" i="31"/>
  <c r="BA118" i="31"/>
  <c r="BA119" i="31"/>
  <c r="BA120" i="31"/>
  <c r="BA121" i="31"/>
  <c r="BA122" i="31"/>
  <c r="BA123" i="31"/>
  <c r="BA124" i="31"/>
  <c r="BA125" i="31"/>
  <c r="BA126" i="31"/>
  <c r="BA127" i="31"/>
  <c r="BA128" i="31"/>
  <c r="BA129" i="31"/>
  <c r="BA130" i="31"/>
  <c r="BA131" i="31"/>
  <c r="BA132" i="31"/>
  <c r="BA133" i="31"/>
  <c r="BA134" i="31"/>
  <c r="BA135" i="31"/>
  <c r="BA136" i="31"/>
  <c r="BA137" i="31"/>
  <c r="BA138" i="31"/>
  <c r="BA139" i="31"/>
  <c r="BA140" i="31"/>
  <c r="BA141" i="31"/>
  <c r="BA142" i="31"/>
  <c r="BA143" i="31"/>
  <c r="BA144" i="31"/>
  <c r="BA145" i="31"/>
  <c r="BA146" i="31"/>
  <c r="BA147" i="31"/>
  <c r="BA148" i="31"/>
  <c r="BA149" i="31"/>
  <c r="BA150" i="31"/>
  <c r="BA151" i="31"/>
  <c r="BA152" i="31"/>
  <c r="BA153" i="31"/>
  <c r="BA154" i="31"/>
  <c r="BA155" i="31"/>
  <c r="BA156" i="31"/>
  <c r="BA157" i="31"/>
  <c r="BA158" i="31"/>
  <c r="BA159" i="31"/>
  <c r="BA160" i="31"/>
  <c r="BA161" i="31"/>
  <c r="BA162" i="31"/>
  <c r="BA163" i="31"/>
  <c r="BA164" i="31"/>
  <c r="BA165" i="31"/>
  <c r="BA166" i="31"/>
  <c r="BA167" i="31"/>
  <c r="BA168" i="31"/>
  <c r="BA169" i="31"/>
  <c r="BA170" i="31"/>
  <c r="BA171" i="31"/>
  <c r="BA172" i="31"/>
  <c r="BA173" i="31"/>
  <c r="BA174" i="31"/>
  <c r="BA175" i="31"/>
  <c r="BA176" i="31"/>
  <c r="BA177" i="31"/>
  <c r="BA178" i="31"/>
  <c r="BA179" i="31"/>
  <c r="BA180" i="31"/>
  <c r="BA181" i="31"/>
  <c r="BA182" i="31"/>
  <c r="BA183" i="31"/>
  <c r="BA184" i="31"/>
  <c r="BA185" i="31"/>
  <c r="BA186" i="31"/>
  <c r="BA187" i="31"/>
  <c r="BA188" i="31"/>
  <c r="BA189" i="31"/>
  <c r="BA190" i="31"/>
  <c r="BA191" i="31"/>
  <c r="BA192" i="31"/>
  <c r="BA193" i="31"/>
  <c r="BA194" i="31"/>
  <c r="BA195" i="31"/>
  <c r="BA196" i="31"/>
  <c r="BA197" i="31"/>
  <c r="BA198" i="31"/>
  <c r="BA199" i="31"/>
  <c r="BA200" i="31"/>
  <c r="BA201" i="31"/>
  <c r="BA202" i="31"/>
  <c r="BA203" i="31"/>
  <c r="BA204" i="31"/>
  <c r="BA205" i="31"/>
  <c r="BA206" i="31"/>
  <c r="BA207" i="31"/>
  <c r="BA208" i="31"/>
  <c r="BA209" i="31"/>
  <c r="BA210" i="31"/>
  <c r="BA211" i="31"/>
  <c r="BA212" i="31"/>
  <c r="BA213" i="31"/>
  <c r="BA214" i="31"/>
  <c r="BA215" i="31"/>
  <c r="BA216" i="31"/>
  <c r="BA217" i="31"/>
  <c r="BA218" i="31"/>
  <c r="BA219" i="31"/>
  <c r="BA220" i="31"/>
  <c r="BA221" i="31"/>
  <c r="BA222" i="31"/>
  <c r="BA223" i="31"/>
  <c r="BA224" i="31"/>
  <c r="BA225" i="31"/>
  <c r="BA226" i="31"/>
  <c r="BA227" i="31"/>
  <c r="BA228" i="31"/>
  <c r="BA229" i="31"/>
  <c r="BA230" i="31"/>
  <c r="BA231" i="31"/>
  <c r="BA232" i="31"/>
  <c r="BA233" i="31"/>
  <c r="BA234" i="31"/>
  <c r="BA235" i="31"/>
  <c r="BA236" i="31"/>
  <c r="BA237" i="31"/>
  <c r="BA238" i="31"/>
  <c r="BA239" i="31"/>
  <c r="BA240" i="31"/>
  <c r="BA241" i="31"/>
  <c r="BA242" i="31"/>
  <c r="BA243" i="31"/>
  <c r="BA244" i="31"/>
  <c r="BA245" i="31"/>
  <c r="BA246" i="31"/>
  <c r="BA247" i="31"/>
  <c r="BA248" i="31"/>
  <c r="BA249" i="31"/>
  <c r="BA250" i="31"/>
  <c r="BA251" i="31"/>
  <c r="BA252" i="31"/>
  <c r="BA253" i="31"/>
  <c r="BA254" i="31"/>
  <c r="BA255" i="31"/>
  <c r="BA256" i="31"/>
  <c r="BA257" i="31"/>
  <c r="BA258" i="31"/>
  <c r="BA259" i="31"/>
  <c r="BA260" i="31"/>
  <c r="BA261" i="31"/>
  <c r="BA262" i="31"/>
  <c r="BA263" i="31"/>
  <c r="BA264" i="31"/>
  <c r="BA265" i="31"/>
  <c r="BA266" i="31"/>
  <c r="BA267" i="31"/>
  <c r="BA268" i="31"/>
  <c r="BA269" i="31"/>
  <c r="BA270" i="31"/>
  <c r="BA271" i="31"/>
  <c r="BA272" i="31"/>
  <c r="BA273" i="31"/>
  <c r="BA274" i="31"/>
  <c r="BA275" i="31"/>
  <c r="BA276" i="31"/>
  <c r="BA277" i="31"/>
  <c r="BA278" i="31"/>
  <c r="BA279" i="31"/>
  <c r="BA280" i="31"/>
  <c r="BA281" i="31"/>
  <c r="BA282" i="31"/>
  <c r="BA283" i="31"/>
  <c r="BA284" i="31"/>
  <c r="BA285" i="31"/>
  <c r="BA286" i="31"/>
  <c r="BA287" i="31"/>
  <c r="BA288" i="31"/>
  <c r="BA289" i="31"/>
  <c r="BA290" i="31"/>
  <c r="BA291" i="31"/>
  <c r="BA292" i="31"/>
  <c r="BA293" i="31"/>
  <c r="BA294" i="31"/>
  <c r="BA295" i="31"/>
  <c r="BA296" i="31"/>
  <c r="BA297" i="31"/>
  <c r="BA298" i="31"/>
  <c r="BA299" i="31"/>
  <c r="BA300" i="31"/>
  <c r="BA301" i="31"/>
  <c r="BA302" i="31"/>
  <c r="BA303" i="31"/>
  <c r="BA304" i="31"/>
  <c r="BA305" i="31"/>
  <c r="BA306" i="31"/>
  <c r="BA307" i="31"/>
  <c r="BA308" i="31"/>
  <c r="BA309" i="31"/>
  <c r="BA310" i="31"/>
  <c r="BA311" i="31"/>
  <c r="BA312" i="31"/>
  <c r="BA313" i="31"/>
  <c r="BA314" i="31"/>
  <c r="BA315" i="31"/>
  <c r="BA316" i="31"/>
  <c r="BA317" i="31"/>
  <c r="BA318" i="31"/>
  <c r="BA319" i="31"/>
  <c r="BA320" i="31"/>
  <c r="BA321" i="31"/>
  <c r="BA322" i="31"/>
  <c r="BA323" i="31"/>
  <c r="BA324" i="31"/>
  <c r="BA325" i="31"/>
  <c r="BA326" i="31"/>
  <c r="BA327" i="31"/>
  <c r="BA328" i="31"/>
  <c r="BA329" i="31"/>
  <c r="BA330" i="31"/>
  <c r="BA331" i="31"/>
  <c r="BA332" i="31"/>
  <c r="BA333" i="31"/>
  <c r="BA334" i="31"/>
  <c r="BA335" i="31"/>
  <c r="BA336" i="31"/>
  <c r="BA337" i="31"/>
  <c r="BA338" i="31"/>
  <c r="BA339" i="31"/>
  <c r="BA340" i="31"/>
  <c r="BA341" i="31"/>
  <c r="BA342" i="31"/>
  <c r="BA343" i="31"/>
  <c r="BA344" i="31"/>
  <c r="BA345" i="31"/>
  <c r="BA346" i="31"/>
  <c r="BA347" i="31"/>
  <c r="BA348" i="31"/>
  <c r="BA349" i="31"/>
  <c r="BA350" i="31"/>
  <c r="BA351" i="31"/>
  <c r="BA352" i="31"/>
  <c r="BA353" i="31"/>
  <c r="BA354" i="31"/>
  <c r="BA355" i="31"/>
  <c r="BA356" i="31"/>
  <c r="BA357" i="31"/>
  <c r="BA358" i="31"/>
  <c r="BA359" i="31"/>
  <c r="BA360" i="31"/>
  <c r="BA361" i="31"/>
  <c r="BA362" i="31"/>
  <c r="BA363" i="31"/>
  <c r="BA364" i="31"/>
  <c r="BA365" i="31"/>
  <c r="BA366" i="31"/>
  <c r="BA367" i="31"/>
  <c r="BA368" i="31"/>
  <c r="BA369" i="31"/>
  <c r="BA370" i="31"/>
  <c r="BA371" i="31"/>
  <c r="BA372" i="31"/>
  <c r="BA373" i="31"/>
  <c r="BA374" i="31"/>
  <c r="BA375" i="31"/>
  <c r="BA376" i="31"/>
  <c r="BA377" i="31"/>
  <c r="BA378" i="31"/>
  <c r="BA379" i="31"/>
  <c r="BA380" i="31"/>
  <c r="BA381" i="31"/>
  <c r="BA382" i="31"/>
  <c r="BA383" i="31"/>
  <c r="BA384" i="31"/>
  <c r="BA385" i="31"/>
  <c r="BA386" i="31"/>
  <c r="BA387" i="31"/>
  <c r="BA388" i="31"/>
  <c r="BA389" i="31"/>
  <c r="BA390" i="31"/>
  <c r="BA391" i="31"/>
  <c r="BA392" i="31"/>
  <c r="BA393" i="31"/>
  <c r="BA394" i="31"/>
  <c r="BA395" i="31"/>
  <c r="BA396" i="31"/>
  <c r="BA397" i="31"/>
  <c r="BA398" i="31"/>
  <c r="BA399" i="31"/>
  <c r="BA400" i="31"/>
  <c r="BA401" i="31"/>
  <c r="BA402" i="31"/>
  <c r="BA403" i="31"/>
  <c r="BA404" i="31"/>
  <c r="BA405" i="31"/>
  <c r="BA406" i="31"/>
  <c r="BA407" i="31"/>
  <c r="BA408" i="31"/>
  <c r="BA409" i="31"/>
  <c r="BA410" i="31"/>
  <c r="BA411" i="31"/>
  <c r="BA412" i="31"/>
  <c r="BA413" i="31"/>
  <c r="BA414" i="31"/>
  <c r="BA415" i="31"/>
  <c r="BA416" i="31"/>
  <c r="BA417" i="31"/>
  <c r="BA418" i="31"/>
  <c r="BA419" i="31"/>
  <c r="BA420" i="31"/>
  <c r="BA421" i="31"/>
  <c r="BA422" i="31"/>
  <c r="BA423" i="31"/>
  <c r="BA424" i="31"/>
  <c r="BA425" i="31"/>
  <c r="BA426" i="31"/>
  <c r="BA427" i="31"/>
  <c r="BA428" i="31"/>
  <c r="BA429" i="31"/>
  <c r="BA430" i="31"/>
  <c r="BA431" i="31"/>
  <c r="BA432" i="31"/>
  <c r="BA433" i="31"/>
  <c r="BA434" i="31"/>
  <c r="BA435" i="31"/>
  <c r="BA436" i="31"/>
  <c r="BA437" i="31"/>
  <c r="BA438" i="31"/>
  <c r="BA439" i="31"/>
  <c r="BA440" i="31"/>
  <c r="BA441" i="31"/>
  <c r="BA442" i="31"/>
  <c r="BA443" i="31"/>
  <c r="BA444" i="31"/>
  <c r="BA445" i="31"/>
  <c r="BA446" i="31"/>
  <c r="BA447" i="31"/>
  <c r="BA448" i="31"/>
  <c r="BA449" i="31"/>
  <c r="BA450" i="31"/>
  <c r="BA451" i="31"/>
  <c r="BA452" i="31"/>
  <c r="BA453" i="31"/>
  <c r="BA454" i="31"/>
  <c r="BA455" i="31"/>
  <c r="BA456" i="31"/>
  <c r="BA457" i="31"/>
  <c r="BA458" i="31"/>
  <c r="BA459" i="31"/>
  <c r="BA460" i="31"/>
  <c r="BA461" i="31"/>
  <c r="BA462" i="31"/>
  <c r="BA463" i="31"/>
  <c r="BA464" i="31"/>
  <c r="BA465" i="31"/>
  <c r="BA466" i="31"/>
  <c r="BA467" i="31"/>
  <c r="BA468" i="31"/>
  <c r="BA469" i="31"/>
  <c r="BA470" i="31"/>
  <c r="BA471" i="31"/>
  <c r="BA472" i="31"/>
  <c r="BA473" i="31"/>
  <c r="BA474" i="31"/>
  <c r="BA475" i="31"/>
  <c r="BA476" i="31"/>
  <c r="BA477" i="31"/>
  <c r="BA478" i="31"/>
  <c r="BA479" i="31"/>
  <c r="BA480" i="31"/>
  <c r="BA481" i="31"/>
  <c r="BA482" i="31"/>
  <c r="BA483" i="31"/>
  <c r="BA484" i="31"/>
  <c r="BA485" i="31"/>
  <c r="BA486" i="31"/>
  <c r="BA487" i="31"/>
  <c r="BA488" i="31"/>
  <c r="BA489" i="31"/>
  <c r="BA490" i="31"/>
  <c r="BA491" i="31"/>
  <c r="BA492" i="31"/>
  <c r="BA493" i="31"/>
  <c r="BA494" i="31"/>
  <c r="BA495" i="31"/>
  <c r="BA496" i="31"/>
  <c r="BA497" i="31"/>
  <c r="BA498" i="31"/>
  <c r="BA499" i="31"/>
  <c r="BA500" i="31"/>
  <c r="BA501" i="31"/>
  <c r="BA502" i="31"/>
  <c r="BA503" i="31"/>
  <c r="BA504" i="31"/>
  <c r="BA505" i="31"/>
  <c r="BA506" i="31"/>
  <c r="BA507" i="31"/>
  <c r="BA508" i="31"/>
  <c r="BA509" i="31"/>
  <c r="BA510" i="31"/>
  <c r="BA511" i="31"/>
  <c r="BA512" i="31"/>
  <c r="BA513" i="31"/>
  <c r="BA514" i="31"/>
  <c r="BA515" i="31"/>
  <c r="BA516" i="31"/>
  <c r="BA517" i="31"/>
  <c r="BA518" i="31"/>
  <c r="BA519" i="31"/>
  <c r="BA520" i="31"/>
  <c r="BA521" i="31"/>
  <c r="BA522" i="31"/>
  <c r="BA523" i="31"/>
  <c r="BA524" i="31"/>
  <c r="BA525" i="31"/>
  <c r="BA526" i="31"/>
  <c r="BA527" i="31"/>
  <c r="BA528" i="31"/>
  <c r="BA529" i="31"/>
  <c r="BA530" i="31"/>
  <c r="BA531" i="31"/>
  <c r="BA532" i="31"/>
  <c r="BA533" i="31"/>
  <c r="BA534" i="31"/>
  <c r="BA535" i="31"/>
  <c r="BA536" i="31"/>
  <c r="BA537" i="31"/>
  <c r="BA538" i="31"/>
  <c r="BA539" i="31"/>
  <c r="BA540" i="31"/>
  <c r="BA541" i="31"/>
  <c r="BA542" i="31"/>
  <c r="BA543" i="31"/>
  <c r="BA544" i="31"/>
  <c r="BA545" i="31"/>
  <c r="BA546" i="31"/>
  <c r="BA547" i="31"/>
  <c r="BA548" i="31"/>
  <c r="BA549" i="31"/>
  <c r="BA550" i="31"/>
  <c r="BA551" i="31"/>
  <c r="BA552" i="31"/>
  <c r="BA553" i="31"/>
  <c r="BA554" i="31"/>
  <c r="BA555" i="31"/>
  <c r="BA556" i="31"/>
  <c r="BA557" i="31"/>
  <c r="BA558" i="31"/>
  <c r="BA559" i="31"/>
  <c r="BA560" i="31"/>
  <c r="BA561" i="31"/>
  <c r="BA562" i="31"/>
  <c r="BA563" i="31"/>
  <c r="BA564" i="31"/>
  <c r="BA565" i="31"/>
  <c r="BA566" i="31"/>
  <c r="BA567" i="31"/>
  <c r="BA568" i="31"/>
  <c r="BA569" i="31"/>
  <c r="BA570" i="31"/>
  <c r="BA571" i="31"/>
  <c r="BA572" i="31"/>
  <c r="BA573" i="31"/>
  <c r="BA574" i="31"/>
  <c r="BA575" i="31"/>
  <c r="BA576" i="31"/>
  <c r="BA577" i="31"/>
  <c r="BA578" i="31"/>
  <c r="BA579" i="31"/>
  <c r="BA580" i="31"/>
  <c r="BA581" i="31"/>
  <c r="BA582" i="31"/>
  <c r="BA583" i="31"/>
  <c r="BA584" i="31"/>
  <c r="BA585" i="31"/>
  <c r="BA586" i="31"/>
  <c r="BA587" i="31"/>
  <c r="BA588" i="31"/>
  <c r="BA589" i="31"/>
  <c r="BA590" i="31"/>
  <c r="BA591" i="31"/>
  <c r="BA592" i="31"/>
  <c r="BA593" i="31"/>
  <c r="BA594" i="31"/>
  <c r="BA595" i="31"/>
  <c r="BA596" i="31"/>
  <c r="BA597" i="31"/>
  <c r="BA598" i="31"/>
  <c r="BA599" i="31"/>
  <c r="BA600" i="31"/>
  <c r="BA601" i="31"/>
  <c r="BA602" i="31"/>
  <c r="BA603" i="31"/>
  <c r="BA604" i="31"/>
  <c r="BA605" i="31"/>
  <c r="BA606" i="31"/>
  <c r="BA607" i="31"/>
  <c r="BA608" i="31"/>
  <c r="BA609" i="31"/>
  <c r="BA610" i="31"/>
  <c r="BA611" i="31"/>
  <c r="BA612" i="31"/>
  <c r="BA613" i="31"/>
  <c r="BA614" i="31"/>
  <c r="BA615" i="31"/>
  <c r="BA616" i="31"/>
  <c r="BA617" i="31"/>
  <c r="BA618" i="31"/>
  <c r="BA619" i="31"/>
  <c r="BA620" i="31"/>
  <c r="BA621" i="31"/>
  <c r="BA622" i="31"/>
  <c r="BA623" i="31"/>
  <c r="BA624" i="31"/>
  <c r="BA625" i="31"/>
  <c r="BA626" i="31"/>
  <c r="BA627" i="31"/>
  <c r="BA628" i="31"/>
  <c r="BA629" i="31"/>
  <c r="BA630" i="31"/>
  <c r="BA631" i="31"/>
  <c r="BA632" i="31"/>
  <c r="BA633" i="31"/>
  <c r="BA634" i="31"/>
  <c r="BA635" i="31"/>
  <c r="BA636" i="31"/>
  <c r="BA637" i="31"/>
  <c r="BA638" i="31"/>
  <c r="BA639" i="31"/>
  <c r="BA640" i="31"/>
  <c r="BA641" i="31"/>
  <c r="BA642" i="31"/>
  <c r="BA643" i="31"/>
  <c r="BA644" i="31"/>
  <c r="BA645" i="31"/>
  <c r="BA646" i="31"/>
  <c r="BA647" i="31"/>
  <c r="BA648" i="31"/>
  <c r="BA649" i="31"/>
  <c r="BA650" i="31"/>
  <c r="BA651" i="31"/>
  <c r="BA652" i="31"/>
  <c r="BA653" i="31"/>
  <c r="BA654" i="31"/>
  <c r="BA655" i="31"/>
  <c r="BA656" i="31"/>
  <c r="BA657" i="31"/>
  <c r="BA658" i="31"/>
  <c r="BA659" i="31"/>
  <c r="BA660" i="31"/>
  <c r="BA661" i="31"/>
  <c r="BA662" i="31"/>
  <c r="BA663" i="31"/>
  <c r="BA664" i="31"/>
  <c r="BA665" i="31"/>
  <c r="BA666" i="31"/>
  <c r="BA667" i="31"/>
  <c r="BA668" i="31"/>
  <c r="BA669" i="31"/>
  <c r="BA670" i="31"/>
  <c r="BA671" i="31"/>
  <c r="BA672" i="31"/>
  <c r="BA673" i="31"/>
  <c r="BA674" i="31"/>
  <c r="BA675" i="31"/>
  <c r="BA676" i="31"/>
  <c r="BA677" i="31"/>
  <c r="BA678" i="31"/>
  <c r="BA679" i="31"/>
  <c r="BA680" i="31"/>
  <c r="BA681" i="31"/>
  <c r="BA682" i="31"/>
  <c r="BA683" i="31"/>
  <c r="BA684" i="31"/>
  <c r="BA685" i="31"/>
  <c r="BA686" i="31"/>
  <c r="BA687" i="31"/>
  <c r="BA688" i="31"/>
  <c r="BA689" i="31"/>
  <c r="BA690" i="31"/>
  <c r="BA691" i="31"/>
  <c r="BA692" i="31"/>
  <c r="BA693" i="31"/>
  <c r="BA694" i="31"/>
  <c r="BA695" i="31"/>
  <c r="BA696" i="31"/>
  <c r="BA697" i="31"/>
  <c r="BA698" i="31"/>
  <c r="BA699" i="31"/>
  <c r="BA700" i="31"/>
  <c r="BA701" i="31"/>
  <c r="BA702" i="31"/>
  <c r="BA703" i="31"/>
  <c r="BA704" i="31"/>
  <c r="BA705" i="31"/>
  <c r="BA706" i="31"/>
  <c r="BA707" i="31"/>
  <c r="BA708" i="31"/>
  <c r="BA709" i="31"/>
  <c r="BA710" i="31"/>
  <c r="BA711" i="31"/>
  <c r="BA712" i="31"/>
  <c r="BA713" i="31"/>
  <c r="BA714" i="31"/>
  <c r="BA715" i="31"/>
  <c r="AY3" i="31"/>
  <c r="E96" i="80"/>
  <c r="AT6" i="31"/>
  <c r="AT7" i="31"/>
  <c r="AT8" i="31"/>
  <c r="AT9" i="31"/>
  <c r="AT10" i="31"/>
  <c r="AT11" i="31"/>
  <c r="AT12" i="31"/>
  <c r="AT13" i="31"/>
  <c r="AT14" i="31"/>
  <c r="AT15" i="31"/>
  <c r="AT16" i="31"/>
  <c r="AT17" i="31"/>
  <c r="AT18" i="31"/>
  <c r="AT19" i="31"/>
  <c r="AT20" i="31"/>
  <c r="AT21" i="31"/>
  <c r="AT22" i="31"/>
  <c r="AT23" i="31"/>
  <c r="AT24" i="31"/>
  <c r="AT25" i="31"/>
  <c r="AT320" i="31"/>
  <c r="AT321" i="31"/>
  <c r="AT322" i="31"/>
  <c r="AT323" i="31"/>
  <c r="AT324" i="31"/>
  <c r="AT325" i="31"/>
  <c r="AT326" i="31"/>
  <c r="AT327" i="31"/>
  <c r="AT328" i="31"/>
  <c r="AT329" i="31"/>
  <c r="AT330" i="31"/>
  <c r="AT331" i="31"/>
  <c r="AT332" i="31"/>
  <c r="AT333" i="31"/>
  <c r="AT334" i="31"/>
  <c r="AT335" i="31"/>
  <c r="AT336" i="31"/>
  <c r="AT337" i="31"/>
  <c r="AT338" i="31"/>
  <c r="AT339" i="31"/>
  <c r="AT340" i="31"/>
  <c r="AT341" i="31"/>
  <c r="AT342" i="31"/>
  <c r="AT343" i="31"/>
  <c r="AT344" i="31"/>
  <c r="AT345" i="31"/>
  <c r="AT346" i="31"/>
  <c r="AT347" i="31"/>
  <c r="AT348" i="31"/>
  <c r="AT349" i="31"/>
  <c r="AT350" i="31"/>
  <c r="AT351" i="31"/>
  <c r="AT352" i="31"/>
  <c r="AT353" i="31"/>
  <c r="AT354" i="31"/>
  <c r="AT355" i="31"/>
  <c r="AT356" i="31"/>
  <c r="AT357" i="31"/>
  <c r="AT358" i="31"/>
  <c r="AT359" i="31"/>
  <c r="AT360" i="31"/>
  <c r="AT361" i="31"/>
  <c r="AT362" i="31"/>
  <c r="AT363" i="31"/>
  <c r="AT364" i="31"/>
  <c r="AT365" i="31"/>
  <c r="AT366" i="31"/>
  <c r="AT367" i="31"/>
  <c r="AT368" i="31"/>
  <c r="AT369" i="31"/>
  <c r="AT370" i="31"/>
  <c r="AT371" i="31"/>
  <c r="AT372" i="31"/>
  <c r="AT373" i="31"/>
  <c r="AT374" i="31"/>
  <c r="AT375" i="31"/>
  <c r="AT376" i="31"/>
  <c r="AT377" i="31"/>
  <c r="AT378" i="31"/>
  <c r="AT379" i="31"/>
  <c r="AT380" i="31"/>
  <c r="AT381" i="31"/>
  <c r="AT382" i="31"/>
  <c r="AT383" i="31"/>
  <c r="AT384" i="31"/>
  <c r="AT385" i="31"/>
  <c r="AT386" i="31"/>
  <c r="AT387" i="31"/>
  <c r="AT388" i="31"/>
  <c r="AT389" i="31"/>
  <c r="AT390" i="31"/>
  <c r="AT391" i="31"/>
  <c r="AT392" i="31"/>
  <c r="AT393" i="31"/>
  <c r="AT394" i="31"/>
  <c r="AT395" i="31"/>
  <c r="AT396" i="31"/>
  <c r="AT397" i="31"/>
  <c r="AT398" i="31"/>
  <c r="AT399" i="31"/>
  <c r="AT400" i="31"/>
  <c r="AT401" i="31"/>
  <c r="AT402" i="31"/>
  <c r="AT403" i="31"/>
  <c r="AT404" i="31"/>
  <c r="AT405" i="31"/>
  <c r="AT406" i="31"/>
  <c r="AT407" i="31"/>
  <c r="AT408" i="31"/>
  <c r="AT409" i="31"/>
  <c r="AT410" i="31"/>
  <c r="AT411" i="31"/>
  <c r="AT412" i="31"/>
  <c r="AT413" i="31"/>
  <c r="AT414" i="31"/>
  <c r="AT415" i="31"/>
  <c r="AT416" i="31"/>
  <c r="AT417" i="31"/>
  <c r="AT418" i="31"/>
  <c r="AT419" i="31"/>
  <c r="AT420" i="31"/>
  <c r="AT421" i="31"/>
  <c r="AT422" i="31"/>
  <c r="AT423" i="31"/>
  <c r="AT424" i="31"/>
  <c r="AT425" i="31"/>
  <c r="AT426" i="31"/>
  <c r="AT427" i="31"/>
  <c r="AT428" i="31"/>
  <c r="AT429" i="31"/>
  <c r="AT430" i="31"/>
  <c r="AT431" i="31"/>
  <c r="AT432" i="31"/>
  <c r="AT433" i="31"/>
  <c r="AT434" i="31"/>
  <c r="AT435" i="31"/>
  <c r="AT436" i="31"/>
  <c r="AT437" i="31"/>
  <c r="AT438" i="31"/>
  <c r="AT439" i="31"/>
  <c r="AT440" i="31"/>
  <c r="AT441" i="31"/>
  <c r="AT442" i="31"/>
  <c r="AT443" i="31"/>
  <c r="AT444" i="31"/>
  <c r="AT445" i="31"/>
  <c r="AT446" i="31"/>
  <c r="AT447" i="31"/>
  <c r="AT448" i="31"/>
  <c r="AT449" i="31"/>
  <c r="AT450" i="31"/>
  <c r="AT451" i="31"/>
  <c r="AT452" i="31"/>
  <c r="AT453" i="31"/>
  <c r="AT454" i="31"/>
  <c r="AT455" i="31"/>
  <c r="AT456" i="31"/>
  <c r="AT457" i="31"/>
  <c r="AT458" i="31"/>
  <c r="AT459" i="31"/>
  <c r="AT460" i="31"/>
  <c r="AT461" i="31"/>
  <c r="AT462" i="31"/>
  <c r="AT463" i="31"/>
  <c r="AT464" i="31"/>
  <c r="AT465" i="31"/>
  <c r="AT466" i="31"/>
  <c r="AT467" i="31"/>
  <c r="AT468" i="31"/>
  <c r="AT469" i="31"/>
  <c r="AT470" i="31"/>
  <c r="AT471" i="31"/>
  <c r="AT472" i="31"/>
  <c r="AT473" i="31"/>
  <c r="AT474" i="31"/>
  <c r="AT475" i="31"/>
  <c r="AT476" i="31"/>
  <c r="AT477" i="31"/>
  <c r="AT478" i="31"/>
  <c r="AT479" i="31"/>
  <c r="AT480" i="31"/>
  <c r="AT481" i="31"/>
  <c r="AT482" i="31"/>
  <c r="AT483" i="31"/>
  <c r="AT484" i="31"/>
  <c r="AT485" i="31"/>
  <c r="AT486" i="31"/>
  <c r="AT487" i="31"/>
  <c r="AT488" i="31"/>
  <c r="AT489" i="31"/>
  <c r="AT490" i="31"/>
  <c r="AT491" i="31"/>
  <c r="AT492" i="31"/>
  <c r="AT493" i="31"/>
  <c r="AT494" i="31"/>
  <c r="AT495" i="31"/>
  <c r="AT496" i="31"/>
  <c r="AT497" i="31"/>
  <c r="AT498" i="31"/>
  <c r="AT499" i="31"/>
  <c r="AT500" i="31"/>
  <c r="AT501" i="31"/>
  <c r="AT502" i="31"/>
  <c r="AT503" i="31"/>
  <c r="AT504" i="31"/>
  <c r="AT505" i="31"/>
  <c r="AT506" i="31"/>
  <c r="AT507" i="31"/>
  <c r="AT508" i="31"/>
  <c r="AT509" i="31"/>
  <c r="AT510" i="31"/>
  <c r="AT511" i="31"/>
  <c r="AT512" i="31"/>
  <c r="AT513" i="31"/>
  <c r="AT514" i="31"/>
  <c r="AT515" i="31"/>
  <c r="AT516" i="31"/>
  <c r="AT517" i="31"/>
  <c r="AT518" i="31"/>
  <c r="AT519" i="31"/>
  <c r="AT520" i="31"/>
  <c r="AT521" i="31"/>
  <c r="AT522" i="31"/>
  <c r="AT523" i="31"/>
  <c r="AT524" i="31"/>
  <c r="AT525" i="31"/>
  <c r="AT526" i="31"/>
  <c r="AT527" i="31"/>
  <c r="AT528" i="31"/>
  <c r="AT529" i="31"/>
  <c r="AT530" i="31"/>
  <c r="AT531" i="31"/>
  <c r="AT532" i="31"/>
  <c r="AT533" i="31"/>
  <c r="AT534" i="31"/>
  <c r="AT535" i="31"/>
  <c r="AT536" i="31"/>
  <c r="AT537" i="31"/>
  <c r="AT538" i="31"/>
  <c r="AT539" i="31"/>
  <c r="AT540" i="31"/>
  <c r="AT541" i="31"/>
  <c r="AT542" i="31"/>
  <c r="AT543" i="31"/>
  <c r="AT544" i="31"/>
  <c r="AT545" i="31"/>
  <c r="AT546" i="31"/>
  <c r="AT547" i="31"/>
  <c r="AT548" i="31"/>
  <c r="AT549" i="31"/>
  <c r="AT550" i="31"/>
  <c r="AT551" i="31"/>
  <c r="AT552" i="31"/>
  <c r="AT553" i="31"/>
  <c r="AT554" i="31"/>
  <c r="AT555" i="31"/>
  <c r="AT556" i="31"/>
  <c r="AT557" i="31"/>
  <c r="AT558" i="31"/>
  <c r="AT559" i="31"/>
  <c r="AT560" i="31"/>
  <c r="AT561" i="31"/>
  <c r="AT562" i="31"/>
  <c r="AT563" i="31"/>
  <c r="AT564" i="31"/>
  <c r="AT565" i="31"/>
  <c r="AT566" i="31"/>
  <c r="AT567" i="31"/>
  <c r="AT568" i="31"/>
  <c r="AT569" i="31"/>
  <c r="AT570" i="31"/>
  <c r="AT571" i="31"/>
  <c r="AT572" i="31"/>
  <c r="AT573" i="31"/>
  <c r="AT574" i="31"/>
  <c r="AT575" i="31"/>
  <c r="AT576" i="31"/>
  <c r="AT577" i="31"/>
  <c r="AT578" i="31"/>
  <c r="AT579" i="31"/>
  <c r="AT580" i="31"/>
  <c r="AT581" i="31"/>
  <c r="AT582" i="31"/>
  <c r="AT583" i="31"/>
  <c r="AT584" i="31"/>
  <c r="AT585" i="31"/>
  <c r="AT586" i="31"/>
  <c r="AT587" i="31"/>
  <c r="AT588" i="31"/>
  <c r="AT589" i="31"/>
  <c r="AT590" i="31"/>
  <c r="AT591" i="31"/>
  <c r="AT592" i="31"/>
  <c r="AT593" i="31"/>
  <c r="AT594" i="31"/>
  <c r="AT595" i="31"/>
  <c r="AT596" i="31"/>
  <c r="AT597" i="31"/>
  <c r="AT598" i="31"/>
  <c r="AT599" i="31"/>
  <c r="AT600" i="31"/>
  <c r="AT601" i="31"/>
  <c r="AT602" i="31"/>
  <c r="AT603" i="31"/>
  <c r="AT604" i="31"/>
  <c r="AT605" i="31"/>
  <c r="AT606" i="31"/>
  <c r="AT607" i="31"/>
  <c r="AT608" i="31"/>
  <c r="AT609" i="31"/>
  <c r="AT610" i="31"/>
  <c r="AT611" i="31"/>
  <c r="AT612" i="31"/>
  <c r="AT613" i="31"/>
  <c r="AT614" i="31"/>
  <c r="AT615" i="31"/>
  <c r="AT616" i="31"/>
  <c r="AT617" i="31"/>
  <c r="AT618" i="31"/>
  <c r="AT619" i="31"/>
  <c r="AT620" i="31"/>
  <c r="AT621" i="31"/>
  <c r="AT622" i="31"/>
  <c r="AT623" i="31"/>
  <c r="AT624" i="31"/>
  <c r="AT625" i="31"/>
  <c r="AT626" i="31"/>
  <c r="AT627" i="31"/>
  <c r="AT628" i="31"/>
  <c r="AT629" i="31"/>
  <c r="AT630" i="31"/>
  <c r="AT631" i="31"/>
  <c r="AT632" i="31"/>
  <c r="AT633" i="31"/>
  <c r="AT634" i="31"/>
  <c r="AT635" i="31"/>
  <c r="AT636" i="31"/>
  <c r="AT637" i="31"/>
  <c r="AT638" i="31"/>
  <c r="AT639" i="31"/>
  <c r="AT640" i="31"/>
  <c r="AT641" i="31"/>
  <c r="AT642" i="31"/>
  <c r="AT643" i="31"/>
  <c r="AT644" i="31"/>
  <c r="AT645" i="31"/>
  <c r="AT646" i="31"/>
  <c r="AT647" i="31"/>
  <c r="AT648" i="31"/>
  <c r="AT649" i="31"/>
  <c r="AT650" i="31"/>
  <c r="AT651" i="31"/>
  <c r="AT652" i="31"/>
  <c r="AT653" i="31"/>
  <c r="AT654" i="31"/>
  <c r="AT655" i="31"/>
  <c r="AT656" i="31"/>
  <c r="AT657" i="31"/>
  <c r="AT658" i="31"/>
  <c r="AT659" i="31"/>
  <c r="AT660" i="31"/>
  <c r="AT661" i="31"/>
  <c r="AT662" i="31"/>
  <c r="AT663" i="31"/>
  <c r="AT664" i="31"/>
  <c r="AT665" i="31"/>
  <c r="AT666" i="31"/>
  <c r="AT667" i="31"/>
  <c r="AT668" i="31"/>
  <c r="AT669" i="31"/>
  <c r="AT670" i="31"/>
  <c r="AT671" i="31"/>
  <c r="AT672" i="31"/>
  <c r="AT673" i="31"/>
  <c r="AT674" i="31"/>
  <c r="AT675" i="31"/>
  <c r="AT676" i="31"/>
  <c r="AT677" i="31"/>
  <c r="AT678" i="31"/>
  <c r="AT679" i="31"/>
  <c r="AT680" i="31"/>
  <c r="AT681" i="31"/>
  <c r="AT682" i="31"/>
  <c r="AT683" i="31"/>
  <c r="AT684" i="31"/>
  <c r="AT685" i="31"/>
  <c r="AT686" i="31"/>
  <c r="AT687" i="31"/>
  <c r="AT688" i="31"/>
  <c r="AT689" i="31"/>
  <c r="AT690" i="31"/>
  <c r="AT691" i="31"/>
  <c r="AT692" i="31"/>
  <c r="AT693" i="31"/>
  <c r="AT694" i="31"/>
  <c r="AT695" i="31"/>
  <c r="AT696" i="31"/>
  <c r="AT697" i="31"/>
  <c r="AT698" i="31"/>
  <c r="AT699" i="31"/>
  <c r="AT700" i="31"/>
  <c r="AT701" i="31"/>
  <c r="AT702" i="31"/>
  <c r="AT703" i="31"/>
  <c r="AT704" i="31"/>
  <c r="AT705" i="31"/>
  <c r="AT706" i="31"/>
  <c r="AT707" i="31"/>
  <c r="AT708" i="31"/>
  <c r="AT709" i="31"/>
  <c r="AT710" i="31"/>
  <c r="AT711" i="31"/>
  <c r="AT712" i="31"/>
  <c r="AT713" i="31"/>
  <c r="AT714" i="31"/>
  <c r="AT715" i="31"/>
  <c r="AU6" i="31"/>
  <c r="AU7" i="31"/>
  <c r="AU8" i="31"/>
  <c r="AU9" i="31"/>
  <c r="AU10" i="31"/>
  <c r="AU11" i="31"/>
  <c r="AU12" i="31"/>
  <c r="AU13" i="31"/>
  <c r="AU14" i="31"/>
  <c r="AU15" i="31"/>
  <c r="AU16" i="31"/>
  <c r="AU17" i="31"/>
  <c r="AU18" i="31"/>
  <c r="AU19" i="31"/>
  <c r="AU20" i="31"/>
  <c r="AU21" i="31"/>
  <c r="AU22" i="31"/>
  <c r="AU23" i="31"/>
  <c r="AU24" i="31"/>
  <c r="AU25" i="31"/>
  <c r="AU26" i="31"/>
  <c r="AU27" i="31"/>
  <c r="AU28" i="31"/>
  <c r="AU29" i="31"/>
  <c r="AU30" i="31"/>
  <c r="AU31" i="31"/>
  <c r="AU32" i="31"/>
  <c r="AU33" i="31"/>
  <c r="AU34" i="31"/>
  <c r="AU35" i="31"/>
  <c r="AU36" i="31"/>
  <c r="AU37" i="31"/>
  <c r="AU38" i="31"/>
  <c r="AU39" i="31"/>
  <c r="AU40" i="31"/>
  <c r="AU41" i="31"/>
  <c r="AU42" i="31"/>
  <c r="AU43" i="31"/>
  <c r="AU44" i="31"/>
  <c r="AU45" i="31"/>
  <c r="AU46" i="31"/>
  <c r="AU47" i="31"/>
  <c r="AU48" i="31"/>
  <c r="AU49" i="31"/>
  <c r="AU50" i="31"/>
  <c r="AU51" i="31"/>
  <c r="AU52" i="31"/>
  <c r="AU53" i="31"/>
  <c r="AU54" i="31"/>
  <c r="AU55" i="31"/>
  <c r="AU56" i="31"/>
  <c r="AU57" i="31"/>
  <c r="AU58" i="31"/>
  <c r="AU59" i="31"/>
  <c r="AU60" i="31"/>
  <c r="AU61" i="31"/>
  <c r="AU62" i="31"/>
  <c r="AU63" i="31"/>
  <c r="AU64" i="31"/>
  <c r="AU65" i="31"/>
  <c r="AU66" i="31"/>
  <c r="AU67" i="31"/>
  <c r="AU68" i="31"/>
  <c r="AU69" i="31"/>
  <c r="AU70" i="31"/>
  <c r="AU71" i="31"/>
  <c r="AU72" i="31"/>
  <c r="AU73" i="31"/>
  <c r="AU74" i="31"/>
  <c r="AU75" i="31"/>
  <c r="AU76" i="31"/>
  <c r="AU77" i="31"/>
  <c r="AU78" i="31"/>
  <c r="AU79" i="31"/>
  <c r="AU80" i="31"/>
  <c r="AU81" i="31"/>
  <c r="AU82" i="31"/>
  <c r="AU83" i="31"/>
  <c r="AU84" i="31"/>
  <c r="AU85" i="31"/>
  <c r="AU86" i="31"/>
  <c r="AU87" i="31"/>
  <c r="AU88" i="31"/>
  <c r="AU89" i="31"/>
  <c r="AU90" i="31"/>
  <c r="AU91" i="31"/>
  <c r="AU92" i="31"/>
  <c r="AU93" i="31"/>
  <c r="AU94" i="31"/>
  <c r="AU95" i="31"/>
  <c r="AU96" i="31"/>
  <c r="AU97" i="31"/>
  <c r="AU98" i="31"/>
  <c r="AU99" i="31"/>
  <c r="AU100" i="31"/>
  <c r="AU101" i="31"/>
  <c r="AU102" i="31"/>
  <c r="AU103" i="31"/>
  <c r="AU104" i="31"/>
  <c r="AU105" i="31"/>
  <c r="AU106" i="31"/>
  <c r="AU107" i="31"/>
  <c r="AU108" i="31"/>
  <c r="AU109" i="31"/>
  <c r="AU110" i="31"/>
  <c r="AU111" i="31"/>
  <c r="AU112" i="31"/>
  <c r="AU113" i="31"/>
  <c r="AU114" i="31"/>
  <c r="AU115" i="31"/>
  <c r="AU116" i="31"/>
  <c r="AU117" i="31"/>
  <c r="AU118" i="31"/>
  <c r="AU119" i="31"/>
  <c r="AU120" i="31"/>
  <c r="AU121" i="31"/>
  <c r="AU122" i="31"/>
  <c r="AU123" i="31"/>
  <c r="AU124" i="31"/>
  <c r="AU125" i="31"/>
  <c r="AU126" i="31"/>
  <c r="AU127" i="31"/>
  <c r="AU128" i="31"/>
  <c r="AU129" i="31"/>
  <c r="AU130" i="31"/>
  <c r="AU131" i="31"/>
  <c r="AU132" i="31"/>
  <c r="AU133" i="31"/>
  <c r="AU134" i="31"/>
  <c r="AU135" i="31"/>
  <c r="AU136" i="31"/>
  <c r="AU137" i="31"/>
  <c r="AU138" i="31"/>
  <c r="AU139" i="31"/>
  <c r="AU140" i="31"/>
  <c r="AU141" i="31"/>
  <c r="AU142" i="31"/>
  <c r="AU143" i="31"/>
  <c r="AU144" i="31"/>
  <c r="AU145" i="31"/>
  <c r="AU146" i="31"/>
  <c r="AU147" i="31"/>
  <c r="AU148" i="31"/>
  <c r="AU149" i="31"/>
  <c r="AU150" i="31"/>
  <c r="AU151" i="31"/>
  <c r="AU152" i="31"/>
  <c r="AU153" i="31"/>
  <c r="AU154" i="31"/>
  <c r="AU155" i="31"/>
  <c r="AU156" i="31"/>
  <c r="AU157" i="31"/>
  <c r="AU158" i="31"/>
  <c r="AU159" i="31"/>
  <c r="AU160" i="31"/>
  <c r="AU161" i="31"/>
  <c r="AU162" i="31"/>
  <c r="AU163" i="31"/>
  <c r="AU164" i="31"/>
  <c r="AU165" i="31"/>
  <c r="AU166" i="31"/>
  <c r="AU167" i="31"/>
  <c r="AU168" i="31"/>
  <c r="AU169" i="31"/>
  <c r="AU170" i="31"/>
  <c r="AU171" i="31"/>
  <c r="AU172" i="31"/>
  <c r="AU173" i="31"/>
  <c r="AU174" i="31"/>
  <c r="AU175" i="31"/>
  <c r="AU176" i="31"/>
  <c r="AU177" i="31"/>
  <c r="AU178" i="31"/>
  <c r="AU179" i="31"/>
  <c r="AU180" i="31"/>
  <c r="AU181" i="31"/>
  <c r="AU182" i="31"/>
  <c r="AU183" i="31"/>
  <c r="AU184" i="31"/>
  <c r="AU185" i="31"/>
  <c r="AU186" i="31"/>
  <c r="AU187" i="31"/>
  <c r="AU188" i="31"/>
  <c r="AU189" i="31"/>
  <c r="AU190" i="31"/>
  <c r="AU191" i="31"/>
  <c r="AU192" i="31"/>
  <c r="AU193" i="31"/>
  <c r="AU194" i="31"/>
  <c r="AU195" i="31"/>
  <c r="AU196" i="31"/>
  <c r="AU197" i="31"/>
  <c r="AU198" i="31"/>
  <c r="AU199" i="31"/>
  <c r="AU200" i="31"/>
  <c r="AU201" i="31"/>
  <c r="AU202" i="31"/>
  <c r="AU203" i="31"/>
  <c r="AU204" i="31"/>
  <c r="AU205" i="31"/>
  <c r="AU206" i="31"/>
  <c r="AU207" i="31"/>
  <c r="AU208" i="31"/>
  <c r="AU209" i="31"/>
  <c r="AU210" i="31"/>
  <c r="AU211" i="31"/>
  <c r="AU212" i="31"/>
  <c r="AU213" i="31"/>
  <c r="AU214" i="31"/>
  <c r="AU215" i="31"/>
  <c r="AU216" i="31"/>
  <c r="AU217" i="31"/>
  <c r="AU218" i="31"/>
  <c r="AU219" i="31"/>
  <c r="AU220" i="31"/>
  <c r="AU221" i="31"/>
  <c r="AU222" i="31"/>
  <c r="AU223" i="31"/>
  <c r="AU224" i="31"/>
  <c r="AU225" i="31"/>
  <c r="AU226" i="31"/>
  <c r="AU227" i="31"/>
  <c r="AU228" i="31"/>
  <c r="AU229" i="31"/>
  <c r="AU230" i="31"/>
  <c r="AU231" i="31"/>
  <c r="AU232" i="31"/>
  <c r="AU233" i="31"/>
  <c r="AU234" i="31"/>
  <c r="AU235" i="31"/>
  <c r="AU236" i="31"/>
  <c r="AU237" i="31"/>
  <c r="AU238" i="31"/>
  <c r="AU239" i="31"/>
  <c r="AU240" i="31"/>
  <c r="AU241" i="31"/>
  <c r="AU242" i="31"/>
  <c r="AU243" i="31"/>
  <c r="AU244" i="31"/>
  <c r="AU245" i="31"/>
  <c r="AU246" i="31"/>
  <c r="AU247" i="31"/>
  <c r="AU248" i="31"/>
  <c r="AU249" i="31"/>
  <c r="AU250" i="31"/>
  <c r="AU251" i="31"/>
  <c r="AU252" i="31"/>
  <c r="AU253" i="31"/>
  <c r="AU254" i="31"/>
  <c r="AU255" i="31"/>
  <c r="AU256" i="31"/>
  <c r="AU257" i="31"/>
  <c r="AU258" i="31"/>
  <c r="AU259" i="31"/>
  <c r="AU260" i="31"/>
  <c r="AU261" i="31"/>
  <c r="AU262" i="31"/>
  <c r="AU263" i="31"/>
  <c r="AU264" i="31"/>
  <c r="AU265" i="31"/>
  <c r="AU266" i="31"/>
  <c r="AU267" i="31"/>
  <c r="AU268" i="31"/>
  <c r="AU269" i="31"/>
  <c r="AU270" i="31"/>
  <c r="AU271" i="31"/>
  <c r="AU272" i="31"/>
  <c r="AU273" i="31"/>
  <c r="AU274" i="31"/>
  <c r="AU275" i="31"/>
  <c r="AU276" i="31"/>
  <c r="AU277" i="31"/>
  <c r="AU278" i="31"/>
  <c r="AU279" i="31"/>
  <c r="AU280" i="31"/>
  <c r="AU281" i="31"/>
  <c r="AU282" i="31"/>
  <c r="AU283" i="31"/>
  <c r="AU284" i="31"/>
  <c r="AU285" i="31"/>
  <c r="AU286" i="31"/>
  <c r="AU287" i="31"/>
  <c r="AU288" i="31"/>
  <c r="AU289" i="31"/>
  <c r="AU290" i="31"/>
  <c r="AU291" i="31"/>
  <c r="AU292" i="31"/>
  <c r="AU293" i="31"/>
  <c r="AU294" i="31"/>
  <c r="AU295" i="31"/>
  <c r="AU296" i="31"/>
  <c r="AU297" i="31"/>
  <c r="AU298" i="31"/>
  <c r="AU299" i="31"/>
  <c r="AU300" i="31"/>
  <c r="AU301" i="31"/>
  <c r="AU302" i="31"/>
  <c r="AU303" i="31"/>
  <c r="AU304" i="31"/>
  <c r="AU305" i="31"/>
  <c r="AU306" i="31"/>
  <c r="AU307" i="31"/>
  <c r="AU308" i="31"/>
  <c r="AU309" i="31"/>
  <c r="AU310" i="31"/>
  <c r="AU311" i="31"/>
  <c r="AU312" i="31"/>
  <c r="AU313" i="31"/>
  <c r="AU314" i="31"/>
  <c r="AU315" i="31"/>
  <c r="AU316" i="31"/>
  <c r="AU317" i="31"/>
  <c r="AU318" i="31"/>
  <c r="AU319" i="31"/>
  <c r="AU320" i="31"/>
  <c r="AU321" i="31"/>
  <c r="AU322" i="31"/>
  <c r="AU323" i="31"/>
  <c r="AU324" i="31"/>
  <c r="AU325" i="31"/>
  <c r="AU326" i="31"/>
  <c r="AU327" i="31"/>
  <c r="AU328" i="31"/>
  <c r="AU329" i="31"/>
  <c r="AU330" i="31"/>
  <c r="AU331" i="31"/>
  <c r="AU332" i="31"/>
  <c r="AU333" i="31"/>
  <c r="AU334" i="31"/>
  <c r="AU335" i="31"/>
  <c r="AU336" i="31"/>
  <c r="AU337" i="31"/>
  <c r="AU338" i="31"/>
  <c r="AU339" i="31"/>
  <c r="AU340" i="31"/>
  <c r="AU341" i="31"/>
  <c r="AU342" i="31"/>
  <c r="AU343" i="31"/>
  <c r="AU344" i="31"/>
  <c r="AU345" i="31"/>
  <c r="AU346" i="31"/>
  <c r="AU347" i="31"/>
  <c r="AU348" i="31"/>
  <c r="AU349" i="31"/>
  <c r="AU350" i="31"/>
  <c r="AU351" i="31"/>
  <c r="AU352" i="31"/>
  <c r="AU353" i="31"/>
  <c r="AU354" i="31"/>
  <c r="AU355" i="31"/>
  <c r="AU356" i="31"/>
  <c r="AU357" i="31"/>
  <c r="AU358" i="31"/>
  <c r="AU359" i="31"/>
  <c r="AU360" i="31"/>
  <c r="AU361" i="31"/>
  <c r="AU362" i="31"/>
  <c r="AU363" i="31"/>
  <c r="AU364" i="31"/>
  <c r="AU365" i="31"/>
  <c r="AU366" i="31"/>
  <c r="AU367" i="31"/>
  <c r="AU368" i="31"/>
  <c r="AU369" i="31"/>
  <c r="AU370" i="31"/>
  <c r="AU371" i="31"/>
  <c r="AU372" i="31"/>
  <c r="AU373" i="31"/>
  <c r="AU374" i="31"/>
  <c r="AU375" i="31"/>
  <c r="AU376" i="31"/>
  <c r="AU377" i="31"/>
  <c r="AU378" i="31"/>
  <c r="AU379" i="31"/>
  <c r="AU380" i="31"/>
  <c r="AU381" i="31"/>
  <c r="AU382" i="31"/>
  <c r="AU383" i="31"/>
  <c r="AU384" i="31"/>
  <c r="AU385" i="31"/>
  <c r="AU386" i="31"/>
  <c r="AU387" i="31"/>
  <c r="AU388" i="31"/>
  <c r="AU389" i="31"/>
  <c r="AU390" i="31"/>
  <c r="AU391" i="31"/>
  <c r="AU392" i="31"/>
  <c r="AU393" i="31"/>
  <c r="AU394" i="31"/>
  <c r="AU395" i="31"/>
  <c r="AU396" i="31"/>
  <c r="AU397" i="31"/>
  <c r="AU398" i="31"/>
  <c r="AU399" i="31"/>
  <c r="AU400" i="31"/>
  <c r="AU401" i="31"/>
  <c r="AU402" i="31"/>
  <c r="AU403" i="31"/>
  <c r="AU404" i="31"/>
  <c r="AU405" i="31"/>
  <c r="AU406" i="31"/>
  <c r="AU407" i="31"/>
  <c r="AU408" i="31"/>
  <c r="AU409" i="31"/>
  <c r="AU410" i="31"/>
  <c r="AU411" i="31"/>
  <c r="AU412" i="31"/>
  <c r="AU413" i="31"/>
  <c r="AU414" i="31"/>
  <c r="AU415" i="31"/>
  <c r="AU416" i="31"/>
  <c r="AU417" i="31"/>
  <c r="AU418" i="31"/>
  <c r="AU419" i="31"/>
  <c r="AU420" i="31"/>
  <c r="AU421" i="31"/>
  <c r="AU422" i="31"/>
  <c r="AU423" i="31"/>
  <c r="AU424" i="31"/>
  <c r="AU425" i="31"/>
  <c r="AU426" i="31"/>
  <c r="AU427" i="31"/>
  <c r="AU428" i="31"/>
  <c r="AU429" i="31"/>
  <c r="AU430" i="31"/>
  <c r="AU431" i="31"/>
  <c r="AU432" i="31"/>
  <c r="AU433" i="31"/>
  <c r="AU434" i="31"/>
  <c r="AU435" i="31"/>
  <c r="AU436" i="31"/>
  <c r="AU437" i="31"/>
  <c r="AU438" i="31"/>
  <c r="AU439" i="31"/>
  <c r="AU440" i="31"/>
  <c r="AU441" i="31"/>
  <c r="AU442" i="31"/>
  <c r="AU443" i="31"/>
  <c r="AU444" i="31"/>
  <c r="AU445" i="31"/>
  <c r="AU446" i="31"/>
  <c r="AU447" i="31"/>
  <c r="AU448" i="31"/>
  <c r="AU449" i="31"/>
  <c r="AU450" i="31"/>
  <c r="AU451" i="31"/>
  <c r="AU452" i="31"/>
  <c r="AU453" i="31"/>
  <c r="AU454" i="31"/>
  <c r="AU455" i="31"/>
  <c r="AU456" i="31"/>
  <c r="AU457" i="31"/>
  <c r="AU458" i="31"/>
  <c r="AU459" i="31"/>
  <c r="AU460" i="31"/>
  <c r="AU461" i="31"/>
  <c r="AU462" i="31"/>
  <c r="AU463" i="31"/>
  <c r="AU464" i="31"/>
  <c r="AU465" i="31"/>
  <c r="AU466" i="31"/>
  <c r="AU467" i="31"/>
  <c r="AU468" i="31"/>
  <c r="AU469" i="31"/>
  <c r="AU470" i="31"/>
  <c r="AU471" i="31"/>
  <c r="AU472" i="31"/>
  <c r="AU473" i="31"/>
  <c r="AU474" i="31"/>
  <c r="AU475" i="31"/>
  <c r="AU476" i="31"/>
  <c r="AU477" i="31"/>
  <c r="AU478" i="31"/>
  <c r="AU479" i="31"/>
  <c r="AU480" i="31"/>
  <c r="AU481" i="31"/>
  <c r="AU482" i="31"/>
  <c r="AU483" i="31"/>
  <c r="AU484" i="31"/>
  <c r="AU485" i="31"/>
  <c r="AU486" i="31"/>
  <c r="AU487" i="31"/>
  <c r="AU488" i="31"/>
  <c r="AU489" i="31"/>
  <c r="AU490" i="31"/>
  <c r="AU491" i="31"/>
  <c r="AU492" i="31"/>
  <c r="AU493" i="31"/>
  <c r="AU494" i="31"/>
  <c r="AU495" i="31"/>
  <c r="AU496" i="31"/>
  <c r="AU497" i="31"/>
  <c r="AU498" i="31"/>
  <c r="AU499" i="31"/>
  <c r="AU500" i="31"/>
  <c r="AU501" i="31"/>
  <c r="AU502" i="31"/>
  <c r="AU503" i="31"/>
  <c r="AU504" i="31"/>
  <c r="AU505" i="31"/>
  <c r="AU506" i="31"/>
  <c r="AU507" i="31"/>
  <c r="AU508" i="31"/>
  <c r="AU509" i="31"/>
  <c r="AU510" i="31"/>
  <c r="AU511" i="31"/>
  <c r="AU512" i="31"/>
  <c r="AU513" i="31"/>
  <c r="AU514" i="31"/>
  <c r="AU515" i="31"/>
  <c r="AU516" i="31"/>
  <c r="AU517" i="31"/>
  <c r="AU518" i="31"/>
  <c r="AU519" i="31"/>
  <c r="AU520" i="31"/>
  <c r="AU521" i="31"/>
  <c r="AU522" i="31"/>
  <c r="AU523" i="31"/>
  <c r="AU524" i="31"/>
  <c r="AU525" i="31"/>
  <c r="AU526" i="31"/>
  <c r="AU527" i="31"/>
  <c r="AU528" i="31"/>
  <c r="AU529" i="31"/>
  <c r="AU530" i="31"/>
  <c r="AU531" i="31"/>
  <c r="AU532" i="31"/>
  <c r="AU533" i="31"/>
  <c r="AU534" i="31"/>
  <c r="AU535" i="31"/>
  <c r="AU536" i="31"/>
  <c r="AU537" i="31"/>
  <c r="AU538" i="31"/>
  <c r="AU539" i="31"/>
  <c r="AU540" i="31"/>
  <c r="AU541" i="31"/>
  <c r="AU542" i="31"/>
  <c r="AU543" i="31"/>
  <c r="AU544" i="31"/>
  <c r="AU545" i="31"/>
  <c r="AU546" i="31"/>
  <c r="AU547" i="31"/>
  <c r="AU548" i="31"/>
  <c r="AU549" i="31"/>
  <c r="AU550" i="31"/>
  <c r="AU551" i="31"/>
  <c r="AU552" i="31"/>
  <c r="AU553" i="31"/>
  <c r="AU554" i="31"/>
  <c r="AU555" i="31"/>
  <c r="AU556" i="31"/>
  <c r="AU557" i="31"/>
  <c r="AU558" i="31"/>
  <c r="AU559" i="31"/>
  <c r="AU560" i="31"/>
  <c r="AU561" i="31"/>
  <c r="AU562" i="31"/>
  <c r="AU563" i="31"/>
  <c r="AU564" i="31"/>
  <c r="AU565" i="31"/>
  <c r="AU566" i="31"/>
  <c r="AU567" i="31"/>
  <c r="AU568" i="31"/>
  <c r="AU569" i="31"/>
  <c r="AU570" i="31"/>
  <c r="AU571" i="31"/>
  <c r="AU572" i="31"/>
  <c r="AU573" i="31"/>
  <c r="AU574" i="31"/>
  <c r="AU575" i="31"/>
  <c r="AU576" i="31"/>
  <c r="AU577" i="31"/>
  <c r="AU578" i="31"/>
  <c r="AU579" i="31"/>
  <c r="AU580" i="31"/>
  <c r="AU581" i="31"/>
  <c r="AU582" i="31"/>
  <c r="AU583" i="31"/>
  <c r="AU584" i="31"/>
  <c r="AU585" i="31"/>
  <c r="AU586" i="31"/>
  <c r="AU587" i="31"/>
  <c r="AU588" i="31"/>
  <c r="AU589" i="31"/>
  <c r="AU590" i="31"/>
  <c r="AU591" i="31"/>
  <c r="AU592" i="31"/>
  <c r="AU593" i="31"/>
  <c r="AU594" i="31"/>
  <c r="AU595" i="31"/>
  <c r="AU596" i="31"/>
  <c r="AU597" i="31"/>
  <c r="AU598" i="31"/>
  <c r="AU599" i="31"/>
  <c r="AU600" i="31"/>
  <c r="AU601" i="31"/>
  <c r="AU602" i="31"/>
  <c r="AU603" i="31"/>
  <c r="AU604" i="31"/>
  <c r="AU605" i="31"/>
  <c r="AU606" i="31"/>
  <c r="AU607" i="31"/>
  <c r="AU608" i="31"/>
  <c r="AU609" i="31"/>
  <c r="AU610" i="31"/>
  <c r="AU611" i="31"/>
  <c r="AU612" i="31"/>
  <c r="AU613" i="31"/>
  <c r="AU614" i="31"/>
  <c r="AU615" i="31"/>
  <c r="AU616" i="31"/>
  <c r="AU617" i="31"/>
  <c r="AU618" i="31"/>
  <c r="AU619" i="31"/>
  <c r="AU620" i="31"/>
  <c r="AU621" i="31"/>
  <c r="AU622" i="31"/>
  <c r="AU623" i="31"/>
  <c r="AU624" i="31"/>
  <c r="AU625" i="31"/>
  <c r="AU626" i="31"/>
  <c r="AU627" i="31"/>
  <c r="AU628" i="31"/>
  <c r="AU629" i="31"/>
  <c r="AU630" i="31"/>
  <c r="AU631" i="31"/>
  <c r="AU632" i="31"/>
  <c r="AU633" i="31"/>
  <c r="AU634" i="31"/>
  <c r="AU635" i="31"/>
  <c r="AU636" i="31"/>
  <c r="AU637" i="31"/>
  <c r="AU638" i="31"/>
  <c r="AU639" i="31"/>
  <c r="AU640" i="31"/>
  <c r="AU641" i="31"/>
  <c r="AU642" i="31"/>
  <c r="AU643" i="31"/>
  <c r="AU644" i="31"/>
  <c r="AU645" i="31"/>
  <c r="AU646" i="31"/>
  <c r="AU647" i="31"/>
  <c r="AU648" i="31"/>
  <c r="AU649" i="31"/>
  <c r="AU650" i="31"/>
  <c r="AU651" i="31"/>
  <c r="AU652" i="31"/>
  <c r="AU653" i="31"/>
  <c r="AU654" i="31"/>
  <c r="AU655" i="31"/>
  <c r="AU656" i="31"/>
  <c r="AU657" i="31"/>
  <c r="AU658" i="31"/>
  <c r="AU659" i="31"/>
  <c r="AU660" i="31"/>
  <c r="AU661" i="31"/>
  <c r="AU662" i="31"/>
  <c r="AU663" i="31"/>
  <c r="AU664" i="31"/>
  <c r="AU665" i="31"/>
  <c r="AU666" i="31"/>
  <c r="AU667" i="31"/>
  <c r="AU668" i="31"/>
  <c r="AU669" i="31"/>
  <c r="AU670" i="31"/>
  <c r="AU671" i="31"/>
  <c r="AU672" i="31"/>
  <c r="AU673" i="31"/>
  <c r="AU674" i="31"/>
  <c r="AU675" i="31"/>
  <c r="AU676" i="31"/>
  <c r="AU677" i="31"/>
  <c r="AU678" i="31"/>
  <c r="AU679" i="31"/>
  <c r="AU680" i="31"/>
  <c r="AU681" i="31"/>
  <c r="AU682" i="31"/>
  <c r="AU683" i="31"/>
  <c r="AU684" i="31"/>
  <c r="AU685" i="31"/>
  <c r="AU686" i="31"/>
  <c r="AU687" i="31"/>
  <c r="AU688" i="31"/>
  <c r="AU689" i="31"/>
  <c r="AU690" i="31"/>
  <c r="AU691" i="31"/>
  <c r="AU692" i="31"/>
  <c r="AU693" i="31"/>
  <c r="AU694" i="31"/>
  <c r="AU695" i="31"/>
  <c r="AU696" i="31"/>
  <c r="AU697" i="31"/>
  <c r="AU698" i="31"/>
  <c r="AU699" i="31"/>
  <c r="AU700" i="31"/>
  <c r="AU701" i="31"/>
  <c r="AU702" i="31"/>
  <c r="AU703" i="31"/>
  <c r="AU704" i="31"/>
  <c r="AU705" i="31"/>
  <c r="AU706" i="31"/>
  <c r="AU707" i="31"/>
  <c r="AU708" i="31"/>
  <c r="AU709" i="31"/>
  <c r="AU710" i="31"/>
  <c r="AU711" i="31"/>
  <c r="AU712" i="31"/>
  <c r="AU713" i="31"/>
  <c r="AU714" i="31"/>
  <c r="AU715" i="31"/>
  <c r="AS3" i="31"/>
  <c r="E95" i="80"/>
  <c r="AN6" i="31"/>
  <c r="AN7" i="31"/>
  <c r="AN8" i="31"/>
  <c r="AN9" i="31"/>
  <c r="AN10" i="31"/>
  <c r="AN11" i="31"/>
  <c r="AN12" i="31"/>
  <c r="AN13" i="31"/>
  <c r="AN14" i="31"/>
  <c r="AN15" i="31"/>
  <c r="AN16" i="31"/>
  <c r="AN17" i="31"/>
  <c r="AN18" i="31"/>
  <c r="AN19" i="31"/>
  <c r="AN20" i="31"/>
  <c r="AN21" i="31"/>
  <c r="AN22" i="31"/>
  <c r="AN23" i="31"/>
  <c r="AN24" i="31"/>
  <c r="AN25" i="31"/>
  <c r="AN26" i="31"/>
  <c r="AN27" i="31"/>
  <c r="AN28" i="31"/>
  <c r="AN29" i="31"/>
  <c r="AN30" i="31"/>
  <c r="AN31" i="31"/>
  <c r="AN32" i="31"/>
  <c r="AN33" i="31"/>
  <c r="AN34" i="31"/>
  <c r="AN35" i="31"/>
  <c r="AN168" i="31"/>
  <c r="AN169" i="31"/>
  <c r="AN170" i="31"/>
  <c r="AN171" i="31"/>
  <c r="AN172" i="31"/>
  <c r="AN173" i="31"/>
  <c r="AN174" i="31"/>
  <c r="AN175" i="31"/>
  <c r="AN176" i="31"/>
  <c r="AN177" i="31"/>
  <c r="AN178" i="31"/>
  <c r="AN179" i="31"/>
  <c r="AN180" i="31"/>
  <c r="AN181" i="31"/>
  <c r="AN182" i="31"/>
  <c r="AN183" i="31"/>
  <c r="AN184" i="31"/>
  <c r="AN185" i="31"/>
  <c r="AN186" i="31"/>
  <c r="AN187" i="31"/>
  <c r="AN188" i="31"/>
  <c r="AN189" i="31"/>
  <c r="AN190" i="31"/>
  <c r="AN191" i="31"/>
  <c r="AN192" i="31"/>
  <c r="AN193" i="31"/>
  <c r="AN194" i="31"/>
  <c r="AN195" i="31"/>
  <c r="AN196" i="31"/>
  <c r="AN197" i="31"/>
  <c r="AN198" i="31"/>
  <c r="AN199" i="31"/>
  <c r="AN200" i="31"/>
  <c r="AN201" i="31"/>
  <c r="AN202" i="31"/>
  <c r="AN203" i="31"/>
  <c r="AN204" i="31"/>
  <c r="AN205" i="31"/>
  <c r="AN206" i="31"/>
  <c r="AN207" i="31"/>
  <c r="AN208" i="31"/>
  <c r="AN209" i="31"/>
  <c r="AN210" i="31"/>
  <c r="AN211" i="31"/>
  <c r="AN212" i="31"/>
  <c r="AN213" i="31"/>
  <c r="AN214" i="31"/>
  <c r="AN215" i="31"/>
  <c r="AN216" i="31"/>
  <c r="AN217" i="31"/>
  <c r="AN218" i="31"/>
  <c r="AN219" i="31"/>
  <c r="AN220" i="31"/>
  <c r="AN221" i="31"/>
  <c r="AN222" i="31"/>
  <c r="AN223" i="31"/>
  <c r="AN224" i="31"/>
  <c r="AN225" i="31"/>
  <c r="AN226" i="31"/>
  <c r="AN227" i="31"/>
  <c r="AN228" i="31"/>
  <c r="AN229" i="31"/>
  <c r="AN230" i="31"/>
  <c r="AN231" i="31"/>
  <c r="AN232" i="31"/>
  <c r="AN233" i="31"/>
  <c r="AN234" i="31"/>
  <c r="AN235" i="31"/>
  <c r="AN236" i="31"/>
  <c r="AN237" i="31"/>
  <c r="AN238" i="31"/>
  <c r="AN239" i="31"/>
  <c r="AN240" i="31"/>
  <c r="AN241" i="31"/>
  <c r="AN242" i="31"/>
  <c r="AN243" i="31"/>
  <c r="AN244" i="31"/>
  <c r="AN245" i="31"/>
  <c r="AN246" i="31"/>
  <c r="AN247" i="31"/>
  <c r="AN248" i="31"/>
  <c r="AN249" i="31"/>
  <c r="AN250" i="31"/>
  <c r="AN251" i="31"/>
  <c r="AN252" i="31"/>
  <c r="AN253" i="31"/>
  <c r="AN254" i="31"/>
  <c r="AN255" i="31"/>
  <c r="AN256" i="31"/>
  <c r="AN257" i="31"/>
  <c r="AN258" i="31"/>
  <c r="AN259" i="31"/>
  <c r="AN260" i="31"/>
  <c r="AN261" i="31"/>
  <c r="AN262" i="31"/>
  <c r="AN263" i="31"/>
  <c r="AN264" i="31"/>
  <c r="AN265" i="31"/>
  <c r="AN266" i="31"/>
  <c r="AN267" i="31"/>
  <c r="AN268" i="31"/>
  <c r="AN269" i="31"/>
  <c r="AN270" i="31"/>
  <c r="AN271" i="31"/>
  <c r="AN272" i="31"/>
  <c r="AN273" i="31"/>
  <c r="AN274" i="31"/>
  <c r="AN275" i="31"/>
  <c r="AN276" i="31"/>
  <c r="AN277" i="31"/>
  <c r="AN278" i="31"/>
  <c r="AN279" i="31"/>
  <c r="AN280" i="31"/>
  <c r="AN281" i="31"/>
  <c r="AN282" i="31"/>
  <c r="AN283" i="31"/>
  <c r="AN284" i="31"/>
  <c r="AN285" i="31"/>
  <c r="AN286" i="31"/>
  <c r="AN287" i="31"/>
  <c r="AN288" i="31"/>
  <c r="AN289" i="31"/>
  <c r="AN290" i="31"/>
  <c r="AN291" i="31"/>
  <c r="AN292" i="31"/>
  <c r="AN293" i="31"/>
  <c r="AN294" i="31"/>
  <c r="AN295" i="31"/>
  <c r="AN296" i="31"/>
  <c r="AN297" i="31"/>
  <c r="AN298" i="31"/>
  <c r="AN299" i="31"/>
  <c r="AN300" i="31"/>
  <c r="AN301" i="31"/>
  <c r="AN302" i="31"/>
  <c r="AN303" i="31"/>
  <c r="AN304" i="31"/>
  <c r="AN305" i="31"/>
  <c r="AN306" i="31"/>
  <c r="AN307" i="31"/>
  <c r="AN308" i="31"/>
  <c r="AN309" i="31"/>
  <c r="AN310" i="31"/>
  <c r="AN311" i="31"/>
  <c r="AN312" i="31"/>
  <c r="AN313" i="31"/>
  <c r="AN314" i="31"/>
  <c r="AN315" i="31"/>
  <c r="AN316" i="31"/>
  <c r="AN317" i="31"/>
  <c r="AN318" i="31"/>
  <c r="AN319" i="31"/>
  <c r="AN320" i="31"/>
  <c r="AN321" i="31"/>
  <c r="AN322" i="31"/>
  <c r="AN323" i="31"/>
  <c r="AN324" i="31"/>
  <c r="AN325" i="31"/>
  <c r="AN326" i="31"/>
  <c r="AN327" i="31"/>
  <c r="AN328" i="31"/>
  <c r="AN329" i="31"/>
  <c r="AN330" i="31"/>
  <c r="AN331" i="31"/>
  <c r="AN332" i="31"/>
  <c r="AN333" i="31"/>
  <c r="AN334" i="31"/>
  <c r="AN335" i="31"/>
  <c r="AN336" i="31"/>
  <c r="AN337" i="31"/>
  <c r="AN338" i="31"/>
  <c r="AN339" i="31"/>
  <c r="AN340" i="31"/>
  <c r="AN341" i="31"/>
  <c r="AN342" i="31"/>
  <c r="AN343" i="31"/>
  <c r="AN344" i="31"/>
  <c r="AN345" i="31"/>
  <c r="AN346" i="31"/>
  <c r="AN347" i="31"/>
  <c r="AN348" i="31"/>
  <c r="AN349" i="31"/>
  <c r="AN350" i="31"/>
  <c r="AN351" i="31"/>
  <c r="AN352" i="31"/>
  <c r="AN353" i="31"/>
  <c r="AN354" i="31"/>
  <c r="AN355" i="31"/>
  <c r="AN356" i="31"/>
  <c r="AN357" i="31"/>
  <c r="AN358" i="31"/>
  <c r="AN359" i="31"/>
  <c r="AN360" i="31"/>
  <c r="AN361" i="31"/>
  <c r="AN362" i="31"/>
  <c r="AN363" i="31"/>
  <c r="AN364" i="31"/>
  <c r="AN365" i="31"/>
  <c r="AN366" i="31"/>
  <c r="AN367" i="31"/>
  <c r="AN368" i="31"/>
  <c r="AN369" i="31"/>
  <c r="AN370" i="31"/>
  <c r="AN371" i="31"/>
  <c r="AN372" i="31"/>
  <c r="AN373" i="31"/>
  <c r="AN374" i="31"/>
  <c r="AN375" i="31"/>
  <c r="AN376" i="31"/>
  <c r="AN377" i="31"/>
  <c r="AN378" i="31"/>
  <c r="AN379" i="31"/>
  <c r="AN380" i="31"/>
  <c r="AN381" i="31"/>
  <c r="AN382" i="31"/>
  <c r="AN383" i="31"/>
  <c r="AN384" i="31"/>
  <c r="AN385" i="31"/>
  <c r="AN386" i="31"/>
  <c r="AN387" i="31"/>
  <c r="AN388" i="31"/>
  <c r="AN389" i="31"/>
  <c r="AN390" i="31"/>
  <c r="AN391" i="31"/>
  <c r="AN392" i="31"/>
  <c r="AN393" i="31"/>
  <c r="AN394" i="31"/>
  <c r="AN395" i="31"/>
  <c r="AN396" i="31"/>
  <c r="AN397" i="31"/>
  <c r="AN398" i="31"/>
  <c r="AN399" i="31"/>
  <c r="AN400" i="31"/>
  <c r="AN401" i="31"/>
  <c r="AN402" i="31"/>
  <c r="AN403" i="31"/>
  <c r="AN404" i="31"/>
  <c r="AN405" i="31"/>
  <c r="AN406" i="31"/>
  <c r="AN407" i="31"/>
  <c r="AN408" i="31"/>
  <c r="AN409" i="31"/>
  <c r="AN410" i="31"/>
  <c r="AN411" i="31"/>
  <c r="AN412" i="31"/>
  <c r="AN413" i="31"/>
  <c r="AN414" i="31"/>
  <c r="AN415" i="31"/>
  <c r="AN416" i="31"/>
  <c r="AN417" i="31"/>
  <c r="AN418" i="31"/>
  <c r="AN419" i="31"/>
  <c r="AN420" i="31"/>
  <c r="AN421" i="31"/>
  <c r="AN422" i="31"/>
  <c r="AN423" i="31"/>
  <c r="AN424" i="31"/>
  <c r="AN425" i="31"/>
  <c r="AN426" i="31"/>
  <c r="AN427" i="31"/>
  <c r="AN428" i="31"/>
  <c r="AN429" i="31"/>
  <c r="AN430" i="31"/>
  <c r="AN431" i="31"/>
  <c r="AN432" i="31"/>
  <c r="AN433" i="31"/>
  <c r="AN434" i="31"/>
  <c r="AN435" i="31"/>
  <c r="AN436" i="31"/>
  <c r="AN437" i="31"/>
  <c r="AN438" i="31"/>
  <c r="AN439" i="31"/>
  <c r="AN440" i="31"/>
  <c r="AN441" i="31"/>
  <c r="AN442" i="31"/>
  <c r="AN443" i="31"/>
  <c r="AN444" i="31"/>
  <c r="AN445" i="31"/>
  <c r="AN446" i="31"/>
  <c r="AN447" i="31"/>
  <c r="AN448" i="31"/>
  <c r="AN449" i="31"/>
  <c r="AN450" i="31"/>
  <c r="AN451" i="31"/>
  <c r="AN452" i="31"/>
  <c r="AN453" i="31"/>
  <c r="AN454" i="31"/>
  <c r="AN455" i="31"/>
  <c r="AN456" i="31"/>
  <c r="AN457" i="31"/>
  <c r="AN458" i="31"/>
  <c r="AN459" i="31"/>
  <c r="AN460" i="31"/>
  <c r="AN461" i="31"/>
  <c r="AN462" i="31"/>
  <c r="AN463" i="31"/>
  <c r="AN464" i="31"/>
  <c r="AN465" i="31"/>
  <c r="AN466" i="31"/>
  <c r="AN467" i="31"/>
  <c r="AN468" i="31"/>
  <c r="AN469" i="31"/>
  <c r="AN470" i="31"/>
  <c r="AN471" i="31"/>
  <c r="AN472" i="31"/>
  <c r="AN473" i="31"/>
  <c r="AN474" i="31"/>
  <c r="AN475" i="31"/>
  <c r="AN476" i="31"/>
  <c r="AN477" i="31"/>
  <c r="AN478" i="31"/>
  <c r="AN479" i="31"/>
  <c r="AN480" i="31"/>
  <c r="AN481" i="31"/>
  <c r="AN482" i="31"/>
  <c r="AN483" i="31"/>
  <c r="AN484" i="31"/>
  <c r="AN485" i="31"/>
  <c r="AN486" i="31"/>
  <c r="AN487" i="31"/>
  <c r="AN488" i="31"/>
  <c r="AN489" i="31"/>
  <c r="AN490" i="31"/>
  <c r="AN491" i="31"/>
  <c r="AN492" i="31"/>
  <c r="AN493" i="31"/>
  <c r="AN494" i="31"/>
  <c r="AN495" i="31"/>
  <c r="AN496" i="31"/>
  <c r="AN497" i="31"/>
  <c r="AN498" i="31"/>
  <c r="AN499" i="31"/>
  <c r="AN500" i="31"/>
  <c r="AN501" i="31"/>
  <c r="AN502" i="31"/>
  <c r="AN503" i="31"/>
  <c r="AN504" i="31"/>
  <c r="AN505" i="31"/>
  <c r="AN506" i="31"/>
  <c r="AN507" i="31"/>
  <c r="AN508" i="31"/>
  <c r="AN509" i="31"/>
  <c r="AN510" i="31"/>
  <c r="AN511" i="31"/>
  <c r="AN512" i="31"/>
  <c r="AN513" i="31"/>
  <c r="AN514" i="31"/>
  <c r="AN515" i="31"/>
  <c r="AN516" i="31"/>
  <c r="AN517" i="31"/>
  <c r="AN518" i="31"/>
  <c r="AN519" i="31"/>
  <c r="AN520" i="31"/>
  <c r="AN521" i="31"/>
  <c r="AN522" i="31"/>
  <c r="AN523" i="31"/>
  <c r="AN524" i="31"/>
  <c r="AN525" i="31"/>
  <c r="AN526" i="31"/>
  <c r="AN527" i="31"/>
  <c r="AN528" i="31"/>
  <c r="AN529" i="31"/>
  <c r="AN530" i="31"/>
  <c r="AN531" i="31"/>
  <c r="AN532" i="31"/>
  <c r="AN533" i="31"/>
  <c r="AN534" i="31"/>
  <c r="AN535" i="31"/>
  <c r="AN536" i="31"/>
  <c r="AN537" i="31"/>
  <c r="AN538" i="31"/>
  <c r="AN539" i="31"/>
  <c r="AN540" i="31"/>
  <c r="AN541" i="31"/>
  <c r="AN542" i="31"/>
  <c r="AN543" i="31"/>
  <c r="AN544" i="31"/>
  <c r="AN545" i="31"/>
  <c r="AN546" i="31"/>
  <c r="AN547" i="31"/>
  <c r="AN548" i="31"/>
  <c r="AN549" i="31"/>
  <c r="AN550" i="31"/>
  <c r="AN551" i="31"/>
  <c r="AN552" i="31"/>
  <c r="AN553" i="31"/>
  <c r="AN554" i="31"/>
  <c r="AN555" i="31"/>
  <c r="AN556" i="31"/>
  <c r="AN557" i="31"/>
  <c r="AN558" i="31"/>
  <c r="AN559" i="31"/>
  <c r="AN560" i="31"/>
  <c r="AN561" i="31"/>
  <c r="AN562" i="31"/>
  <c r="AN563" i="31"/>
  <c r="AN564" i="31"/>
  <c r="AN565" i="31"/>
  <c r="AN566" i="31"/>
  <c r="AN567" i="31"/>
  <c r="AN568" i="31"/>
  <c r="AN569" i="31"/>
  <c r="AN570" i="31"/>
  <c r="AN571" i="31"/>
  <c r="AN572" i="31"/>
  <c r="AN573" i="31"/>
  <c r="AN574" i="31"/>
  <c r="AN575" i="31"/>
  <c r="AN576" i="31"/>
  <c r="AN577" i="31"/>
  <c r="AN578" i="31"/>
  <c r="AN579" i="31"/>
  <c r="AN580" i="31"/>
  <c r="AN581" i="31"/>
  <c r="AN582" i="31"/>
  <c r="AN583" i="31"/>
  <c r="AN584" i="31"/>
  <c r="AN585" i="31"/>
  <c r="AN586" i="31"/>
  <c r="AN587" i="31"/>
  <c r="AN588" i="31"/>
  <c r="AN589" i="31"/>
  <c r="AN590" i="31"/>
  <c r="AN591" i="31"/>
  <c r="AN592" i="31"/>
  <c r="AN593" i="31"/>
  <c r="AN594" i="31"/>
  <c r="AN595" i="31"/>
  <c r="AN596" i="31"/>
  <c r="AN597" i="31"/>
  <c r="AN598" i="31"/>
  <c r="AN599" i="31"/>
  <c r="AN600" i="31"/>
  <c r="AN601" i="31"/>
  <c r="AN602" i="31"/>
  <c r="AN603" i="31"/>
  <c r="AN604" i="31"/>
  <c r="AN605" i="31"/>
  <c r="AN606" i="31"/>
  <c r="AN607" i="31"/>
  <c r="AN608" i="31"/>
  <c r="AN609" i="31"/>
  <c r="AN610" i="31"/>
  <c r="AN611" i="31"/>
  <c r="AN612" i="31"/>
  <c r="AN613" i="31"/>
  <c r="AN614" i="31"/>
  <c r="AN615" i="31"/>
  <c r="AN616" i="31"/>
  <c r="AN617" i="31"/>
  <c r="AN618" i="31"/>
  <c r="AN619" i="31"/>
  <c r="AN620" i="31"/>
  <c r="AN621" i="31"/>
  <c r="AN622" i="31"/>
  <c r="AN623" i="31"/>
  <c r="AN624" i="31"/>
  <c r="AN625" i="31"/>
  <c r="AN626" i="31"/>
  <c r="AN627" i="31"/>
  <c r="AN628" i="31"/>
  <c r="AN629" i="31"/>
  <c r="AN630" i="31"/>
  <c r="AN631" i="31"/>
  <c r="AN632" i="31"/>
  <c r="AN633" i="31"/>
  <c r="AN634" i="31"/>
  <c r="AN635" i="31"/>
  <c r="AN636" i="31"/>
  <c r="AN637" i="31"/>
  <c r="AN638" i="31"/>
  <c r="AN639" i="31"/>
  <c r="AN640" i="31"/>
  <c r="AN641" i="31"/>
  <c r="AN642" i="31"/>
  <c r="AN643" i="31"/>
  <c r="AN644" i="31"/>
  <c r="AN645" i="31"/>
  <c r="AN646" i="31"/>
  <c r="AN647" i="31"/>
  <c r="AN648" i="31"/>
  <c r="AN649" i="31"/>
  <c r="AN650" i="31"/>
  <c r="AN651" i="31"/>
  <c r="AN652" i="31"/>
  <c r="AN653" i="31"/>
  <c r="AN654" i="31"/>
  <c r="AN655" i="31"/>
  <c r="AN656" i="31"/>
  <c r="AN657" i="31"/>
  <c r="AN658" i="31"/>
  <c r="AN659" i="31"/>
  <c r="AN660" i="31"/>
  <c r="AN661" i="31"/>
  <c r="AN662" i="31"/>
  <c r="AN663" i="31"/>
  <c r="AN664" i="31"/>
  <c r="AN665" i="31"/>
  <c r="AN666" i="31"/>
  <c r="AN667" i="31"/>
  <c r="AN668" i="31"/>
  <c r="AN669" i="31"/>
  <c r="AN670" i="31"/>
  <c r="AN671" i="31"/>
  <c r="AN672" i="31"/>
  <c r="AN673" i="31"/>
  <c r="AN674" i="31"/>
  <c r="AN675" i="31"/>
  <c r="AN676" i="31"/>
  <c r="AN677" i="31"/>
  <c r="AN678" i="31"/>
  <c r="AN679" i="31"/>
  <c r="AN680" i="31"/>
  <c r="AN681" i="31"/>
  <c r="AN682" i="31"/>
  <c r="AN683" i="31"/>
  <c r="AN684" i="31"/>
  <c r="AN685" i="31"/>
  <c r="AN686" i="31"/>
  <c r="AN687" i="31"/>
  <c r="AN688" i="31"/>
  <c r="AN689" i="31"/>
  <c r="AN690" i="31"/>
  <c r="AN691" i="31"/>
  <c r="AN692" i="31"/>
  <c r="AN693" i="31"/>
  <c r="AN694" i="31"/>
  <c r="AN695" i="31"/>
  <c r="AN696" i="31"/>
  <c r="AN697" i="31"/>
  <c r="AN698" i="31"/>
  <c r="AN699" i="31"/>
  <c r="AN700" i="31"/>
  <c r="AN701" i="31"/>
  <c r="AN702" i="31"/>
  <c r="AN703" i="31"/>
  <c r="AN704" i="31"/>
  <c r="AN705" i="31"/>
  <c r="AN706" i="31"/>
  <c r="AN707" i="31"/>
  <c r="AN708" i="31"/>
  <c r="AN709" i="31"/>
  <c r="AN710" i="31"/>
  <c r="AN711" i="31"/>
  <c r="AN712" i="31"/>
  <c r="AN713" i="31"/>
  <c r="AN714" i="31"/>
  <c r="AN715" i="31"/>
  <c r="AO6" i="31"/>
  <c r="AO7" i="31"/>
  <c r="AO8" i="31"/>
  <c r="AO9" i="31"/>
  <c r="AO10" i="31"/>
  <c r="AO11" i="31"/>
  <c r="AO12" i="31"/>
  <c r="AO13" i="31"/>
  <c r="AO14" i="31"/>
  <c r="AO15" i="31"/>
  <c r="AO16" i="31"/>
  <c r="AO17" i="31"/>
  <c r="AO18" i="31"/>
  <c r="AO19" i="31"/>
  <c r="AO20" i="31"/>
  <c r="AO21" i="31"/>
  <c r="AO22" i="31"/>
  <c r="AO23" i="31"/>
  <c r="AO24" i="31"/>
  <c r="AO25" i="31"/>
  <c r="AO26" i="31"/>
  <c r="AO27" i="31"/>
  <c r="AO28" i="31"/>
  <c r="AO29" i="31"/>
  <c r="AO30" i="31"/>
  <c r="AO31" i="31"/>
  <c r="AO32" i="31"/>
  <c r="AO33" i="31"/>
  <c r="AO34" i="31"/>
  <c r="AO35" i="31"/>
  <c r="AO36" i="31"/>
  <c r="AO37" i="31"/>
  <c r="AO38" i="31"/>
  <c r="AO39" i="31"/>
  <c r="AO40" i="31"/>
  <c r="AO41" i="31"/>
  <c r="AO42" i="31"/>
  <c r="AO43" i="31"/>
  <c r="AO44" i="31"/>
  <c r="AO45" i="31"/>
  <c r="AO46" i="31"/>
  <c r="AO47" i="31"/>
  <c r="AO48" i="31"/>
  <c r="AO49" i="31"/>
  <c r="AO50" i="31"/>
  <c r="AO51" i="31"/>
  <c r="AO52" i="31"/>
  <c r="AO53" i="31"/>
  <c r="AO54" i="31"/>
  <c r="AO55" i="31"/>
  <c r="AO56" i="31"/>
  <c r="AO57" i="31"/>
  <c r="AO58" i="31"/>
  <c r="AO59" i="31"/>
  <c r="AO60" i="31"/>
  <c r="AO61" i="31"/>
  <c r="AO62" i="31"/>
  <c r="AO63" i="31"/>
  <c r="AO64" i="31"/>
  <c r="AO65" i="31"/>
  <c r="AO66" i="31"/>
  <c r="AO67" i="31"/>
  <c r="AO68" i="31"/>
  <c r="AO69" i="31"/>
  <c r="AO70" i="31"/>
  <c r="AO71" i="31"/>
  <c r="AO72" i="31"/>
  <c r="AO73" i="31"/>
  <c r="AO74" i="31"/>
  <c r="AO75" i="31"/>
  <c r="AO76" i="31"/>
  <c r="AO77" i="31"/>
  <c r="AO78" i="31"/>
  <c r="AO79" i="31"/>
  <c r="AO80" i="31"/>
  <c r="AO81" i="31"/>
  <c r="AO82" i="31"/>
  <c r="AO83" i="31"/>
  <c r="AO84" i="31"/>
  <c r="AO85" i="31"/>
  <c r="AO86" i="31"/>
  <c r="AO87" i="31"/>
  <c r="AO88" i="31"/>
  <c r="AO89" i="31"/>
  <c r="AO90" i="31"/>
  <c r="AO91" i="31"/>
  <c r="AO92" i="31"/>
  <c r="AO93" i="31"/>
  <c r="AO94" i="31"/>
  <c r="AO95" i="31"/>
  <c r="AO96" i="31"/>
  <c r="AO97" i="31"/>
  <c r="AO98" i="31"/>
  <c r="AO99" i="31"/>
  <c r="AO100" i="31"/>
  <c r="AO101" i="31"/>
  <c r="AO102" i="31"/>
  <c r="AO103" i="31"/>
  <c r="AO104" i="31"/>
  <c r="AO105" i="31"/>
  <c r="AO106" i="31"/>
  <c r="AO107" i="31"/>
  <c r="AO108" i="31"/>
  <c r="AO109" i="31"/>
  <c r="AO110" i="31"/>
  <c r="AO111" i="31"/>
  <c r="AO112" i="31"/>
  <c r="AO113" i="31"/>
  <c r="AO114" i="31"/>
  <c r="AO115" i="31"/>
  <c r="AO116" i="31"/>
  <c r="AO117" i="31"/>
  <c r="AO118" i="31"/>
  <c r="AO119" i="31"/>
  <c r="AO120" i="31"/>
  <c r="AO121" i="31"/>
  <c r="AO122" i="31"/>
  <c r="AO123" i="31"/>
  <c r="AO124" i="31"/>
  <c r="AO125" i="31"/>
  <c r="AO126" i="31"/>
  <c r="AO127" i="31"/>
  <c r="AO128" i="31"/>
  <c r="AO129" i="31"/>
  <c r="AO130" i="31"/>
  <c r="AO131" i="31"/>
  <c r="AO132" i="31"/>
  <c r="AO133" i="31"/>
  <c r="AO134" i="31"/>
  <c r="AO135" i="31"/>
  <c r="AO136" i="31"/>
  <c r="AO137" i="31"/>
  <c r="AO138" i="31"/>
  <c r="AO139" i="31"/>
  <c r="AO140" i="31"/>
  <c r="AO141" i="31"/>
  <c r="AO142" i="31"/>
  <c r="AO143" i="31"/>
  <c r="AO144" i="31"/>
  <c r="AO145" i="31"/>
  <c r="AO146" i="31"/>
  <c r="AO147" i="31"/>
  <c r="AO148" i="31"/>
  <c r="AO149" i="31"/>
  <c r="AO150" i="31"/>
  <c r="AO151" i="31"/>
  <c r="AO152" i="31"/>
  <c r="AO153" i="31"/>
  <c r="AO154" i="31"/>
  <c r="AO155" i="31"/>
  <c r="AO156" i="31"/>
  <c r="AO157" i="31"/>
  <c r="AO158" i="31"/>
  <c r="AO159" i="31"/>
  <c r="AO160" i="31"/>
  <c r="AO161" i="31"/>
  <c r="AO162" i="31"/>
  <c r="AO163" i="31"/>
  <c r="AO164" i="31"/>
  <c r="AO165" i="31"/>
  <c r="AO166" i="31"/>
  <c r="AO167" i="31"/>
  <c r="AO168" i="31"/>
  <c r="AO169" i="31"/>
  <c r="AO170" i="31"/>
  <c r="AO171" i="31"/>
  <c r="AO172" i="31"/>
  <c r="AO173" i="31"/>
  <c r="AO174" i="31"/>
  <c r="AO175" i="31"/>
  <c r="AO176" i="31"/>
  <c r="AO177" i="31"/>
  <c r="AO178" i="31"/>
  <c r="AO179" i="31"/>
  <c r="AO180" i="31"/>
  <c r="AO181" i="31"/>
  <c r="AO182" i="31"/>
  <c r="AO183" i="31"/>
  <c r="AO184" i="31"/>
  <c r="AO185" i="31"/>
  <c r="AO186" i="31"/>
  <c r="AO187" i="31"/>
  <c r="AO188" i="31"/>
  <c r="AO189" i="31"/>
  <c r="AO190" i="31"/>
  <c r="AO191" i="31"/>
  <c r="AO192" i="31"/>
  <c r="AO193" i="31"/>
  <c r="AO194" i="31"/>
  <c r="AO195" i="31"/>
  <c r="AO196" i="31"/>
  <c r="AO197" i="31"/>
  <c r="AO198" i="31"/>
  <c r="AO199" i="31"/>
  <c r="AO200" i="31"/>
  <c r="AO201" i="31"/>
  <c r="AO202" i="31"/>
  <c r="AO203" i="31"/>
  <c r="AO204" i="31"/>
  <c r="AO205" i="31"/>
  <c r="AO206" i="31"/>
  <c r="AO207" i="31"/>
  <c r="AO208" i="31"/>
  <c r="AO209" i="31"/>
  <c r="AO210" i="31"/>
  <c r="AO211" i="31"/>
  <c r="AO212" i="31"/>
  <c r="AO213" i="31"/>
  <c r="AO214" i="31"/>
  <c r="AO215" i="31"/>
  <c r="AO216" i="31"/>
  <c r="AO217" i="31"/>
  <c r="AO218" i="31"/>
  <c r="AO219" i="31"/>
  <c r="AO220" i="31"/>
  <c r="AO221" i="31"/>
  <c r="AO222" i="31"/>
  <c r="AO223" i="31"/>
  <c r="AO224" i="31"/>
  <c r="AO225" i="31"/>
  <c r="AO226" i="31"/>
  <c r="AO227" i="31"/>
  <c r="AO228" i="31"/>
  <c r="AO229" i="31"/>
  <c r="AO230" i="31"/>
  <c r="AO231" i="31"/>
  <c r="AO232" i="31"/>
  <c r="AO233" i="31"/>
  <c r="AO234" i="31"/>
  <c r="AO235" i="31"/>
  <c r="AO236" i="31"/>
  <c r="AO237" i="31"/>
  <c r="AO238" i="31"/>
  <c r="AO239" i="31"/>
  <c r="AO240" i="31"/>
  <c r="AO241" i="31"/>
  <c r="AO242" i="31"/>
  <c r="AO243" i="31"/>
  <c r="AO244" i="31"/>
  <c r="AO245" i="31"/>
  <c r="AO246" i="31"/>
  <c r="AO247" i="31"/>
  <c r="AO248" i="31"/>
  <c r="AO249" i="31"/>
  <c r="AO250" i="31"/>
  <c r="AO251" i="31"/>
  <c r="AO252" i="31"/>
  <c r="AO253" i="31"/>
  <c r="AO254" i="31"/>
  <c r="AO255" i="31"/>
  <c r="AO256" i="31"/>
  <c r="AO257" i="31"/>
  <c r="AO258" i="31"/>
  <c r="AO259" i="31"/>
  <c r="AO260" i="31"/>
  <c r="AO261" i="31"/>
  <c r="AO262" i="31"/>
  <c r="AO263" i="31"/>
  <c r="AO264" i="31"/>
  <c r="AO265" i="31"/>
  <c r="AO266" i="31"/>
  <c r="AO267" i="31"/>
  <c r="AO268" i="31"/>
  <c r="AO269" i="31"/>
  <c r="AO270" i="31"/>
  <c r="AO271" i="31"/>
  <c r="AO272" i="31"/>
  <c r="AO273" i="31"/>
  <c r="AO274" i="31"/>
  <c r="AO275" i="31"/>
  <c r="AO276" i="31"/>
  <c r="AO277" i="31"/>
  <c r="AO278" i="31"/>
  <c r="AO279" i="31"/>
  <c r="AO280" i="31"/>
  <c r="AO281" i="31"/>
  <c r="AO282" i="31"/>
  <c r="AO283" i="31"/>
  <c r="AO284" i="31"/>
  <c r="AO285" i="31"/>
  <c r="AO286" i="31"/>
  <c r="AO287" i="31"/>
  <c r="AO288" i="31"/>
  <c r="AO289" i="31"/>
  <c r="AO290" i="31"/>
  <c r="AO291" i="31"/>
  <c r="AO292" i="31"/>
  <c r="AO293" i="31"/>
  <c r="AO294" i="31"/>
  <c r="AO295" i="31"/>
  <c r="AO296" i="31"/>
  <c r="AO297" i="31"/>
  <c r="AO298" i="31"/>
  <c r="AO299" i="31"/>
  <c r="AO300" i="31"/>
  <c r="AO301" i="31"/>
  <c r="AO302" i="31"/>
  <c r="AO303" i="31"/>
  <c r="AO304" i="31"/>
  <c r="AO305" i="31"/>
  <c r="AO306" i="31"/>
  <c r="AO307" i="31"/>
  <c r="AO308" i="31"/>
  <c r="AO309" i="31"/>
  <c r="AO310" i="31"/>
  <c r="AO311" i="31"/>
  <c r="AO312" i="31"/>
  <c r="AO313" i="31"/>
  <c r="AO314" i="31"/>
  <c r="AO315" i="31"/>
  <c r="AO316" i="31"/>
  <c r="AO317" i="31"/>
  <c r="AO318" i="31"/>
  <c r="AO319" i="31"/>
  <c r="AO320" i="31"/>
  <c r="AO321" i="31"/>
  <c r="AO322" i="31"/>
  <c r="AO323" i="31"/>
  <c r="AO324" i="31"/>
  <c r="AO325" i="31"/>
  <c r="AO326" i="31"/>
  <c r="AO327" i="31"/>
  <c r="AO328" i="31"/>
  <c r="AO329" i="31"/>
  <c r="AO330" i="31"/>
  <c r="AO331" i="31"/>
  <c r="AO332" i="31"/>
  <c r="AO333" i="31"/>
  <c r="AO334" i="31"/>
  <c r="AO335" i="31"/>
  <c r="AO336" i="31"/>
  <c r="AO337" i="31"/>
  <c r="AO338" i="31"/>
  <c r="AO339" i="31"/>
  <c r="AO340" i="31"/>
  <c r="AO341" i="31"/>
  <c r="AO342" i="31"/>
  <c r="AO343" i="31"/>
  <c r="AO344" i="31"/>
  <c r="AO345" i="31"/>
  <c r="AO346" i="31"/>
  <c r="AO347" i="31"/>
  <c r="AO348" i="31"/>
  <c r="AO349" i="31"/>
  <c r="AO350" i="31"/>
  <c r="AO351" i="31"/>
  <c r="AO352" i="31"/>
  <c r="AO353" i="31"/>
  <c r="AO354" i="31"/>
  <c r="AO355" i="31"/>
  <c r="AO356" i="31"/>
  <c r="AO357" i="31"/>
  <c r="AO358" i="31"/>
  <c r="AO359" i="31"/>
  <c r="AO360" i="31"/>
  <c r="AO361" i="31"/>
  <c r="AO362" i="31"/>
  <c r="AO363" i="31"/>
  <c r="AO364" i="31"/>
  <c r="AO365" i="31"/>
  <c r="AO366" i="31"/>
  <c r="AO367" i="31"/>
  <c r="AO368" i="31"/>
  <c r="AO369" i="31"/>
  <c r="AO370" i="31"/>
  <c r="AO371" i="31"/>
  <c r="AO372" i="31"/>
  <c r="AO373" i="31"/>
  <c r="AO374" i="31"/>
  <c r="AO375" i="31"/>
  <c r="AO376" i="31"/>
  <c r="AO377" i="31"/>
  <c r="AO378" i="31"/>
  <c r="AO379" i="31"/>
  <c r="AO380" i="31"/>
  <c r="AO381" i="31"/>
  <c r="AO382" i="31"/>
  <c r="AO383" i="31"/>
  <c r="AO384" i="31"/>
  <c r="AO385" i="31"/>
  <c r="AO386" i="31"/>
  <c r="AO387" i="31"/>
  <c r="AO388" i="31"/>
  <c r="AO389" i="31"/>
  <c r="AO390" i="31"/>
  <c r="AO391" i="31"/>
  <c r="AO392" i="31"/>
  <c r="AO393" i="31"/>
  <c r="AO394" i="31"/>
  <c r="AO395" i="31"/>
  <c r="AO396" i="31"/>
  <c r="AO397" i="31"/>
  <c r="AO398" i="31"/>
  <c r="AO399" i="31"/>
  <c r="AO400" i="31"/>
  <c r="AO401" i="31"/>
  <c r="AO402" i="31"/>
  <c r="AO403" i="31"/>
  <c r="AO404" i="31"/>
  <c r="AO405" i="31"/>
  <c r="AO406" i="31"/>
  <c r="AO407" i="31"/>
  <c r="AO408" i="31"/>
  <c r="AO409" i="31"/>
  <c r="AO410" i="31"/>
  <c r="AO411" i="31"/>
  <c r="AO412" i="31"/>
  <c r="AO413" i="31"/>
  <c r="AO414" i="31"/>
  <c r="AO415" i="31"/>
  <c r="AO416" i="31"/>
  <c r="AO417" i="31"/>
  <c r="AO418" i="31"/>
  <c r="AO419" i="31"/>
  <c r="AO420" i="31"/>
  <c r="AO421" i="31"/>
  <c r="AO422" i="31"/>
  <c r="AO423" i="31"/>
  <c r="AO424" i="31"/>
  <c r="AO425" i="31"/>
  <c r="AO426" i="31"/>
  <c r="AO427" i="31"/>
  <c r="AO428" i="31"/>
  <c r="AO429" i="31"/>
  <c r="AO430" i="31"/>
  <c r="AO431" i="31"/>
  <c r="AO432" i="31"/>
  <c r="AO433" i="31"/>
  <c r="AO434" i="31"/>
  <c r="AO435" i="31"/>
  <c r="AO436" i="31"/>
  <c r="AO437" i="31"/>
  <c r="AO438" i="31"/>
  <c r="AO439" i="31"/>
  <c r="AO440" i="31"/>
  <c r="AO441" i="31"/>
  <c r="AO442" i="31"/>
  <c r="AO443" i="31"/>
  <c r="AO444" i="31"/>
  <c r="AO445" i="31"/>
  <c r="AO446" i="31"/>
  <c r="AO447" i="31"/>
  <c r="AO448" i="31"/>
  <c r="AO449" i="31"/>
  <c r="AO450" i="31"/>
  <c r="AO451" i="31"/>
  <c r="AO452" i="31"/>
  <c r="AO453" i="31"/>
  <c r="AO454" i="31"/>
  <c r="AO455" i="31"/>
  <c r="AO456" i="31"/>
  <c r="AO457" i="31"/>
  <c r="AO458" i="31"/>
  <c r="AO459" i="31"/>
  <c r="AO460" i="31"/>
  <c r="AO461" i="31"/>
  <c r="AO462" i="31"/>
  <c r="AO463" i="31"/>
  <c r="AO464" i="31"/>
  <c r="AO465" i="31"/>
  <c r="AO466" i="31"/>
  <c r="AO467" i="31"/>
  <c r="AO468" i="31"/>
  <c r="AO469" i="31"/>
  <c r="AO470" i="31"/>
  <c r="AO471" i="31"/>
  <c r="AO472" i="31"/>
  <c r="AO473" i="31"/>
  <c r="AO474" i="31"/>
  <c r="AO475" i="31"/>
  <c r="AO476" i="31"/>
  <c r="AO477" i="31"/>
  <c r="AO478" i="31"/>
  <c r="AO479" i="31"/>
  <c r="AO480" i="31"/>
  <c r="AO481" i="31"/>
  <c r="AO482" i="31"/>
  <c r="AO483" i="31"/>
  <c r="AO484" i="31"/>
  <c r="AO485" i="31"/>
  <c r="AO486" i="31"/>
  <c r="AO487" i="31"/>
  <c r="AO488" i="31"/>
  <c r="AO489" i="31"/>
  <c r="AO490" i="31"/>
  <c r="AO491" i="31"/>
  <c r="AO492" i="31"/>
  <c r="AO493" i="31"/>
  <c r="AO494" i="31"/>
  <c r="AO495" i="31"/>
  <c r="AO496" i="31"/>
  <c r="AO497" i="31"/>
  <c r="AO498" i="31"/>
  <c r="AO499" i="31"/>
  <c r="AO500" i="31"/>
  <c r="AO501" i="31"/>
  <c r="AO502" i="31"/>
  <c r="AO503" i="31"/>
  <c r="AO504" i="31"/>
  <c r="AO505" i="31"/>
  <c r="AO506" i="31"/>
  <c r="AO507" i="31"/>
  <c r="AO508" i="31"/>
  <c r="AO509" i="31"/>
  <c r="AO510" i="31"/>
  <c r="AO511" i="31"/>
  <c r="AO512" i="31"/>
  <c r="AO513" i="31"/>
  <c r="AO514" i="31"/>
  <c r="AO515" i="31"/>
  <c r="AO516" i="31"/>
  <c r="AO517" i="31"/>
  <c r="AO518" i="31"/>
  <c r="AO519" i="31"/>
  <c r="AO520" i="31"/>
  <c r="AO521" i="31"/>
  <c r="AO522" i="31"/>
  <c r="AO523" i="31"/>
  <c r="AO524" i="31"/>
  <c r="AO525" i="31"/>
  <c r="AO526" i="31"/>
  <c r="AO527" i="31"/>
  <c r="AO528" i="31"/>
  <c r="AO529" i="31"/>
  <c r="AO530" i="31"/>
  <c r="AO531" i="31"/>
  <c r="AO532" i="31"/>
  <c r="AO533" i="31"/>
  <c r="AO534" i="31"/>
  <c r="AO535" i="31"/>
  <c r="AO536" i="31"/>
  <c r="AO537" i="31"/>
  <c r="AO538" i="31"/>
  <c r="AO539" i="31"/>
  <c r="AO540" i="31"/>
  <c r="AO541" i="31"/>
  <c r="AO542" i="31"/>
  <c r="AO543" i="31"/>
  <c r="AO544" i="31"/>
  <c r="AO545" i="31"/>
  <c r="AO546" i="31"/>
  <c r="AO547" i="31"/>
  <c r="AO548" i="31"/>
  <c r="AO549" i="31"/>
  <c r="AO550" i="31"/>
  <c r="AO551" i="31"/>
  <c r="AO552" i="31"/>
  <c r="AO553" i="31"/>
  <c r="AO554" i="31"/>
  <c r="AO555" i="31"/>
  <c r="AO556" i="31"/>
  <c r="AO557" i="31"/>
  <c r="AO558" i="31"/>
  <c r="AO559" i="31"/>
  <c r="AO560" i="31"/>
  <c r="AO561" i="31"/>
  <c r="AO562" i="31"/>
  <c r="AO563" i="31"/>
  <c r="AO564" i="31"/>
  <c r="AO565" i="31"/>
  <c r="AO566" i="31"/>
  <c r="AO567" i="31"/>
  <c r="AO568" i="31"/>
  <c r="AO569" i="31"/>
  <c r="AO570" i="31"/>
  <c r="AO571" i="31"/>
  <c r="AO572" i="31"/>
  <c r="AO573" i="31"/>
  <c r="AO574" i="31"/>
  <c r="AO575" i="31"/>
  <c r="AO576" i="31"/>
  <c r="AO577" i="31"/>
  <c r="AO578" i="31"/>
  <c r="AO579" i="31"/>
  <c r="AO580" i="31"/>
  <c r="AO581" i="31"/>
  <c r="AO582" i="31"/>
  <c r="AO583" i="31"/>
  <c r="AO584" i="31"/>
  <c r="AO585" i="31"/>
  <c r="AO586" i="31"/>
  <c r="AO587" i="31"/>
  <c r="AO588" i="31"/>
  <c r="AO589" i="31"/>
  <c r="AO590" i="31"/>
  <c r="AO591" i="31"/>
  <c r="AO592" i="31"/>
  <c r="AO593" i="31"/>
  <c r="AO594" i="31"/>
  <c r="AO595" i="31"/>
  <c r="AO596" i="31"/>
  <c r="AO597" i="31"/>
  <c r="AO598" i="31"/>
  <c r="AO599" i="31"/>
  <c r="AO600" i="31"/>
  <c r="AO601" i="31"/>
  <c r="AO602" i="31"/>
  <c r="AO603" i="31"/>
  <c r="AO604" i="31"/>
  <c r="AO605" i="31"/>
  <c r="AO606" i="31"/>
  <c r="AO607" i="31"/>
  <c r="AO608" i="31"/>
  <c r="AO609" i="31"/>
  <c r="AO610" i="31"/>
  <c r="AO611" i="31"/>
  <c r="AO612" i="31"/>
  <c r="AO613" i="31"/>
  <c r="AO614" i="31"/>
  <c r="AO615" i="31"/>
  <c r="AO616" i="31"/>
  <c r="AO617" i="31"/>
  <c r="AO618" i="31"/>
  <c r="AO619" i="31"/>
  <c r="AO620" i="31"/>
  <c r="AO621" i="31"/>
  <c r="AO622" i="31"/>
  <c r="AO623" i="31"/>
  <c r="AO624" i="31"/>
  <c r="AO625" i="31"/>
  <c r="AO626" i="31"/>
  <c r="AO627" i="31"/>
  <c r="AO628" i="31"/>
  <c r="AO629" i="31"/>
  <c r="AO630" i="31"/>
  <c r="AO631" i="31"/>
  <c r="AO632" i="31"/>
  <c r="AO633" i="31"/>
  <c r="AO634" i="31"/>
  <c r="AO635" i="31"/>
  <c r="AO636" i="31"/>
  <c r="AO637" i="31"/>
  <c r="AO638" i="31"/>
  <c r="AO639" i="31"/>
  <c r="AO640" i="31"/>
  <c r="AO641" i="31"/>
  <c r="AO642" i="31"/>
  <c r="AO643" i="31"/>
  <c r="AO644" i="31"/>
  <c r="AO645" i="31"/>
  <c r="AO646" i="31"/>
  <c r="AO647" i="31"/>
  <c r="AO648" i="31"/>
  <c r="AO649" i="31"/>
  <c r="AO650" i="31"/>
  <c r="AO651" i="31"/>
  <c r="AO652" i="31"/>
  <c r="AO653" i="31"/>
  <c r="AO654" i="31"/>
  <c r="AO655" i="31"/>
  <c r="AO656" i="31"/>
  <c r="AO657" i="31"/>
  <c r="AO658" i="31"/>
  <c r="AO659" i="31"/>
  <c r="AO660" i="31"/>
  <c r="AO661" i="31"/>
  <c r="AO662" i="31"/>
  <c r="AO663" i="31"/>
  <c r="AO664" i="31"/>
  <c r="AO665" i="31"/>
  <c r="AO666" i="31"/>
  <c r="AO667" i="31"/>
  <c r="AO668" i="31"/>
  <c r="AO669" i="31"/>
  <c r="AO670" i="31"/>
  <c r="AO671" i="31"/>
  <c r="AO672" i="31"/>
  <c r="AO673" i="31"/>
  <c r="AO674" i="31"/>
  <c r="AO675" i="31"/>
  <c r="AO676" i="31"/>
  <c r="AO677" i="31"/>
  <c r="AO678" i="31"/>
  <c r="AO679" i="31"/>
  <c r="AO680" i="31"/>
  <c r="AO681" i="31"/>
  <c r="AO682" i="31"/>
  <c r="AO683" i="31"/>
  <c r="AO684" i="31"/>
  <c r="AO685" i="31"/>
  <c r="AO686" i="31"/>
  <c r="AO687" i="31"/>
  <c r="AO688" i="31"/>
  <c r="AO689" i="31"/>
  <c r="AO690" i="31"/>
  <c r="AO691" i="31"/>
  <c r="AO692" i="31"/>
  <c r="AO693" i="31"/>
  <c r="AO694" i="31"/>
  <c r="AO695" i="31"/>
  <c r="AO696" i="31"/>
  <c r="AO697" i="31"/>
  <c r="AO698" i="31"/>
  <c r="AO699" i="31"/>
  <c r="AO700" i="31"/>
  <c r="AO701" i="31"/>
  <c r="AO702" i="31"/>
  <c r="AO703" i="31"/>
  <c r="AO704" i="31"/>
  <c r="AO705" i="31"/>
  <c r="AO706" i="31"/>
  <c r="AO707" i="31"/>
  <c r="AO708" i="31"/>
  <c r="AO709" i="31"/>
  <c r="AO710" i="31"/>
  <c r="AO711" i="31"/>
  <c r="AO712" i="31"/>
  <c r="AO713" i="31"/>
  <c r="AO714" i="31"/>
  <c r="AO715" i="31"/>
  <c r="AM3" i="31"/>
  <c r="E94" i="80"/>
  <c r="AH6" i="31"/>
  <c r="AH7" i="31"/>
  <c r="AH8" i="31"/>
  <c r="AH9" i="31"/>
  <c r="AH10" i="31"/>
  <c r="AH11" i="31"/>
  <c r="AH12" i="31"/>
  <c r="AH13" i="31"/>
  <c r="AH14" i="31"/>
  <c r="AH15" i="31"/>
  <c r="AH16" i="31"/>
  <c r="AH17" i="31"/>
  <c r="AH18" i="31"/>
  <c r="AH19" i="31"/>
  <c r="AH20" i="31"/>
  <c r="AH21" i="31"/>
  <c r="AH22" i="31"/>
  <c r="AH23" i="31"/>
  <c r="AH24" i="31"/>
  <c r="AH25" i="31"/>
  <c r="AH26" i="31"/>
  <c r="AH27" i="31"/>
  <c r="AH28" i="31"/>
  <c r="AH29" i="31"/>
  <c r="AH30" i="31"/>
  <c r="AH31" i="31"/>
  <c r="AH32" i="31"/>
  <c r="AH33" i="31"/>
  <c r="AH34" i="31"/>
  <c r="AH35" i="31"/>
  <c r="AH320" i="31"/>
  <c r="AH321" i="31"/>
  <c r="AH322" i="31"/>
  <c r="AH323" i="31"/>
  <c r="AH324" i="31"/>
  <c r="AH325" i="31"/>
  <c r="AH326" i="31"/>
  <c r="AH327" i="31"/>
  <c r="AH328" i="31"/>
  <c r="AH329" i="31"/>
  <c r="AH330" i="31"/>
  <c r="AH331" i="31"/>
  <c r="AH332" i="31"/>
  <c r="AH333" i="31"/>
  <c r="AH334" i="31"/>
  <c r="AH335" i="31"/>
  <c r="AH336" i="31"/>
  <c r="AH337" i="31"/>
  <c r="AH338" i="31"/>
  <c r="AH339" i="31"/>
  <c r="AH340" i="31"/>
  <c r="AH341" i="31"/>
  <c r="AH342" i="31"/>
  <c r="AH343" i="31"/>
  <c r="AH344" i="31"/>
  <c r="AH345" i="31"/>
  <c r="AH346" i="31"/>
  <c r="AH347" i="31"/>
  <c r="AH348" i="31"/>
  <c r="AH349" i="31"/>
  <c r="AH350" i="31"/>
  <c r="AH351" i="31"/>
  <c r="AH352" i="31"/>
  <c r="AH353" i="31"/>
  <c r="AH354" i="31"/>
  <c r="AH355" i="31"/>
  <c r="AH356" i="31"/>
  <c r="AH357" i="31"/>
  <c r="AH358" i="31"/>
  <c r="AH359" i="31"/>
  <c r="AH360" i="31"/>
  <c r="AH361" i="31"/>
  <c r="AH362" i="31"/>
  <c r="AH363" i="31"/>
  <c r="AH364" i="31"/>
  <c r="AH365" i="31"/>
  <c r="AH366" i="31"/>
  <c r="AH367" i="31"/>
  <c r="AH368" i="31"/>
  <c r="AH369" i="31"/>
  <c r="AH370" i="31"/>
  <c r="AH371" i="31"/>
  <c r="AH372" i="31"/>
  <c r="AH373" i="31"/>
  <c r="AH374" i="31"/>
  <c r="AH375" i="31"/>
  <c r="AH376" i="31"/>
  <c r="AH377" i="31"/>
  <c r="AH378" i="31"/>
  <c r="AH379" i="31"/>
  <c r="AH380" i="31"/>
  <c r="AH381" i="31"/>
  <c r="AH382" i="31"/>
  <c r="AH383" i="31"/>
  <c r="AH384" i="31"/>
  <c r="AH385" i="31"/>
  <c r="AH386" i="31"/>
  <c r="AH387" i="31"/>
  <c r="AH388" i="31"/>
  <c r="AH389" i="31"/>
  <c r="AH390" i="31"/>
  <c r="AH391" i="31"/>
  <c r="AH392" i="31"/>
  <c r="AH393" i="31"/>
  <c r="AH394" i="31"/>
  <c r="AH395" i="31"/>
  <c r="AH396" i="31"/>
  <c r="AH397" i="31"/>
  <c r="AH398" i="31"/>
  <c r="AH399" i="31"/>
  <c r="AH400" i="31"/>
  <c r="AH401" i="31"/>
  <c r="AH402" i="31"/>
  <c r="AH403" i="31"/>
  <c r="AH404" i="31"/>
  <c r="AH405" i="31"/>
  <c r="AH406" i="31"/>
  <c r="AH407" i="31"/>
  <c r="AH408" i="31"/>
  <c r="AH409" i="31"/>
  <c r="AH410" i="31"/>
  <c r="AH411" i="31"/>
  <c r="AH412" i="31"/>
  <c r="AH413" i="31"/>
  <c r="AH414" i="31"/>
  <c r="AH415" i="31"/>
  <c r="AH416" i="31"/>
  <c r="AH417" i="31"/>
  <c r="AH418" i="31"/>
  <c r="AH419" i="31"/>
  <c r="AH420" i="31"/>
  <c r="AH421" i="31"/>
  <c r="AH422" i="31"/>
  <c r="AH423" i="31"/>
  <c r="AH424" i="31"/>
  <c r="AH425" i="31"/>
  <c r="AH426" i="31"/>
  <c r="AH427" i="31"/>
  <c r="AH428" i="31"/>
  <c r="AH429" i="31"/>
  <c r="AH430" i="31"/>
  <c r="AH431" i="31"/>
  <c r="AH432" i="31"/>
  <c r="AH433" i="31"/>
  <c r="AH434" i="31"/>
  <c r="AH435" i="31"/>
  <c r="AH436" i="31"/>
  <c r="AH437" i="31"/>
  <c r="AH438" i="31"/>
  <c r="AH439" i="31"/>
  <c r="AH440" i="31"/>
  <c r="AH441" i="31"/>
  <c r="AH442" i="31"/>
  <c r="AH443" i="31"/>
  <c r="AH444" i="31"/>
  <c r="AH445" i="31"/>
  <c r="AH446" i="31"/>
  <c r="AH447" i="31"/>
  <c r="AH448" i="31"/>
  <c r="AH449" i="31"/>
  <c r="AH450" i="31"/>
  <c r="AH451" i="31"/>
  <c r="AH452" i="31"/>
  <c r="AH453" i="31"/>
  <c r="AH454" i="31"/>
  <c r="AH455" i="31"/>
  <c r="AH456" i="31"/>
  <c r="AH457" i="31"/>
  <c r="AH458" i="31"/>
  <c r="AH459" i="31"/>
  <c r="AH460" i="31"/>
  <c r="AH461" i="31"/>
  <c r="AH462" i="31"/>
  <c r="AH463" i="31"/>
  <c r="AH464" i="31"/>
  <c r="AH465" i="31"/>
  <c r="AH466" i="31"/>
  <c r="AH467" i="31"/>
  <c r="AH468" i="31"/>
  <c r="AH469" i="31"/>
  <c r="AH470" i="31"/>
  <c r="AH471" i="31"/>
  <c r="AH472" i="31"/>
  <c r="AH473" i="31"/>
  <c r="AH474" i="31"/>
  <c r="AH475" i="31"/>
  <c r="AH476" i="31"/>
  <c r="AH477" i="31"/>
  <c r="AH478" i="31"/>
  <c r="AH479" i="31"/>
  <c r="AH480" i="31"/>
  <c r="AH481" i="31"/>
  <c r="AH482" i="31"/>
  <c r="AH483" i="31"/>
  <c r="AH484" i="31"/>
  <c r="AH485" i="31"/>
  <c r="AH486" i="31"/>
  <c r="AH487" i="31"/>
  <c r="AH488" i="31"/>
  <c r="AH489" i="31"/>
  <c r="AH490" i="31"/>
  <c r="AH491" i="31"/>
  <c r="AH492" i="31"/>
  <c r="AH493" i="31"/>
  <c r="AH494" i="31"/>
  <c r="AH495" i="31"/>
  <c r="AH496" i="31"/>
  <c r="AH497" i="31"/>
  <c r="AH498" i="31"/>
  <c r="AH499" i="31"/>
  <c r="AH500" i="31"/>
  <c r="AH501" i="31"/>
  <c r="AH502" i="31"/>
  <c r="AH503" i="31"/>
  <c r="AH504" i="31"/>
  <c r="AH505" i="31"/>
  <c r="AH506" i="31"/>
  <c r="AH507" i="31"/>
  <c r="AH508" i="31"/>
  <c r="AH509" i="31"/>
  <c r="AH510" i="31"/>
  <c r="AH511" i="31"/>
  <c r="AH512" i="31"/>
  <c r="AH513" i="31"/>
  <c r="AH514" i="31"/>
  <c r="AH515" i="31"/>
  <c r="AH516" i="31"/>
  <c r="AH517" i="31"/>
  <c r="AH518" i="31"/>
  <c r="AH519" i="31"/>
  <c r="AH520" i="31"/>
  <c r="AH521" i="31"/>
  <c r="AH522" i="31"/>
  <c r="AH523" i="31"/>
  <c r="AH524" i="31"/>
  <c r="AH525" i="31"/>
  <c r="AH526" i="31"/>
  <c r="AH527" i="31"/>
  <c r="AH528" i="31"/>
  <c r="AH529" i="31"/>
  <c r="AH530" i="31"/>
  <c r="AH531" i="31"/>
  <c r="AH532" i="31"/>
  <c r="AH533" i="31"/>
  <c r="AH534" i="31"/>
  <c r="AH535" i="31"/>
  <c r="AH536" i="31"/>
  <c r="AH537" i="31"/>
  <c r="AH538" i="31"/>
  <c r="AH539" i="31"/>
  <c r="AH540" i="31"/>
  <c r="AH541" i="31"/>
  <c r="AH542" i="31"/>
  <c r="AH543" i="31"/>
  <c r="AH544" i="31"/>
  <c r="AH545" i="31"/>
  <c r="AH546" i="31"/>
  <c r="AH547" i="31"/>
  <c r="AH548" i="31"/>
  <c r="AH549" i="31"/>
  <c r="AH550" i="31"/>
  <c r="AH551" i="31"/>
  <c r="AH552" i="31"/>
  <c r="AH553" i="31"/>
  <c r="AH554" i="31"/>
  <c r="AH555" i="31"/>
  <c r="AH556" i="31"/>
  <c r="AH557" i="31"/>
  <c r="AH558" i="31"/>
  <c r="AH559" i="31"/>
  <c r="AH560" i="31"/>
  <c r="AH561" i="31"/>
  <c r="AH562" i="31"/>
  <c r="AH563" i="31"/>
  <c r="AH564" i="31"/>
  <c r="AH565" i="31"/>
  <c r="AH566" i="31"/>
  <c r="AH567" i="31"/>
  <c r="AH568" i="31"/>
  <c r="AH569" i="31"/>
  <c r="AH570" i="31"/>
  <c r="AH571" i="31"/>
  <c r="AH572" i="31"/>
  <c r="AH573" i="31"/>
  <c r="AH574" i="31"/>
  <c r="AH575" i="31"/>
  <c r="AH576" i="31"/>
  <c r="AH577" i="31"/>
  <c r="AH578" i="31"/>
  <c r="AH579" i="31"/>
  <c r="AH580" i="31"/>
  <c r="AH581" i="31"/>
  <c r="AH582" i="31"/>
  <c r="AH583" i="31"/>
  <c r="AH584" i="31"/>
  <c r="AH585" i="31"/>
  <c r="AH586" i="31"/>
  <c r="AH587" i="31"/>
  <c r="AH588" i="31"/>
  <c r="AH589" i="31"/>
  <c r="AH590" i="31"/>
  <c r="AH591" i="31"/>
  <c r="AH592" i="31"/>
  <c r="AH593" i="31"/>
  <c r="AH594" i="31"/>
  <c r="AH595" i="31"/>
  <c r="AH596" i="31"/>
  <c r="AH597" i="31"/>
  <c r="AH598" i="31"/>
  <c r="AH599" i="31"/>
  <c r="AH600" i="31"/>
  <c r="AH601" i="31"/>
  <c r="AH602" i="31"/>
  <c r="AH603" i="31"/>
  <c r="AH604" i="31"/>
  <c r="AH605" i="31"/>
  <c r="AH606" i="31"/>
  <c r="AH607" i="31"/>
  <c r="AH608" i="31"/>
  <c r="AH609" i="31"/>
  <c r="AH610" i="31"/>
  <c r="AH611" i="31"/>
  <c r="AH612" i="31"/>
  <c r="AH613" i="31"/>
  <c r="AH614" i="31"/>
  <c r="AH615" i="31"/>
  <c r="AH616" i="31"/>
  <c r="AH617" i="31"/>
  <c r="AH618" i="31"/>
  <c r="AH619" i="31"/>
  <c r="AH620" i="31"/>
  <c r="AH621" i="31"/>
  <c r="AH622" i="31"/>
  <c r="AH623" i="31"/>
  <c r="AH624" i="31"/>
  <c r="AH625" i="31"/>
  <c r="AH626" i="31"/>
  <c r="AH627" i="31"/>
  <c r="AH628" i="31"/>
  <c r="AH629" i="31"/>
  <c r="AH630" i="31"/>
  <c r="AH631" i="31"/>
  <c r="AH632" i="31"/>
  <c r="AH633" i="31"/>
  <c r="AH634" i="31"/>
  <c r="AH635" i="31"/>
  <c r="AH636" i="31"/>
  <c r="AH637" i="31"/>
  <c r="AH638" i="31"/>
  <c r="AH639" i="31"/>
  <c r="AH640" i="31"/>
  <c r="AH641" i="31"/>
  <c r="AH642" i="31"/>
  <c r="AH643" i="31"/>
  <c r="AH644" i="31"/>
  <c r="AH645" i="31"/>
  <c r="AH646" i="31"/>
  <c r="AH647" i="31"/>
  <c r="AH648" i="31"/>
  <c r="AH649" i="31"/>
  <c r="AH650" i="31"/>
  <c r="AH651" i="31"/>
  <c r="AH652" i="31"/>
  <c r="AH653" i="31"/>
  <c r="AH654" i="31"/>
  <c r="AH655" i="31"/>
  <c r="AH656" i="31"/>
  <c r="AH657" i="31"/>
  <c r="AH658" i="31"/>
  <c r="AH659" i="31"/>
  <c r="AH660" i="31"/>
  <c r="AH661" i="31"/>
  <c r="AH662" i="31"/>
  <c r="AH663" i="31"/>
  <c r="AH664" i="31"/>
  <c r="AH665" i="31"/>
  <c r="AH666" i="31"/>
  <c r="AH667" i="31"/>
  <c r="AH668" i="31"/>
  <c r="AH669" i="31"/>
  <c r="AH670" i="31"/>
  <c r="AH671" i="31"/>
  <c r="AH672" i="31"/>
  <c r="AH673" i="31"/>
  <c r="AH674" i="31"/>
  <c r="AH675" i="31"/>
  <c r="AH676" i="31"/>
  <c r="AH677" i="31"/>
  <c r="AH678" i="31"/>
  <c r="AH679" i="31"/>
  <c r="AH680" i="31"/>
  <c r="AH681" i="31"/>
  <c r="AH682" i="31"/>
  <c r="AH683" i="31"/>
  <c r="AH684" i="31"/>
  <c r="AH685" i="31"/>
  <c r="AH686" i="31"/>
  <c r="AH687" i="31"/>
  <c r="AH688" i="31"/>
  <c r="AH689" i="31"/>
  <c r="AH690" i="31"/>
  <c r="AH691" i="31"/>
  <c r="AH692" i="31"/>
  <c r="AH693" i="31"/>
  <c r="AH694" i="31"/>
  <c r="AH695" i="31"/>
  <c r="AH696" i="31"/>
  <c r="AH697" i="31"/>
  <c r="AH698" i="31"/>
  <c r="AH699" i="31"/>
  <c r="AH700" i="31"/>
  <c r="AH701" i="31"/>
  <c r="AH702" i="31"/>
  <c r="AH703" i="31"/>
  <c r="AH704" i="31"/>
  <c r="AH705" i="31"/>
  <c r="AH706" i="31"/>
  <c r="AH707" i="31"/>
  <c r="AH708" i="31"/>
  <c r="AH709" i="31"/>
  <c r="AH710" i="31"/>
  <c r="AH711" i="31"/>
  <c r="AH712" i="31"/>
  <c r="AH713" i="31"/>
  <c r="AH714" i="31"/>
  <c r="AH715" i="31"/>
  <c r="AI6" i="31"/>
  <c r="AI7" i="31"/>
  <c r="AI8" i="31"/>
  <c r="AI9" i="31"/>
  <c r="AI10" i="31"/>
  <c r="AI11" i="31"/>
  <c r="AI12" i="31"/>
  <c r="AI13" i="31"/>
  <c r="AI14" i="31"/>
  <c r="AI15" i="31"/>
  <c r="AI16" i="31"/>
  <c r="AI17" i="31"/>
  <c r="AI18" i="31"/>
  <c r="AI19" i="31"/>
  <c r="AI20" i="31"/>
  <c r="AI21" i="31"/>
  <c r="AI22" i="31"/>
  <c r="AI23" i="31"/>
  <c r="AI24" i="31"/>
  <c r="AI25" i="31"/>
  <c r="AI26" i="31"/>
  <c r="AI27" i="31"/>
  <c r="AI28" i="31"/>
  <c r="AI29" i="31"/>
  <c r="AI30" i="31"/>
  <c r="AI31" i="31"/>
  <c r="AI32" i="31"/>
  <c r="AI33" i="31"/>
  <c r="AI34" i="31"/>
  <c r="AI35" i="31"/>
  <c r="AI36" i="31"/>
  <c r="AI37" i="31"/>
  <c r="AI38" i="31"/>
  <c r="AI39" i="31"/>
  <c r="AI40" i="31"/>
  <c r="AI41" i="31"/>
  <c r="AI42" i="31"/>
  <c r="AI43" i="31"/>
  <c r="AI44" i="31"/>
  <c r="AI45" i="31"/>
  <c r="AI46" i="31"/>
  <c r="AI47" i="31"/>
  <c r="AI48" i="31"/>
  <c r="AI49" i="31"/>
  <c r="AI50" i="31"/>
  <c r="AI51" i="31"/>
  <c r="AI52" i="31"/>
  <c r="AI53" i="31"/>
  <c r="AI54" i="31"/>
  <c r="AI55" i="31"/>
  <c r="AI56" i="31"/>
  <c r="AI57" i="31"/>
  <c r="AI58" i="31"/>
  <c r="AI59" i="31"/>
  <c r="AI60" i="31"/>
  <c r="AI61" i="31"/>
  <c r="AI62" i="31"/>
  <c r="AI63" i="31"/>
  <c r="AI64" i="31"/>
  <c r="AI65" i="31"/>
  <c r="AI66" i="31"/>
  <c r="AI67" i="31"/>
  <c r="AI68" i="31"/>
  <c r="AI69" i="31"/>
  <c r="AI70" i="31"/>
  <c r="AI71" i="31"/>
  <c r="AI72" i="31"/>
  <c r="AI73" i="31"/>
  <c r="AI74" i="31"/>
  <c r="AI75" i="31"/>
  <c r="AI76" i="31"/>
  <c r="AI77" i="31"/>
  <c r="AI78" i="31"/>
  <c r="AI79" i="31"/>
  <c r="AI80" i="31"/>
  <c r="AI81" i="31"/>
  <c r="AI82" i="31"/>
  <c r="AI83" i="31"/>
  <c r="AI84" i="31"/>
  <c r="AI85" i="31"/>
  <c r="AI86" i="31"/>
  <c r="AI87" i="31"/>
  <c r="AI88" i="31"/>
  <c r="AI89" i="31"/>
  <c r="AI90" i="31"/>
  <c r="AI91" i="31"/>
  <c r="AI92" i="31"/>
  <c r="AI93" i="31"/>
  <c r="AI94" i="31"/>
  <c r="AI95" i="31"/>
  <c r="AI96" i="31"/>
  <c r="AI97" i="31"/>
  <c r="AI98" i="31"/>
  <c r="AI99" i="31"/>
  <c r="AI100" i="31"/>
  <c r="AI101" i="31"/>
  <c r="AI102" i="31"/>
  <c r="AI103" i="31"/>
  <c r="AI104" i="31"/>
  <c r="AI105" i="31"/>
  <c r="AI106" i="31"/>
  <c r="AI107" i="31"/>
  <c r="AI108" i="31"/>
  <c r="AI109" i="31"/>
  <c r="AI110" i="31"/>
  <c r="AI111" i="31"/>
  <c r="AI112" i="31"/>
  <c r="AI113" i="31"/>
  <c r="AI114" i="31"/>
  <c r="AI115" i="31"/>
  <c r="AI116" i="31"/>
  <c r="AI117" i="31"/>
  <c r="AI118" i="31"/>
  <c r="AI119" i="31"/>
  <c r="AI120" i="31"/>
  <c r="AI121" i="31"/>
  <c r="AI122" i="31"/>
  <c r="AI123" i="31"/>
  <c r="AI124" i="31"/>
  <c r="AI125" i="31"/>
  <c r="AI126" i="31"/>
  <c r="AI127" i="31"/>
  <c r="AI128" i="31"/>
  <c r="AI129" i="31"/>
  <c r="AI130" i="31"/>
  <c r="AI131" i="31"/>
  <c r="AI132" i="31"/>
  <c r="AI133" i="31"/>
  <c r="AI134" i="31"/>
  <c r="AI135" i="31"/>
  <c r="AI136" i="31"/>
  <c r="AI137" i="31"/>
  <c r="AI138" i="31"/>
  <c r="AI139" i="31"/>
  <c r="AI140" i="31"/>
  <c r="AI141" i="31"/>
  <c r="AI142" i="31"/>
  <c r="AI143" i="31"/>
  <c r="AI144" i="31"/>
  <c r="AI145" i="31"/>
  <c r="AI146" i="31"/>
  <c r="AI147" i="31"/>
  <c r="AI148" i="31"/>
  <c r="AI149" i="31"/>
  <c r="AI150" i="31"/>
  <c r="AI151" i="31"/>
  <c r="AI152" i="31"/>
  <c r="AI153" i="31"/>
  <c r="AI154" i="31"/>
  <c r="AI155" i="31"/>
  <c r="AI156" i="31"/>
  <c r="AI157" i="31"/>
  <c r="AI158" i="31"/>
  <c r="AI159" i="31"/>
  <c r="AI160" i="31"/>
  <c r="AI161" i="31"/>
  <c r="AI162" i="31"/>
  <c r="AI163" i="31"/>
  <c r="AI164" i="31"/>
  <c r="AI165" i="31"/>
  <c r="AI166" i="31"/>
  <c r="AI167" i="31"/>
  <c r="AI168" i="31"/>
  <c r="AI169" i="31"/>
  <c r="AI170" i="31"/>
  <c r="AI171" i="31"/>
  <c r="AI172" i="31"/>
  <c r="AI173" i="31"/>
  <c r="AI174" i="31"/>
  <c r="AI175" i="31"/>
  <c r="AI176" i="31"/>
  <c r="AI177" i="31"/>
  <c r="AI178" i="31"/>
  <c r="AI179" i="31"/>
  <c r="AI180" i="31"/>
  <c r="AI181" i="31"/>
  <c r="AI182" i="31"/>
  <c r="AI183" i="31"/>
  <c r="AI184" i="31"/>
  <c r="AI185" i="31"/>
  <c r="AI186" i="31"/>
  <c r="AI187" i="31"/>
  <c r="AI188" i="31"/>
  <c r="AI189" i="31"/>
  <c r="AI190" i="31"/>
  <c r="AI191" i="31"/>
  <c r="AI192" i="31"/>
  <c r="AI193" i="31"/>
  <c r="AI194" i="31"/>
  <c r="AI195" i="31"/>
  <c r="AI196" i="31"/>
  <c r="AI197" i="31"/>
  <c r="AI198" i="31"/>
  <c r="AI199" i="31"/>
  <c r="AI200" i="31"/>
  <c r="AI201" i="31"/>
  <c r="AI202" i="31"/>
  <c r="AI203" i="31"/>
  <c r="AI204" i="31"/>
  <c r="AI205" i="31"/>
  <c r="AI206" i="31"/>
  <c r="AI207" i="31"/>
  <c r="AI208" i="31"/>
  <c r="AI209" i="31"/>
  <c r="AI210" i="31"/>
  <c r="AI211" i="31"/>
  <c r="AI212" i="31"/>
  <c r="AI213" i="31"/>
  <c r="AI214" i="31"/>
  <c r="AI215" i="31"/>
  <c r="AI216" i="31"/>
  <c r="AI217" i="31"/>
  <c r="AI218" i="31"/>
  <c r="AI219" i="31"/>
  <c r="AI220" i="31"/>
  <c r="AI221" i="31"/>
  <c r="AI222" i="31"/>
  <c r="AI223" i="31"/>
  <c r="AI224" i="31"/>
  <c r="AI225" i="31"/>
  <c r="AI226" i="31"/>
  <c r="AI227" i="31"/>
  <c r="AI228" i="31"/>
  <c r="AI229" i="31"/>
  <c r="AI230" i="31"/>
  <c r="AI231" i="31"/>
  <c r="AI232" i="31"/>
  <c r="AI233" i="31"/>
  <c r="AI234" i="31"/>
  <c r="AI235" i="31"/>
  <c r="AI236" i="31"/>
  <c r="AI237" i="31"/>
  <c r="AI238" i="31"/>
  <c r="AI239" i="31"/>
  <c r="AI240" i="31"/>
  <c r="AI241" i="31"/>
  <c r="AI242" i="31"/>
  <c r="AI243" i="31"/>
  <c r="AI244" i="31"/>
  <c r="AI245" i="31"/>
  <c r="AI246" i="31"/>
  <c r="AI247" i="31"/>
  <c r="AI248" i="31"/>
  <c r="AI249" i="31"/>
  <c r="AI250" i="31"/>
  <c r="AI251" i="31"/>
  <c r="AI252" i="31"/>
  <c r="AI253" i="31"/>
  <c r="AI254" i="31"/>
  <c r="AI255" i="31"/>
  <c r="AI256" i="31"/>
  <c r="AI257" i="31"/>
  <c r="AI258" i="31"/>
  <c r="AI259" i="31"/>
  <c r="AI260" i="31"/>
  <c r="AI261" i="31"/>
  <c r="AI262" i="31"/>
  <c r="AI263" i="31"/>
  <c r="AI264" i="31"/>
  <c r="AI265" i="31"/>
  <c r="AI266" i="31"/>
  <c r="AI267" i="31"/>
  <c r="AI268" i="31"/>
  <c r="AI269" i="31"/>
  <c r="AI270" i="31"/>
  <c r="AI271" i="31"/>
  <c r="AI272" i="31"/>
  <c r="AI273" i="31"/>
  <c r="AI274" i="31"/>
  <c r="AI275" i="31"/>
  <c r="AI276" i="31"/>
  <c r="AI277" i="31"/>
  <c r="AI278" i="31"/>
  <c r="AI279" i="31"/>
  <c r="AI280" i="31"/>
  <c r="AI281" i="31"/>
  <c r="AI282" i="31"/>
  <c r="AI283" i="31"/>
  <c r="AI284" i="31"/>
  <c r="AI285" i="31"/>
  <c r="AI286" i="31"/>
  <c r="AI287" i="31"/>
  <c r="AI288" i="31"/>
  <c r="AI289" i="31"/>
  <c r="AI290" i="31"/>
  <c r="AI291" i="31"/>
  <c r="AI292" i="31"/>
  <c r="AI293" i="31"/>
  <c r="AI294" i="31"/>
  <c r="AI295" i="31"/>
  <c r="AI296" i="31"/>
  <c r="AI297" i="31"/>
  <c r="AI298" i="31"/>
  <c r="AI299" i="31"/>
  <c r="AI300" i="31"/>
  <c r="AI301" i="31"/>
  <c r="AI302" i="31"/>
  <c r="AI303" i="31"/>
  <c r="AI304" i="31"/>
  <c r="AI305" i="31"/>
  <c r="AI306" i="31"/>
  <c r="AI307" i="31"/>
  <c r="AI308" i="31"/>
  <c r="AI309" i="31"/>
  <c r="AI310" i="31"/>
  <c r="AI311" i="31"/>
  <c r="AI312" i="31"/>
  <c r="AI313" i="31"/>
  <c r="AI314" i="31"/>
  <c r="AI315" i="31"/>
  <c r="AI316" i="31"/>
  <c r="AI317" i="31"/>
  <c r="AI318" i="31"/>
  <c r="AI319" i="31"/>
  <c r="AI320" i="31"/>
  <c r="AI321" i="31"/>
  <c r="AI322" i="31"/>
  <c r="AI323" i="31"/>
  <c r="AI324" i="31"/>
  <c r="AI325" i="31"/>
  <c r="AI326" i="31"/>
  <c r="AI327" i="31"/>
  <c r="AI328" i="31"/>
  <c r="AI329" i="31"/>
  <c r="AI330" i="31"/>
  <c r="AI331" i="31"/>
  <c r="AI332" i="31"/>
  <c r="AI333" i="31"/>
  <c r="AI334" i="31"/>
  <c r="AI335" i="31"/>
  <c r="AI336" i="31"/>
  <c r="AI337" i="31"/>
  <c r="AI338" i="31"/>
  <c r="AI339" i="31"/>
  <c r="AI340" i="31"/>
  <c r="AI341" i="31"/>
  <c r="AI342" i="31"/>
  <c r="AI343" i="31"/>
  <c r="AI344" i="31"/>
  <c r="AI345" i="31"/>
  <c r="AI346" i="31"/>
  <c r="AI347" i="31"/>
  <c r="AI348" i="31"/>
  <c r="AI349" i="31"/>
  <c r="AI350" i="31"/>
  <c r="AI351" i="31"/>
  <c r="AI352" i="31"/>
  <c r="AI353" i="31"/>
  <c r="AI354" i="31"/>
  <c r="AI355" i="31"/>
  <c r="AI356" i="31"/>
  <c r="AI357" i="31"/>
  <c r="AI358" i="31"/>
  <c r="AI359" i="31"/>
  <c r="AI360" i="31"/>
  <c r="AI361" i="31"/>
  <c r="AI362" i="31"/>
  <c r="AI363" i="31"/>
  <c r="AI364" i="31"/>
  <c r="AI365" i="31"/>
  <c r="AI366" i="31"/>
  <c r="AI367" i="31"/>
  <c r="AI368" i="31"/>
  <c r="AI369" i="31"/>
  <c r="AI370" i="31"/>
  <c r="AI371" i="31"/>
  <c r="AI372" i="31"/>
  <c r="AI373" i="31"/>
  <c r="AI374" i="31"/>
  <c r="AI375" i="31"/>
  <c r="AI376" i="31"/>
  <c r="AI377" i="31"/>
  <c r="AI378" i="31"/>
  <c r="AI379" i="31"/>
  <c r="AI380" i="31"/>
  <c r="AI381" i="31"/>
  <c r="AI382" i="31"/>
  <c r="AI383" i="31"/>
  <c r="AI384" i="31"/>
  <c r="AI385" i="31"/>
  <c r="AI386" i="31"/>
  <c r="AI387" i="31"/>
  <c r="AI388" i="31"/>
  <c r="AI389" i="31"/>
  <c r="AI390" i="31"/>
  <c r="AI391" i="31"/>
  <c r="AI392" i="31"/>
  <c r="AI393" i="31"/>
  <c r="AI394" i="31"/>
  <c r="AI395" i="31"/>
  <c r="AI396" i="31"/>
  <c r="AI397" i="31"/>
  <c r="AI398" i="31"/>
  <c r="AI399" i="31"/>
  <c r="AI400" i="31"/>
  <c r="AI401" i="31"/>
  <c r="AI402" i="31"/>
  <c r="AI403" i="31"/>
  <c r="AI404" i="31"/>
  <c r="AI405" i="31"/>
  <c r="AI406" i="31"/>
  <c r="AI407" i="31"/>
  <c r="AI408" i="31"/>
  <c r="AI409" i="31"/>
  <c r="AI410" i="31"/>
  <c r="AI411" i="31"/>
  <c r="AI412" i="31"/>
  <c r="AI413" i="31"/>
  <c r="AI414" i="31"/>
  <c r="AI415" i="31"/>
  <c r="AI416" i="31"/>
  <c r="AI417" i="31"/>
  <c r="AI418" i="31"/>
  <c r="AI419" i="31"/>
  <c r="AI420" i="31"/>
  <c r="AI421" i="31"/>
  <c r="AI422" i="31"/>
  <c r="AI423" i="31"/>
  <c r="AI424" i="31"/>
  <c r="AI425" i="31"/>
  <c r="AI426" i="31"/>
  <c r="AI427" i="31"/>
  <c r="AI428" i="31"/>
  <c r="AI429" i="31"/>
  <c r="AI430" i="31"/>
  <c r="AI431" i="31"/>
  <c r="AI432" i="31"/>
  <c r="AI433" i="31"/>
  <c r="AI434" i="31"/>
  <c r="AI435" i="31"/>
  <c r="AI436" i="31"/>
  <c r="AI437" i="31"/>
  <c r="AI438" i="31"/>
  <c r="AI439" i="31"/>
  <c r="AI440" i="31"/>
  <c r="AI441" i="31"/>
  <c r="AI442" i="31"/>
  <c r="AI443" i="31"/>
  <c r="AI444" i="31"/>
  <c r="AI445" i="31"/>
  <c r="AI446" i="31"/>
  <c r="AI447" i="31"/>
  <c r="AI448" i="31"/>
  <c r="AI449" i="31"/>
  <c r="AI450" i="31"/>
  <c r="AI451" i="31"/>
  <c r="AI452" i="31"/>
  <c r="AI453" i="31"/>
  <c r="AI454" i="31"/>
  <c r="AI455" i="31"/>
  <c r="AI456" i="31"/>
  <c r="AI457" i="31"/>
  <c r="AI458" i="31"/>
  <c r="AI459" i="31"/>
  <c r="AI460" i="31"/>
  <c r="AI461" i="31"/>
  <c r="AI462" i="31"/>
  <c r="AI463" i="31"/>
  <c r="AI464" i="31"/>
  <c r="AI465" i="31"/>
  <c r="AI466" i="31"/>
  <c r="AI467" i="31"/>
  <c r="AI468" i="31"/>
  <c r="AI469" i="31"/>
  <c r="AI470" i="31"/>
  <c r="AI471" i="31"/>
  <c r="AI472" i="31"/>
  <c r="AI473" i="31"/>
  <c r="AI474" i="31"/>
  <c r="AI475" i="31"/>
  <c r="AI476" i="31"/>
  <c r="AI477" i="31"/>
  <c r="AI478" i="31"/>
  <c r="AI479" i="31"/>
  <c r="AI480" i="31"/>
  <c r="AI481" i="31"/>
  <c r="AI482" i="31"/>
  <c r="AI483" i="31"/>
  <c r="AI484" i="31"/>
  <c r="AI485" i="31"/>
  <c r="AI486" i="31"/>
  <c r="AI487" i="31"/>
  <c r="AI488" i="31"/>
  <c r="AI489" i="31"/>
  <c r="AI490" i="31"/>
  <c r="AI491" i="31"/>
  <c r="AI492" i="31"/>
  <c r="AI493" i="31"/>
  <c r="AI494" i="31"/>
  <c r="AI495" i="31"/>
  <c r="AI496" i="31"/>
  <c r="AI497" i="31"/>
  <c r="AI498" i="31"/>
  <c r="AI499" i="31"/>
  <c r="AI500" i="31"/>
  <c r="AI501" i="31"/>
  <c r="AI502" i="31"/>
  <c r="AI503" i="31"/>
  <c r="AI504" i="31"/>
  <c r="AI505" i="31"/>
  <c r="AI506" i="31"/>
  <c r="AI507" i="31"/>
  <c r="AI508" i="31"/>
  <c r="AI509" i="31"/>
  <c r="AI510" i="31"/>
  <c r="AI511" i="31"/>
  <c r="AI512" i="31"/>
  <c r="AI513" i="31"/>
  <c r="AI514" i="31"/>
  <c r="AI515" i="31"/>
  <c r="AI516" i="31"/>
  <c r="AI517" i="31"/>
  <c r="AI518" i="31"/>
  <c r="AI519" i="31"/>
  <c r="AI520" i="31"/>
  <c r="AI521" i="31"/>
  <c r="AI522" i="31"/>
  <c r="AI523" i="31"/>
  <c r="AI524" i="31"/>
  <c r="AI525" i="31"/>
  <c r="AI526" i="31"/>
  <c r="AI527" i="31"/>
  <c r="AI528" i="31"/>
  <c r="AI529" i="31"/>
  <c r="AI530" i="31"/>
  <c r="AI531" i="31"/>
  <c r="AI532" i="31"/>
  <c r="AI533" i="31"/>
  <c r="AI534" i="31"/>
  <c r="AI535" i="31"/>
  <c r="AI536" i="31"/>
  <c r="AI537" i="31"/>
  <c r="AI538" i="31"/>
  <c r="AI539" i="31"/>
  <c r="AI540" i="31"/>
  <c r="AI541" i="31"/>
  <c r="AI542" i="31"/>
  <c r="AI543" i="31"/>
  <c r="AI544" i="31"/>
  <c r="AI545" i="31"/>
  <c r="AI546" i="31"/>
  <c r="AI547" i="31"/>
  <c r="AI548" i="31"/>
  <c r="AI549" i="31"/>
  <c r="AI550" i="31"/>
  <c r="AI551" i="31"/>
  <c r="AI552" i="31"/>
  <c r="AI553" i="31"/>
  <c r="AI554" i="31"/>
  <c r="AI555" i="31"/>
  <c r="AI556" i="31"/>
  <c r="AI557" i="31"/>
  <c r="AI558" i="31"/>
  <c r="AI559" i="31"/>
  <c r="AI560" i="31"/>
  <c r="AI561" i="31"/>
  <c r="AI562" i="31"/>
  <c r="AI563" i="31"/>
  <c r="AI564" i="31"/>
  <c r="AI565" i="31"/>
  <c r="AI566" i="31"/>
  <c r="AI567" i="31"/>
  <c r="AI568" i="31"/>
  <c r="AI569" i="31"/>
  <c r="AI570" i="31"/>
  <c r="AI571" i="31"/>
  <c r="AI572" i="31"/>
  <c r="AI573" i="31"/>
  <c r="AI574" i="31"/>
  <c r="AI575" i="31"/>
  <c r="AI576" i="31"/>
  <c r="AI577" i="31"/>
  <c r="AI578" i="31"/>
  <c r="AI579" i="31"/>
  <c r="AI580" i="31"/>
  <c r="AI581" i="31"/>
  <c r="AI582" i="31"/>
  <c r="AI583" i="31"/>
  <c r="AI584" i="31"/>
  <c r="AI585" i="31"/>
  <c r="AI586" i="31"/>
  <c r="AI587" i="31"/>
  <c r="AI588" i="31"/>
  <c r="AI589" i="31"/>
  <c r="AI590" i="31"/>
  <c r="AI591" i="31"/>
  <c r="AI592" i="31"/>
  <c r="AI593" i="31"/>
  <c r="AI594" i="31"/>
  <c r="AI595" i="31"/>
  <c r="AI596" i="31"/>
  <c r="AI597" i="31"/>
  <c r="AI598" i="31"/>
  <c r="AI599" i="31"/>
  <c r="AI600" i="31"/>
  <c r="AI601" i="31"/>
  <c r="AI602" i="31"/>
  <c r="AI603" i="31"/>
  <c r="AI604" i="31"/>
  <c r="AI605" i="31"/>
  <c r="AI606" i="31"/>
  <c r="AI607" i="31"/>
  <c r="AI608" i="31"/>
  <c r="AI609" i="31"/>
  <c r="AI610" i="31"/>
  <c r="AI611" i="31"/>
  <c r="AI612" i="31"/>
  <c r="AI613" i="31"/>
  <c r="AI614" i="31"/>
  <c r="AI615" i="31"/>
  <c r="AI616" i="31"/>
  <c r="AI617" i="31"/>
  <c r="AI618" i="31"/>
  <c r="AI619" i="31"/>
  <c r="AI620" i="31"/>
  <c r="AI621" i="31"/>
  <c r="AI622" i="31"/>
  <c r="AI623" i="31"/>
  <c r="AI624" i="31"/>
  <c r="AI625" i="31"/>
  <c r="AI626" i="31"/>
  <c r="AI627" i="31"/>
  <c r="AI628" i="31"/>
  <c r="AI629" i="31"/>
  <c r="AI630" i="31"/>
  <c r="AI631" i="31"/>
  <c r="AI632" i="31"/>
  <c r="AI633" i="31"/>
  <c r="AI634" i="31"/>
  <c r="AI635" i="31"/>
  <c r="AI636" i="31"/>
  <c r="AI637" i="31"/>
  <c r="AI638" i="31"/>
  <c r="AI639" i="31"/>
  <c r="AI640" i="31"/>
  <c r="AI641" i="31"/>
  <c r="AI642" i="31"/>
  <c r="AI643" i="31"/>
  <c r="AI644" i="31"/>
  <c r="AI645" i="31"/>
  <c r="AI646" i="31"/>
  <c r="AI647" i="31"/>
  <c r="AI648" i="31"/>
  <c r="AI649" i="31"/>
  <c r="AI650" i="31"/>
  <c r="AI651" i="31"/>
  <c r="AI652" i="31"/>
  <c r="AI653" i="31"/>
  <c r="AI654" i="31"/>
  <c r="AI655" i="31"/>
  <c r="AI656" i="31"/>
  <c r="AI657" i="31"/>
  <c r="AI658" i="31"/>
  <c r="AI659" i="31"/>
  <c r="AI660" i="31"/>
  <c r="AI661" i="31"/>
  <c r="AI662" i="31"/>
  <c r="AI663" i="31"/>
  <c r="AI664" i="31"/>
  <c r="AI665" i="31"/>
  <c r="AI666" i="31"/>
  <c r="AI667" i="31"/>
  <c r="AI668" i="31"/>
  <c r="AI669" i="31"/>
  <c r="AI670" i="31"/>
  <c r="AI671" i="31"/>
  <c r="AI672" i="31"/>
  <c r="AI673" i="31"/>
  <c r="AI674" i="31"/>
  <c r="AI675" i="31"/>
  <c r="AI676" i="31"/>
  <c r="AI677" i="31"/>
  <c r="AI678" i="31"/>
  <c r="AI679" i="31"/>
  <c r="AI680" i="31"/>
  <c r="AI681" i="31"/>
  <c r="AI682" i="31"/>
  <c r="AI683" i="31"/>
  <c r="AI684" i="31"/>
  <c r="AI685" i="31"/>
  <c r="AI686" i="31"/>
  <c r="AI687" i="31"/>
  <c r="AI688" i="31"/>
  <c r="AI689" i="31"/>
  <c r="AI690" i="31"/>
  <c r="AI691" i="31"/>
  <c r="AI692" i="31"/>
  <c r="AI693" i="31"/>
  <c r="AI694" i="31"/>
  <c r="AI695" i="31"/>
  <c r="AI696" i="31"/>
  <c r="AI697" i="31"/>
  <c r="AI698" i="31"/>
  <c r="AI699" i="31"/>
  <c r="AI700" i="31"/>
  <c r="AI701" i="31"/>
  <c r="AI702" i="31"/>
  <c r="AI703" i="31"/>
  <c r="AI704" i="31"/>
  <c r="AI705" i="31"/>
  <c r="AI706" i="31"/>
  <c r="AI707" i="31"/>
  <c r="AI708" i="31"/>
  <c r="AI709" i="31"/>
  <c r="AI710" i="31"/>
  <c r="AI711" i="31"/>
  <c r="AI712" i="31"/>
  <c r="AI713" i="31"/>
  <c r="AI714" i="31"/>
  <c r="AI715" i="31"/>
  <c r="AG3" i="31"/>
  <c r="E93" i="80"/>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200" i="31"/>
  <c r="AB201" i="31"/>
  <c r="AB202" i="31"/>
  <c r="AB203" i="31"/>
  <c r="AB204" i="31"/>
  <c r="AB205" i="31"/>
  <c r="AB206" i="31"/>
  <c r="AB207" i="31"/>
  <c r="AB208" i="31"/>
  <c r="AB209" i="31"/>
  <c r="AB210" i="31"/>
  <c r="AB211" i="31"/>
  <c r="AB212" i="31"/>
  <c r="AB213" i="31"/>
  <c r="AB214" i="31"/>
  <c r="AB215" i="31"/>
  <c r="AB216" i="31"/>
  <c r="AB217" i="31"/>
  <c r="AB218" i="31"/>
  <c r="AB219" i="31"/>
  <c r="AB220" i="31"/>
  <c r="AB221" i="31"/>
  <c r="AB222" i="31"/>
  <c r="AB223" i="31"/>
  <c r="AB224" i="31"/>
  <c r="AB225" i="31"/>
  <c r="AB226" i="31"/>
  <c r="AB227" i="31"/>
  <c r="AB228" i="31"/>
  <c r="AB229" i="31"/>
  <c r="AB230" i="31"/>
  <c r="AB231" i="31"/>
  <c r="AB232" i="31"/>
  <c r="AB233" i="31"/>
  <c r="AB234" i="31"/>
  <c r="AB235" i="31"/>
  <c r="AB236" i="31"/>
  <c r="AB237" i="31"/>
  <c r="AB238" i="31"/>
  <c r="AB239" i="31"/>
  <c r="AB240" i="31"/>
  <c r="AB241" i="31"/>
  <c r="AB242" i="31"/>
  <c r="AB243" i="31"/>
  <c r="AB244" i="31"/>
  <c r="AB245" i="31"/>
  <c r="AB246" i="31"/>
  <c r="AB247" i="31"/>
  <c r="AB248" i="31"/>
  <c r="AB249" i="31"/>
  <c r="AB250" i="31"/>
  <c r="AB251" i="31"/>
  <c r="AB252" i="31"/>
  <c r="AB253" i="31"/>
  <c r="AB254" i="31"/>
  <c r="AB255" i="31"/>
  <c r="AB256" i="31"/>
  <c r="AB257" i="31"/>
  <c r="AB258" i="31"/>
  <c r="AB259" i="31"/>
  <c r="AB260" i="31"/>
  <c r="AB261" i="31"/>
  <c r="AB262" i="31"/>
  <c r="AB263" i="31"/>
  <c r="AB264" i="31"/>
  <c r="AB265" i="31"/>
  <c r="AB266" i="31"/>
  <c r="AB267" i="31"/>
  <c r="AB268" i="31"/>
  <c r="AB269" i="31"/>
  <c r="AB270" i="31"/>
  <c r="AB271" i="31"/>
  <c r="AB272" i="31"/>
  <c r="AB273" i="31"/>
  <c r="AB274" i="31"/>
  <c r="AB275" i="31"/>
  <c r="AB276" i="31"/>
  <c r="AB277" i="31"/>
  <c r="AB278" i="31"/>
  <c r="AB279" i="31"/>
  <c r="AB280" i="31"/>
  <c r="AB281" i="31"/>
  <c r="AB282" i="31"/>
  <c r="AB283" i="31"/>
  <c r="AB284" i="31"/>
  <c r="AB285" i="31"/>
  <c r="AB286" i="31"/>
  <c r="AB287" i="31"/>
  <c r="AB288" i="31"/>
  <c r="AB289" i="31"/>
  <c r="AB290" i="31"/>
  <c r="AB291" i="31"/>
  <c r="AB292" i="31"/>
  <c r="AB293" i="31"/>
  <c r="AB294" i="31"/>
  <c r="AB295" i="31"/>
  <c r="AB296" i="31"/>
  <c r="AB297" i="31"/>
  <c r="AB298" i="31"/>
  <c r="AB299" i="31"/>
  <c r="AB300" i="31"/>
  <c r="AB301" i="31"/>
  <c r="AB302" i="31"/>
  <c r="AB303" i="31"/>
  <c r="AB304" i="31"/>
  <c r="AB305" i="31"/>
  <c r="AB306" i="31"/>
  <c r="AB307" i="31"/>
  <c r="AB308" i="31"/>
  <c r="AB309" i="31"/>
  <c r="AB310" i="31"/>
  <c r="AB311" i="31"/>
  <c r="AB312" i="31"/>
  <c r="AB313" i="31"/>
  <c r="AB314" i="31"/>
  <c r="AB315" i="31"/>
  <c r="AB316" i="31"/>
  <c r="AB317" i="31"/>
  <c r="AB318" i="31"/>
  <c r="AB319" i="31"/>
  <c r="AB320" i="31"/>
  <c r="AB321" i="31"/>
  <c r="AB322" i="31"/>
  <c r="AB323" i="31"/>
  <c r="AB324" i="31"/>
  <c r="AB325" i="31"/>
  <c r="AB326" i="31"/>
  <c r="AB327" i="31"/>
  <c r="AB328" i="31"/>
  <c r="AB329" i="31"/>
  <c r="AB330" i="31"/>
  <c r="AB331" i="31"/>
  <c r="AB332" i="31"/>
  <c r="AB333" i="31"/>
  <c r="AB334" i="31"/>
  <c r="AB335" i="31"/>
  <c r="AB336" i="31"/>
  <c r="AB337" i="31"/>
  <c r="AB338" i="31"/>
  <c r="AB339" i="31"/>
  <c r="AB340" i="31"/>
  <c r="AB341" i="31"/>
  <c r="AB342" i="31"/>
  <c r="AB343" i="31"/>
  <c r="AB344" i="31"/>
  <c r="AB345" i="31"/>
  <c r="AB346" i="31"/>
  <c r="AB347" i="31"/>
  <c r="AB348" i="31"/>
  <c r="AB349" i="31"/>
  <c r="AB350" i="31"/>
  <c r="AB351" i="31"/>
  <c r="AB352" i="31"/>
  <c r="AB353" i="31"/>
  <c r="AB354" i="31"/>
  <c r="AB355" i="31"/>
  <c r="AB356" i="31"/>
  <c r="AB357" i="31"/>
  <c r="AB358" i="31"/>
  <c r="AB359" i="31"/>
  <c r="AB360" i="31"/>
  <c r="AB361" i="31"/>
  <c r="AB362" i="31"/>
  <c r="AB363" i="31"/>
  <c r="AB364" i="31"/>
  <c r="AB365" i="31"/>
  <c r="AB366" i="31"/>
  <c r="AB367" i="31"/>
  <c r="AB368" i="31"/>
  <c r="AB369" i="31"/>
  <c r="AB370" i="31"/>
  <c r="AB371" i="31"/>
  <c r="AB372" i="31"/>
  <c r="AB373" i="31"/>
  <c r="AB374" i="31"/>
  <c r="AB375" i="31"/>
  <c r="AB376" i="31"/>
  <c r="AB377" i="31"/>
  <c r="AB378" i="31"/>
  <c r="AB379" i="31"/>
  <c r="AB380" i="31"/>
  <c r="AB381" i="31"/>
  <c r="AB382" i="31"/>
  <c r="AB383" i="31"/>
  <c r="AB384" i="31"/>
  <c r="AB385" i="31"/>
  <c r="AB386" i="31"/>
  <c r="AB387" i="31"/>
  <c r="AB388" i="31"/>
  <c r="AB389" i="31"/>
  <c r="AB390" i="31"/>
  <c r="AB391" i="31"/>
  <c r="AB392" i="31"/>
  <c r="AB393" i="31"/>
  <c r="AB394" i="31"/>
  <c r="AB395" i="31"/>
  <c r="AB396" i="31"/>
  <c r="AB397" i="31"/>
  <c r="AB398" i="31"/>
  <c r="AB399" i="31"/>
  <c r="AB400" i="31"/>
  <c r="AB401" i="31"/>
  <c r="AB402" i="31"/>
  <c r="AB403" i="31"/>
  <c r="AB404" i="31"/>
  <c r="AB405" i="31"/>
  <c r="AB406" i="31"/>
  <c r="AB407" i="31"/>
  <c r="AB408" i="31"/>
  <c r="AB409" i="31"/>
  <c r="AB410" i="31"/>
  <c r="AB411" i="31"/>
  <c r="AB412" i="31"/>
  <c r="AB413" i="31"/>
  <c r="AB414" i="31"/>
  <c r="AB415" i="31"/>
  <c r="AB416" i="31"/>
  <c r="AB417" i="31"/>
  <c r="AB418" i="31"/>
  <c r="AB419" i="31"/>
  <c r="AB420" i="31"/>
  <c r="AB421" i="31"/>
  <c r="AB422" i="31"/>
  <c r="AB423" i="31"/>
  <c r="AB424" i="31"/>
  <c r="AB425" i="31"/>
  <c r="AB426" i="31"/>
  <c r="AB427" i="31"/>
  <c r="AB428" i="31"/>
  <c r="AB429" i="31"/>
  <c r="AB430" i="31"/>
  <c r="AB431" i="31"/>
  <c r="AB432" i="31"/>
  <c r="AB433" i="31"/>
  <c r="AB434" i="31"/>
  <c r="AB435" i="31"/>
  <c r="AB436" i="31"/>
  <c r="AB437" i="31"/>
  <c r="AB438" i="31"/>
  <c r="AB439" i="31"/>
  <c r="AB440" i="31"/>
  <c r="AB441" i="31"/>
  <c r="AB442" i="31"/>
  <c r="AB443" i="31"/>
  <c r="AB444" i="31"/>
  <c r="AB445" i="31"/>
  <c r="AB446" i="31"/>
  <c r="AB447" i="31"/>
  <c r="AB448" i="31"/>
  <c r="AB449" i="31"/>
  <c r="AB450" i="31"/>
  <c r="AB451" i="31"/>
  <c r="AB452" i="31"/>
  <c r="AB453" i="31"/>
  <c r="AB454" i="31"/>
  <c r="AB455" i="31"/>
  <c r="AB456" i="31"/>
  <c r="AB457" i="31"/>
  <c r="AB458" i="31"/>
  <c r="AB459" i="31"/>
  <c r="AB460" i="31"/>
  <c r="AB461" i="31"/>
  <c r="AB462" i="31"/>
  <c r="AB463" i="31"/>
  <c r="AB464" i="31"/>
  <c r="AB465" i="31"/>
  <c r="AB466" i="31"/>
  <c r="AB467" i="31"/>
  <c r="AB468" i="31"/>
  <c r="AB469" i="31"/>
  <c r="AB470" i="31"/>
  <c r="AB471" i="31"/>
  <c r="AB472" i="31"/>
  <c r="AB473" i="31"/>
  <c r="AB474" i="31"/>
  <c r="AB475" i="31"/>
  <c r="AB476" i="31"/>
  <c r="AB477" i="31"/>
  <c r="AB478" i="31"/>
  <c r="AB479" i="31"/>
  <c r="AB480" i="31"/>
  <c r="AB481" i="31"/>
  <c r="AB482" i="31"/>
  <c r="AB483" i="31"/>
  <c r="AB484" i="31"/>
  <c r="AB485" i="31"/>
  <c r="AB486" i="31"/>
  <c r="AB487" i="31"/>
  <c r="AB488" i="31"/>
  <c r="AB489" i="31"/>
  <c r="AB490" i="31"/>
  <c r="AB491" i="31"/>
  <c r="AB492" i="31"/>
  <c r="AB493" i="31"/>
  <c r="AB494" i="31"/>
  <c r="AB495" i="31"/>
  <c r="AB496" i="31"/>
  <c r="AB497" i="31"/>
  <c r="AB498" i="31"/>
  <c r="AB499" i="31"/>
  <c r="AB500" i="31"/>
  <c r="AB501" i="31"/>
  <c r="AB502" i="31"/>
  <c r="AB503" i="31"/>
  <c r="AB504" i="31"/>
  <c r="AB505" i="31"/>
  <c r="AB506" i="31"/>
  <c r="AB507" i="31"/>
  <c r="AB508" i="31"/>
  <c r="AB509" i="31"/>
  <c r="AB510" i="31"/>
  <c r="AB511" i="31"/>
  <c r="AB512" i="31"/>
  <c r="AB513" i="31"/>
  <c r="AB514" i="31"/>
  <c r="AB515" i="31"/>
  <c r="AB516" i="31"/>
  <c r="AB517" i="31"/>
  <c r="AB518" i="31"/>
  <c r="AB519" i="31"/>
  <c r="AB520" i="31"/>
  <c r="AB521" i="31"/>
  <c r="AB522" i="31"/>
  <c r="AB523" i="31"/>
  <c r="AB524" i="31"/>
  <c r="AB525" i="31"/>
  <c r="AB526" i="31"/>
  <c r="AB527" i="31"/>
  <c r="AB528" i="31"/>
  <c r="AB529" i="31"/>
  <c r="AB530" i="31"/>
  <c r="AB531" i="31"/>
  <c r="AB532" i="31"/>
  <c r="AB533" i="31"/>
  <c r="AB534" i="31"/>
  <c r="AB535" i="31"/>
  <c r="AB536" i="31"/>
  <c r="AB537" i="31"/>
  <c r="AB538" i="31"/>
  <c r="AB539" i="31"/>
  <c r="AB540" i="31"/>
  <c r="AB541" i="31"/>
  <c r="AB542" i="31"/>
  <c r="AB543" i="31"/>
  <c r="AB544" i="31"/>
  <c r="AB545" i="31"/>
  <c r="AB546" i="31"/>
  <c r="AB547" i="31"/>
  <c r="AB548" i="31"/>
  <c r="AB549" i="31"/>
  <c r="AB550" i="31"/>
  <c r="AB551" i="31"/>
  <c r="AB552" i="31"/>
  <c r="AB553" i="31"/>
  <c r="AB554" i="31"/>
  <c r="AB555" i="31"/>
  <c r="AB556" i="31"/>
  <c r="AB557" i="31"/>
  <c r="AB558" i="31"/>
  <c r="AB559" i="31"/>
  <c r="AB560" i="31"/>
  <c r="AB561" i="31"/>
  <c r="AB562" i="31"/>
  <c r="AB563" i="31"/>
  <c r="AB564" i="31"/>
  <c r="AB565" i="31"/>
  <c r="AB566" i="31"/>
  <c r="AB567" i="31"/>
  <c r="AB568" i="31"/>
  <c r="AB569" i="31"/>
  <c r="AB570" i="31"/>
  <c r="AB571" i="31"/>
  <c r="AB572" i="31"/>
  <c r="AB573" i="31"/>
  <c r="AB574" i="31"/>
  <c r="AB575" i="31"/>
  <c r="AB576" i="31"/>
  <c r="AB577" i="31"/>
  <c r="AB578" i="31"/>
  <c r="AB579" i="31"/>
  <c r="AB580" i="31"/>
  <c r="AB581" i="31"/>
  <c r="AB582" i="31"/>
  <c r="AB583" i="31"/>
  <c r="AB584" i="31"/>
  <c r="AB585" i="31"/>
  <c r="AB586" i="31"/>
  <c r="AB587" i="31"/>
  <c r="AB588" i="31"/>
  <c r="AB589" i="31"/>
  <c r="AB590" i="31"/>
  <c r="AB591" i="31"/>
  <c r="AB592" i="31"/>
  <c r="AB593" i="31"/>
  <c r="AB594" i="31"/>
  <c r="AB595" i="31"/>
  <c r="AB596" i="31"/>
  <c r="AB597" i="31"/>
  <c r="AB598" i="31"/>
  <c r="AB599" i="31"/>
  <c r="AB600" i="31"/>
  <c r="AB601" i="31"/>
  <c r="AB602" i="31"/>
  <c r="AB603" i="31"/>
  <c r="AB604" i="31"/>
  <c r="AB605" i="31"/>
  <c r="AB606" i="31"/>
  <c r="AB607" i="31"/>
  <c r="AB608" i="31"/>
  <c r="AB609" i="31"/>
  <c r="AB610" i="31"/>
  <c r="AB611" i="31"/>
  <c r="AB612" i="31"/>
  <c r="AB613" i="31"/>
  <c r="AB614" i="31"/>
  <c r="AB615" i="31"/>
  <c r="AB616" i="31"/>
  <c r="AB617" i="31"/>
  <c r="AB618" i="31"/>
  <c r="AB619" i="31"/>
  <c r="AB620" i="31"/>
  <c r="AB621" i="31"/>
  <c r="AB622" i="31"/>
  <c r="AB623" i="31"/>
  <c r="AB624" i="31"/>
  <c r="AB625" i="31"/>
  <c r="AB626" i="31"/>
  <c r="AB627" i="31"/>
  <c r="AB628" i="31"/>
  <c r="AB629" i="31"/>
  <c r="AB630" i="31"/>
  <c r="AB631" i="31"/>
  <c r="AB632" i="31"/>
  <c r="AB633" i="31"/>
  <c r="AB634" i="31"/>
  <c r="AB635" i="31"/>
  <c r="AB636" i="31"/>
  <c r="AB637" i="31"/>
  <c r="AB638" i="31"/>
  <c r="AB639" i="31"/>
  <c r="AB640" i="31"/>
  <c r="AB641" i="31"/>
  <c r="AB642" i="31"/>
  <c r="AB643" i="31"/>
  <c r="AB644" i="31"/>
  <c r="AB645" i="31"/>
  <c r="AB646" i="31"/>
  <c r="AB647" i="31"/>
  <c r="AB648" i="31"/>
  <c r="AB649" i="31"/>
  <c r="AB650" i="31"/>
  <c r="AB651" i="31"/>
  <c r="AB652" i="31"/>
  <c r="AB653" i="31"/>
  <c r="AB654" i="31"/>
  <c r="AB655" i="31"/>
  <c r="AB656" i="31"/>
  <c r="AB657" i="31"/>
  <c r="AB658" i="31"/>
  <c r="AB659" i="31"/>
  <c r="AB660" i="31"/>
  <c r="AB661" i="31"/>
  <c r="AB662" i="31"/>
  <c r="AB663" i="31"/>
  <c r="AB664" i="31"/>
  <c r="AB665" i="31"/>
  <c r="AB666" i="31"/>
  <c r="AB667" i="31"/>
  <c r="AB668" i="31"/>
  <c r="AB669" i="31"/>
  <c r="AB670" i="31"/>
  <c r="AB671" i="31"/>
  <c r="AB672" i="31"/>
  <c r="AB673" i="31"/>
  <c r="AB674" i="31"/>
  <c r="AB675" i="31"/>
  <c r="AB676" i="31"/>
  <c r="AB677" i="31"/>
  <c r="AB678" i="31"/>
  <c r="AB679" i="31"/>
  <c r="AB680" i="31"/>
  <c r="AB681" i="31"/>
  <c r="AB682" i="31"/>
  <c r="AB683" i="31"/>
  <c r="AB684" i="31"/>
  <c r="AB685" i="31"/>
  <c r="AB686" i="31"/>
  <c r="AB687" i="31"/>
  <c r="AB688" i="31"/>
  <c r="AB689" i="31"/>
  <c r="AB690" i="31"/>
  <c r="AB691" i="31"/>
  <c r="AB692" i="31"/>
  <c r="AB693" i="31"/>
  <c r="AB694" i="31"/>
  <c r="AB695" i="31"/>
  <c r="AB696" i="31"/>
  <c r="AB697" i="31"/>
  <c r="AB698" i="31"/>
  <c r="AB699" i="31"/>
  <c r="AB700" i="31"/>
  <c r="AB701" i="31"/>
  <c r="AB702" i="31"/>
  <c r="AB703" i="31"/>
  <c r="AB704" i="31"/>
  <c r="AB705" i="31"/>
  <c r="AB706" i="31"/>
  <c r="AB707" i="31"/>
  <c r="AB708" i="31"/>
  <c r="AB709" i="31"/>
  <c r="AB710" i="31"/>
  <c r="AB711" i="31"/>
  <c r="AB712" i="31"/>
  <c r="AB713" i="31"/>
  <c r="AB714" i="31"/>
  <c r="AB715" i="31"/>
  <c r="AC6" i="31"/>
  <c r="AC7" i="31"/>
  <c r="AC8" i="31"/>
  <c r="AC9" i="31"/>
  <c r="AC10" i="31"/>
  <c r="AC11" i="31"/>
  <c r="AC12" i="3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AC43" i="31"/>
  <c r="AC44" i="31"/>
  <c r="AC45" i="31"/>
  <c r="AC46" i="31"/>
  <c r="AC47" i="31"/>
  <c r="AC48" i="31"/>
  <c r="AC49" i="31"/>
  <c r="AC50" i="31"/>
  <c r="AC51" i="31"/>
  <c r="AC52" i="31"/>
  <c r="AC53" i="31"/>
  <c r="AC54" i="31"/>
  <c r="AC55" i="31"/>
  <c r="AC56" i="31"/>
  <c r="AC57" i="31"/>
  <c r="AC58" i="31"/>
  <c r="AC59" i="31"/>
  <c r="AC60" i="31"/>
  <c r="AC61" i="31"/>
  <c r="AC62" i="31"/>
  <c r="AC63" i="31"/>
  <c r="AC64" i="31"/>
  <c r="AC65" i="31"/>
  <c r="AC66" i="31"/>
  <c r="AC67" i="31"/>
  <c r="AC68" i="31"/>
  <c r="AC69" i="31"/>
  <c r="AC70" i="31"/>
  <c r="AC71" i="31"/>
  <c r="AC72" i="31"/>
  <c r="AC73" i="31"/>
  <c r="AC74" i="31"/>
  <c r="AC75" i="31"/>
  <c r="AC76" i="31"/>
  <c r="AC77" i="31"/>
  <c r="AC78" i="31"/>
  <c r="AC79" i="31"/>
  <c r="AC80" i="31"/>
  <c r="AC81" i="31"/>
  <c r="AC82" i="31"/>
  <c r="AC83" i="31"/>
  <c r="AC84" i="31"/>
  <c r="AC85" i="31"/>
  <c r="AC86" i="31"/>
  <c r="AC87" i="31"/>
  <c r="AC88" i="31"/>
  <c r="AC89" i="31"/>
  <c r="AC90" i="31"/>
  <c r="AC91" i="31"/>
  <c r="AC92" i="31"/>
  <c r="AC93" i="31"/>
  <c r="AC94" i="31"/>
  <c r="AC95" i="31"/>
  <c r="AC96" i="31"/>
  <c r="AC97" i="31"/>
  <c r="AC98" i="31"/>
  <c r="AC99" i="31"/>
  <c r="AC100" i="31"/>
  <c r="AC101" i="31"/>
  <c r="AC102" i="31"/>
  <c r="AC103" i="31"/>
  <c r="AC104" i="31"/>
  <c r="AC105" i="31"/>
  <c r="AC106" i="31"/>
  <c r="AC107" i="31"/>
  <c r="AC108" i="31"/>
  <c r="AC109" i="31"/>
  <c r="AC110" i="31"/>
  <c r="AC111" i="31"/>
  <c r="AC112" i="31"/>
  <c r="AC113" i="31"/>
  <c r="AC114" i="31"/>
  <c r="AC115" i="31"/>
  <c r="AC116" i="31"/>
  <c r="AC117" i="31"/>
  <c r="AC118" i="31"/>
  <c r="AC119" i="31"/>
  <c r="AC120" i="31"/>
  <c r="AC121" i="31"/>
  <c r="AC122" i="31"/>
  <c r="AC123" i="31"/>
  <c r="AC124" i="31"/>
  <c r="AC125" i="31"/>
  <c r="AC126" i="31"/>
  <c r="AC127" i="31"/>
  <c r="AC128" i="31"/>
  <c r="AC129" i="31"/>
  <c r="AC130" i="31"/>
  <c r="AC131" i="31"/>
  <c r="AC132" i="31"/>
  <c r="AC133" i="31"/>
  <c r="AC134" i="31"/>
  <c r="AC135" i="31"/>
  <c r="AC136" i="31"/>
  <c r="AC137" i="31"/>
  <c r="AC138" i="31"/>
  <c r="AC139" i="31"/>
  <c r="AC140" i="31"/>
  <c r="AC141" i="31"/>
  <c r="AC142" i="31"/>
  <c r="AC143" i="31"/>
  <c r="AC144" i="31"/>
  <c r="AC145" i="31"/>
  <c r="AC146" i="31"/>
  <c r="AC147" i="31"/>
  <c r="AC148" i="31"/>
  <c r="AC149" i="31"/>
  <c r="AC150" i="31"/>
  <c r="AC151" i="31"/>
  <c r="AC152" i="31"/>
  <c r="AC153" i="31"/>
  <c r="AC154" i="31"/>
  <c r="AC155" i="31"/>
  <c r="AC156" i="31"/>
  <c r="AC157" i="31"/>
  <c r="AC158" i="31"/>
  <c r="AC159" i="31"/>
  <c r="AC160" i="31"/>
  <c r="AC161" i="31"/>
  <c r="AC162" i="31"/>
  <c r="AC163" i="31"/>
  <c r="AC164" i="31"/>
  <c r="AC165" i="31"/>
  <c r="AC166" i="31"/>
  <c r="AC167" i="31"/>
  <c r="AC168" i="31"/>
  <c r="AC169" i="31"/>
  <c r="AC170" i="31"/>
  <c r="AC171" i="31"/>
  <c r="AC172" i="31"/>
  <c r="AC173" i="31"/>
  <c r="AC174" i="31"/>
  <c r="AC175" i="31"/>
  <c r="AC176" i="31"/>
  <c r="AC177" i="31"/>
  <c r="AC178" i="31"/>
  <c r="AC179" i="31"/>
  <c r="AC180" i="31"/>
  <c r="AC181" i="31"/>
  <c r="AC182" i="31"/>
  <c r="AC183" i="31"/>
  <c r="AC184" i="31"/>
  <c r="AC185" i="31"/>
  <c r="AC186" i="31"/>
  <c r="AC187" i="31"/>
  <c r="AC188" i="31"/>
  <c r="AC189" i="31"/>
  <c r="AC190" i="31"/>
  <c r="AC191" i="31"/>
  <c r="AC192" i="31"/>
  <c r="AC193" i="31"/>
  <c r="AC194" i="31"/>
  <c r="AC195" i="31"/>
  <c r="AC196" i="31"/>
  <c r="AC197" i="31"/>
  <c r="AC198" i="31"/>
  <c r="AC199" i="31"/>
  <c r="AC200" i="31"/>
  <c r="AC201" i="31"/>
  <c r="AC202" i="31"/>
  <c r="AC203" i="31"/>
  <c r="AC204" i="31"/>
  <c r="AC205" i="31"/>
  <c r="AC206" i="31"/>
  <c r="AC207" i="31"/>
  <c r="AC208" i="31"/>
  <c r="AC209" i="31"/>
  <c r="AC210" i="31"/>
  <c r="AC211" i="31"/>
  <c r="AC212" i="31"/>
  <c r="AC213" i="31"/>
  <c r="AC214" i="31"/>
  <c r="AC215" i="31"/>
  <c r="AC216" i="31"/>
  <c r="AC217" i="31"/>
  <c r="AC218" i="31"/>
  <c r="AC219" i="31"/>
  <c r="AC220" i="31"/>
  <c r="AC221" i="31"/>
  <c r="AC222" i="31"/>
  <c r="AC223" i="31"/>
  <c r="AC224" i="31"/>
  <c r="AC225" i="31"/>
  <c r="AC226" i="31"/>
  <c r="AC227" i="31"/>
  <c r="AC228" i="31"/>
  <c r="AC229" i="31"/>
  <c r="AC230" i="31"/>
  <c r="AC231" i="31"/>
  <c r="AC232" i="31"/>
  <c r="AC233" i="31"/>
  <c r="AC234" i="31"/>
  <c r="AC235" i="31"/>
  <c r="AC236" i="31"/>
  <c r="AC237" i="31"/>
  <c r="AC238" i="31"/>
  <c r="AC239" i="31"/>
  <c r="AC240" i="31"/>
  <c r="AC241" i="31"/>
  <c r="AC242" i="31"/>
  <c r="AC243" i="31"/>
  <c r="AC244" i="31"/>
  <c r="AC245" i="31"/>
  <c r="AC246" i="31"/>
  <c r="AC247" i="31"/>
  <c r="AC248" i="31"/>
  <c r="AC249" i="31"/>
  <c r="AC250" i="31"/>
  <c r="AC251" i="31"/>
  <c r="AC252" i="31"/>
  <c r="AC253" i="31"/>
  <c r="AC254" i="31"/>
  <c r="AC255" i="31"/>
  <c r="AC256" i="31"/>
  <c r="AC257" i="31"/>
  <c r="AC258" i="31"/>
  <c r="AC259" i="31"/>
  <c r="AC260" i="31"/>
  <c r="AC261" i="31"/>
  <c r="AC262" i="31"/>
  <c r="AC263" i="31"/>
  <c r="AC264" i="31"/>
  <c r="AC265" i="31"/>
  <c r="AC266" i="31"/>
  <c r="AC267" i="31"/>
  <c r="AC268" i="31"/>
  <c r="AC269" i="31"/>
  <c r="AC270" i="31"/>
  <c r="AC271" i="31"/>
  <c r="AC272" i="31"/>
  <c r="AC273" i="31"/>
  <c r="AC274" i="31"/>
  <c r="AC275" i="31"/>
  <c r="AC276" i="31"/>
  <c r="AC277" i="31"/>
  <c r="AC278" i="31"/>
  <c r="AC279" i="31"/>
  <c r="AC280" i="31"/>
  <c r="AC281" i="31"/>
  <c r="AC282" i="31"/>
  <c r="AC283" i="31"/>
  <c r="AC284" i="31"/>
  <c r="AC285" i="31"/>
  <c r="AC286" i="31"/>
  <c r="AC287" i="31"/>
  <c r="AC288" i="31"/>
  <c r="AC289" i="31"/>
  <c r="AC290" i="31"/>
  <c r="AC291" i="31"/>
  <c r="AC292" i="31"/>
  <c r="AC293" i="31"/>
  <c r="AC294" i="31"/>
  <c r="AC295" i="31"/>
  <c r="AC296" i="31"/>
  <c r="AC297" i="31"/>
  <c r="AC298" i="31"/>
  <c r="AC299" i="31"/>
  <c r="AC300" i="31"/>
  <c r="AC301" i="31"/>
  <c r="AC302" i="31"/>
  <c r="AC303" i="31"/>
  <c r="AC304" i="31"/>
  <c r="AC305" i="31"/>
  <c r="AC306" i="31"/>
  <c r="AC307" i="31"/>
  <c r="AC308" i="31"/>
  <c r="AC309" i="31"/>
  <c r="AC310" i="31"/>
  <c r="AC311" i="31"/>
  <c r="AC312" i="31"/>
  <c r="AC313" i="31"/>
  <c r="AC314" i="31"/>
  <c r="AC315" i="31"/>
  <c r="AC316" i="31"/>
  <c r="AC317" i="31"/>
  <c r="AC318" i="31"/>
  <c r="AC319" i="31"/>
  <c r="AC320" i="31"/>
  <c r="AC321" i="31"/>
  <c r="AC322" i="31"/>
  <c r="AC323" i="31"/>
  <c r="AC324" i="31"/>
  <c r="AC325" i="31"/>
  <c r="AC326" i="31"/>
  <c r="AC327" i="31"/>
  <c r="AC328" i="31"/>
  <c r="AC329" i="31"/>
  <c r="AC330" i="31"/>
  <c r="AC331" i="31"/>
  <c r="AC332" i="31"/>
  <c r="AC333" i="31"/>
  <c r="AC334" i="31"/>
  <c r="AC335" i="31"/>
  <c r="AC336" i="31"/>
  <c r="AC337" i="31"/>
  <c r="AC338" i="31"/>
  <c r="AC339" i="31"/>
  <c r="AC340" i="31"/>
  <c r="AC341" i="31"/>
  <c r="AC342" i="31"/>
  <c r="AC343" i="31"/>
  <c r="AC344" i="31"/>
  <c r="AC345" i="31"/>
  <c r="AC346" i="31"/>
  <c r="AC347" i="31"/>
  <c r="AC348" i="31"/>
  <c r="AC349" i="31"/>
  <c r="AC350" i="31"/>
  <c r="AC351" i="31"/>
  <c r="AC352" i="31"/>
  <c r="AC353" i="31"/>
  <c r="AC354" i="31"/>
  <c r="AC355" i="31"/>
  <c r="AC356" i="31"/>
  <c r="AC357" i="31"/>
  <c r="AC358" i="31"/>
  <c r="AC359" i="31"/>
  <c r="AC360" i="31"/>
  <c r="AC361" i="31"/>
  <c r="AC362" i="31"/>
  <c r="AC363" i="31"/>
  <c r="AC364" i="31"/>
  <c r="AC365" i="31"/>
  <c r="AC366" i="31"/>
  <c r="AC367" i="31"/>
  <c r="AC368" i="31"/>
  <c r="AC369" i="31"/>
  <c r="AC370" i="31"/>
  <c r="AC371" i="31"/>
  <c r="AC372" i="31"/>
  <c r="AC373" i="31"/>
  <c r="AC374" i="31"/>
  <c r="AC375" i="31"/>
  <c r="AC376" i="31"/>
  <c r="AC377" i="31"/>
  <c r="AC378" i="31"/>
  <c r="AC379" i="31"/>
  <c r="AC380" i="31"/>
  <c r="AC381" i="31"/>
  <c r="AC382" i="31"/>
  <c r="AC383" i="31"/>
  <c r="AC384" i="31"/>
  <c r="AC385" i="31"/>
  <c r="AC386" i="31"/>
  <c r="AC387" i="31"/>
  <c r="AC388" i="31"/>
  <c r="AC389" i="31"/>
  <c r="AC390" i="31"/>
  <c r="AC391" i="31"/>
  <c r="AC392" i="31"/>
  <c r="AC393" i="31"/>
  <c r="AC394" i="31"/>
  <c r="AC395" i="31"/>
  <c r="AC396" i="31"/>
  <c r="AC397" i="31"/>
  <c r="AC398" i="31"/>
  <c r="AC399" i="31"/>
  <c r="AC400" i="31"/>
  <c r="AC401" i="31"/>
  <c r="AC402" i="31"/>
  <c r="AC403" i="31"/>
  <c r="AC404" i="31"/>
  <c r="AC405" i="31"/>
  <c r="AC406" i="31"/>
  <c r="AC407" i="31"/>
  <c r="AC408" i="31"/>
  <c r="AC409" i="31"/>
  <c r="AC410" i="31"/>
  <c r="AC411" i="31"/>
  <c r="AC412" i="31"/>
  <c r="AC413" i="31"/>
  <c r="AC414" i="31"/>
  <c r="AC415" i="31"/>
  <c r="AC416" i="31"/>
  <c r="AC417" i="31"/>
  <c r="AC418" i="31"/>
  <c r="AC419" i="31"/>
  <c r="AC420" i="31"/>
  <c r="AC421" i="31"/>
  <c r="AC422" i="31"/>
  <c r="AC423" i="31"/>
  <c r="AC424" i="31"/>
  <c r="AC425" i="31"/>
  <c r="AC426" i="31"/>
  <c r="AC427" i="31"/>
  <c r="AC428" i="31"/>
  <c r="AC429" i="31"/>
  <c r="AC430" i="31"/>
  <c r="AC431" i="31"/>
  <c r="AC432" i="31"/>
  <c r="AC433" i="31"/>
  <c r="AC434" i="31"/>
  <c r="AC435" i="31"/>
  <c r="AC436" i="31"/>
  <c r="AC437" i="31"/>
  <c r="AC438" i="31"/>
  <c r="AC439" i="31"/>
  <c r="AC440" i="31"/>
  <c r="AC441" i="31"/>
  <c r="AC442" i="31"/>
  <c r="AC443" i="31"/>
  <c r="AC444" i="31"/>
  <c r="AC445" i="31"/>
  <c r="AC446" i="31"/>
  <c r="AC447" i="31"/>
  <c r="AC448" i="31"/>
  <c r="AC449" i="31"/>
  <c r="AC450" i="31"/>
  <c r="AC451" i="31"/>
  <c r="AC452" i="31"/>
  <c r="AC453" i="31"/>
  <c r="AC454" i="31"/>
  <c r="AC455" i="31"/>
  <c r="AC456" i="31"/>
  <c r="AC457" i="31"/>
  <c r="AC458" i="31"/>
  <c r="AC459" i="31"/>
  <c r="AC460" i="31"/>
  <c r="AC461" i="31"/>
  <c r="AC462" i="31"/>
  <c r="AC463" i="31"/>
  <c r="AC464" i="31"/>
  <c r="AC465" i="31"/>
  <c r="AC466" i="31"/>
  <c r="AC467" i="31"/>
  <c r="AC468" i="31"/>
  <c r="AC469" i="31"/>
  <c r="AC470" i="31"/>
  <c r="AC471" i="31"/>
  <c r="AC472" i="31"/>
  <c r="AC473" i="31"/>
  <c r="AC474" i="31"/>
  <c r="AC475" i="31"/>
  <c r="AC476" i="31"/>
  <c r="AC477" i="31"/>
  <c r="AC478" i="31"/>
  <c r="AC479" i="31"/>
  <c r="AC480" i="31"/>
  <c r="AC481" i="31"/>
  <c r="AC482" i="31"/>
  <c r="AC483" i="31"/>
  <c r="AC484" i="31"/>
  <c r="AC485" i="31"/>
  <c r="AC486" i="31"/>
  <c r="AC487" i="31"/>
  <c r="AC488" i="31"/>
  <c r="AC489" i="31"/>
  <c r="AC490" i="31"/>
  <c r="AC491" i="31"/>
  <c r="AC492" i="31"/>
  <c r="AC493" i="31"/>
  <c r="AC494" i="31"/>
  <c r="AC495" i="31"/>
  <c r="AC496" i="31"/>
  <c r="AC497" i="31"/>
  <c r="AC498" i="31"/>
  <c r="AC499" i="31"/>
  <c r="AC500" i="31"/>
  <c r="AC501" i="31"/>
  <c r="AC502" i="31"/>
  <c r="AC503" i="31"/>
  <c r="AC504" i="31"/>
  <c r="AC505" i="31"/>
  <c r="AC506" i="31"/>
  <c r="AC507" i="31"/>
  <c r="AC508" i="31"/>
  <c r="AC509" i="31"/>
  <c r="AC510" i="31"/>
  <c r="AC511" i="31"/>
  <c r="AC512" i="31"/>
  <c r="AC513" i="31"/>
  <c r="AC514" i="31"/>
  <c r="AC515" i="31"/>
  <c r="AC516" i="31"/>
  <c r="AC517" i="31"/>
  <c r="AC518" i="31"/>
  <c r="AC519" i="31"/>
  <c r="AC520" i="31"/>
  <c r="AC521" i="31"/>
  <c r="AC522" i="31"/>
  <c r="AC523" i="31"/>
  <c r="AC524" i="31"/>
  <c r="AC525" i="31"/>
  <c r="AC526" i="31"/>
  <c r="AC527" i="31"/>
  <c r="AC528" i="31"/>
  <c r="AC529" i="31"/>
  <c r="AC530" i="31"/>
  <c r="AC531" i="31"/>
  <c r="AC532" i="31"/>
  <c r="AC533" i="31"/>
  <c r="AC534" i="31"/>
  <c r="AC535" i="31"/>
  <c r="AC536" i="31"/>
  <c r="AC537" i="31"/>
  <c r="AC538" i="31"/>
  <c r="AC539" i="31"/>
  <c r="AC540" i="31"/>
  <c r="AC541" i="31"/>
  <c r="AC542" i="31"/>
  <c r="AC543" i="31"/>
  <c r="AC544" i="31"/>
  <c r="AC545" i="31"/>
  <c r="AC546" i="31"/>
  <c r="AC547" i="31"/>
  <c r="AC548" i="31"/>
  <c r="AC549" i="31"/>
  <c r="AC550" i="31"/>
  <c r="AC551" i="31"/>
  <c r="AC552" i="31"/>
  <c r="AC553" i="31"/>
  <c r="AC554" i="31"/>
  <c r="AC555" i="31"/>
  <c r="AC556" i="31"/>
  <c r="AC557" i="31"/>
  <c r="AC558" i="31"/>
  <c r="AC559" i="31"/>
  <c r="AC560" i="31"/>
  <c r="AC561" i="31"/>
  <c r="AC562" i="31"/>
  <c r="AC563" i="31"/>
  <c r="AC564" i="31"/>
  <c r="AC565" i="31"/>
  <c r="AC566" i="31"/>
  <c r="AC567" i="31"/>
  <c r="AC568" i="31"/>
  <c r="AC569" i="31"/>
  <c r="AC570" i="31"/>
  <c r="AC571" i="31"/>
  <c r="AC572" i="31"/>
  <c r="AC573" i="31"/>
  <c r="AC574" i="31"/>
  <c r="AC575" i="31"/>
  <c r="AC576" i="31"/>
  <c r="AC577" i="31"/>
  <c r="AC578" i="31"/>
  <c r="AC579" i="31"/>
  <c r="AC580" i="31"/>
  <c r="AC581" i="31"/>
  <c r="AC582" i="31"/>
  <c r="AC583" i="31"/>
  <c r="AC584" i="31"/>
  <c r="AC585" i="31"/>
  <c r="AC586" i="31"/>
  <c r="AC587" i="31"/>
  <c r="AC588" i="31"/>
  <c r="AC589" i="31"/>
  <c r="AC590" i="31"/>
  <c r="AC591" i="31"/>
  <c r="AC592" i="31"/>
  <c r="AC593" i="31"/>
  <c r="AC594" i="31"/>
  <c r="AC595" i="31"/>
  <c r="AC596" i="31"/>
  <c r="AC597" i="31"/>
  <c r="AC598" i="31"/>
  <c r="AC599" i="31"/>
  <c r="AC600" i="31"/>
  <c r="AC601" i="31"/>
  <c r="AC602" i="31"/>
  <c r="AC603" i="31"/>
  <c r="AC604" i="31"/>
  <c r="AC605" i="31"/>
  <c r="AC606" i="31"/>
  <c r="AC607" i="31"/>
  <c r="AC608" i="31"/>
  <c r="AC609" i="31"/>
  <c r="AC610" i="31"/>
  <c r="AC611" i="31"/>
  <c r="AC612" i="31"/>
  <c r="AC613" i="31"/>
  <c r="AC614" i="31"/>
  <c r="AC615" i="31"/>
  <c r="AC616" i="31"/>
  <c r="AC617" i="31"/>
  <c r="AC618" i="31"/>
  <c r="AC619" i="31"/>
  <c r="AC620" i="31"/>
  <c r="AC621" i="31"/>
  <c r="AC622" i="31"/>
  <c r="AC623" i="31"/>
  <c r="AC624" i="31"/>
  <c r="AC625" i="31"/>
  <c r="AC626" i="31"/>
  <c r="AC627" i="31"/>
  <c r="AC628" i="31"/>
  <c r="AC629" i="31"/>
  <c r="AC630" i="31"/>
  <c r="AC631" i="31"/>
  <c r="AC632" i="31"/>
  <c r="AC633" i="31"/>
  <c r="AC634" i="31"/>
  <c r="AC635" i="31"/>
  <c r="AC636" i="31"/>
  <c r="AC637" i="31"/>
  <c r="AC638" i="31"/>
  <c r="AC639" i="31"/>
  <c r="AC640" i="31"/>
  <c r="AC641" i="31"/>
  <c r="AC642" i="31"/>
  <c r="AC643" i="31"/>
  <c r="AC644" i="31"/>
  <c r="AC645" i="31"/>
  <c r="AC646" i="31"/>
  <c r="AC647" i="31"/>
  <c r="AC648" i="31"/>
  <c r="AC649" i="31"/>
  <c r="AC650" i="31"/>
  <c r="AC651" i="31"/>
  <c r="AC652" i="31"/>
  <c r="AC653" i="31"/>
  <c r="AC654" i="31"/>
  <c r="AC655" i="31"/>
  <c r="AC656" i="31"/>
  <c r="AC657" i="31"/>
  <c r="AC658" i="31"/>
  <c r="AC659" i="31"/>
  <c r="AC660" i="31"/>
  <c r="AC661" i="31"/>
  <c r="AC662" i="31"/>
  <c r="AC663" i="31"/>
  <c r="AC664" i="31"/>
  <c r="AC665" i="31"/>
  <c r="AC666" i="31"/>
  <c r="AC667" i="31"/>
  <c r="AC668" i="31"/>
  <c r="AC669" i="31"/>
  <c r="AC670" i="31"/>
  <c r="AC671" i="31"/>
  <c r="AC672" i="31"/>
  <c r="AC673" i="31"/>
  <c r="AC674" i="31"/>
  <c r="AC675" i="31"/>
  <c r="AC676" i="31"/>
  <c r="AC677" i="31"/>
  <c r="AC678" i="31"/>
  <c r="AC679" i="31"/>
  <c r="AC680" i="31"/>
  <c r="AC681" i="31"/>
  <c r="AC682" i="31"/>
  <c r="AC683" i="31"/>
  <c r="AC684" i="31"/>
  <c r="AC685" i="31"/>
  <c r="AC686" i="31"/>
  <c r="AC687" i="31"/>
  <c r="AC688" i="31"/>
  <c r="AC689" i="31"/>
  <c r="AC690" i="31"/>
  <c r="AC691" i="31"/>
  <c r="AC692" i="31"/>
  <c r="AC693" i="31"/>
  <c r="AC694" i="31"/>
  <c r="AC695" i="31"/>
  <c r="AC696" i="31"/>
  <c r="AC697" i="31"/>
  <c r="AC698" i="31"/>
  <c r="AC699" i="31"/>
  <c r="AC700" i="31"/>
  <c r="AC701" i="31"/>
  <c r="AC702" i="31"/>
  <c r="AC703" i="31"/>
  <c r="AC704" i="31"/>
  <c r="AC705" i="31"/>
  <c r="AC706" i="31"/>
  <c r="AC707" i="31"/>
  <c r="AC708" i="31"/>
  <c r="AC709" i="31"/>
  <c r="AC710" i="31"/>
  <c r="AC711" i="31"/>
  <c r="AC712" i="31"/>
  <c r="AC713" i="31"/>
  <c r="AC714" i="31"/>
  <c r="AC715" i="31"/>
  <c r="AA3" i="31"/>
  <c r="E92" i="80"/>
  <c r="V6" i="31"/>
  <c r="V7" i="31"/>
  <c r="V8" i="31"/>
  <c r="V9" i="31"/>
  <c r="V10" i="31"/>
  <c r="V11" i="31"/>
  <c r="V12" i="31"/>
  <c r="V13" i="31"/>
  <c r="V14" i="31"/>
  <c r="V15" i="31"/>
  <c r="V16" i="31"/>
  <c r="V17" i="31"/>
  <c r="V18" i="31"/>
  <c r="V19" i="31"/>
  <c r="V20" i="31"/>
  <c r="V21" i="31"/>
  <c r="V22" i="31"/>
  <c r="V23" i="31"/>
  <c r="V24" i="31"/>
  <c r="V25" i="31"/>
  <c r="V26" i="31"/>
  <c r="V27" i="31"/>
  <c r="V28" i="31"/>
  <c r="V29" i="31"/>
  <c r="V30" i="31"/>
  <c r="V31" i="31"/>
  <c r="V32" i="31"/>
  <c r="V33" i="31"/>
  <c r="V320" i="31"/>
  <c r="V321" i="31"/>
  <c r="V322" i="31"/>
  <c r="V323" i="31"/>
  <c r="V324" i="31"/>
  <c r="V325" i="31"/>
  <c r="V326" i="31"/>
  <c r="V327" i="31"/>
  <c r="V328" i="31"/>
  <c r="V329" i="31"/>
  <c r="V330" i="31"/>
  <c r="V331" i="31"/>
  <c r="V332" i="31"/>
  <c r="V333" i="31"/>
  <c r="V334" i="31"/>
  <c r="V335" i="31"/>
  <c r="V336" i="31"/>
  <c r="V337" i="31"/>
  <c r="V338" i="31"/>
  <c r="V339" i="31"/>
  <c r="V340" i="31"/>
  <c r="V341" i="31"/>
  <c r="V342" i="31"/>
  <c r="V343" i="31"/>
  <c r="V344" i="31"/>
  <c r="V345" i="31"/>
  <c r="V346" i="31"/>
  <c r="V347" i="31"/>
  <c r="V348" i="31"/>
  <c r="V349" i="31"/>
  <c r="V350" i="31"/>
  <c r="V351" i="31"/>
  <c r="V352" i="31"/>
  <c r="V353" i="31"/>
  <c r="V354" i="31"/>
  <c r="V355" i="31"/>
  <c r="V356" i="31"/>
  <c r="V357" i="31"/>
  <c r="V358" i="31"/>
  <c r="V359" i="31"/>
  <c r="V360" i="31"/>
  <c r="V361" i="31"/>
  <c r="V362" i="31"/>
  <c r="V363" i="31"/>
  <c r="V364" i="31"/>
  <c r="V365" i="31"/>
  <c r="V366" i="31"/>
  <c r="V367" i="31"/>
  <c r="V368" i="31"/>
  <c r="V369" i="31"/>
  <c r="V370" i="31"/>
  <c r="V371" i="31"/>
  <c r="V372" i="31"/>
  <c r="V373" i="31"/>
  <c r="V374" i="31"/>
  <c r="V375" i="31"/>
  <c r="V376" i="31"/>
  <c r="V377" i="31"/>
  <c r="V378" i="31"/>
  <c r="V379" i="31"/>
  <c r="V380" i="31"/>
  <c r="V381" i="31"/>
  <c r="V382" i="31"/>
  <c r="V383" i="31"/>
  <c r="V384" i="31"/>
  <c r="V385" i="31"/>
  <c r="V386" i="31"/>
  <c r="V387" i="31"/>
  <c r="V388" i="31"/>
  <c r="V389" i="31"/>
  <c r="V390" i="31"/>
  <c r="V391" i="31"/>
  <c r="V392" i="31"/>
  <c r="V393" i="31"/>
  <c r="V394" i="31"/>
  <c r="V395" i="31"/>
  <c r="V396" i="31"/>
  <c r="V397" i="31"/>
  <c r="V398" i="31"/>
  <c r="V399" i="31"/>
  <c r="V400" i="31"/>
  <c r="V401" i="31"/>
  <c r="V402" i="31"/>
  <c r="V403" i="31"/>
  <c r="V404" i="31"/>
  <c r="V405" i="31"/>
  <c r="V406" i="31"/>
  <c r="V407" i="31"/>
  <c r="V408" i="31"/>
  <c r="V409" i="31"/>
  <c r="V410" i="31"/>
  <c r="V411" i="31"/>
  <c r="V412" i="31"/>
  <c r="V413" i="31"/>
  <c r="V414" i="31"/>
  <c r="V415" i="31"/>
  <c r="V416" i="31"/>
  <c r="V417" i="31"/>
  <c r="V418" i="31"/>
  <c r="V419" i="31"/>
  <c r="V420" i="31"/>
  <c r="V421" i="31"/>
  <c r="V422" i="31"/>
  <c r="V423" i="31"/>
  <c r="V424" i="31"/>
  <c r="V425" i="31"/>
  <c r="V426" i="31"/>
  <c r="V427" i="31"/>
  <c r="V428" i="31"/>
  <c r="V429" i="31"/>
  <c r="V430" i="31"/>
  <c r="V431" i="31"/>
  <c r="V432" i="31"/>
  <c r="V433" i="31"/>
  <c r="V434" i="31"/>
  <c r="V435" i="31"/>
  <c r="V436" i="31"/>
  <c r="V437" i="31"/>
  <c r="V438" i="31"/>
  <c r="V439" i="31"/>
  <c r="V440" i="31"/>
  <c r="V441" i="31"/>
  <c r="V442" i="31"/>
  <c r="V443" i="31"/>
  <c r="V444" i="31"/>
  <c r="V445" i="31"/>
  <c r="V446" i="31"/>
  <c r="V447" i="31"/>
  <c r="V448" i="31"/>
  <c r="V449" i="31"/>
  <c r="V450" i="31"/>
  <c r="V451" i="31"/>
  <c r="V452" i="31"/>
  <c r="V453" i="31"/>
  <c r="V454" i="31"/>
  <c r="V455" i="31"/>
  <c r="V456" i="31"/>
  <c r="V457" i="31"/>
  <c r="V458" i="31"/>
  <c r="V459" i="31"/>
  <c r="V460" i="31"/>
  <c r="V461" i="31"/>
  <c r="V462" i="31"/>
  <c r="V463" i="31"/>
  <c r="V464" i="31"/>
  <c r="V465" i="31"/>
  <c r="V466" i="31"/>
  <c r="V467" i="31"/>
  <c r="V468" i="31"/>
  <c r="V469" i="31"/>
  <c r="V470" i="31"/>
  <c r="V471" i="31"/>
  <c r="V472" i="31"/>
  <c r="V473" i="31"/>
  <c r="V474" i="31"/>
  <c r="V475" i="31"/>
  <c r="V476" i="31"/>
  <c r="V477" i="31"/>
  <c r="V478" i="31"/>
  <c r="V479" i="31"/>
  <c r="V480" i="31"/>
  <c r="V481" i="31"/>
  <c r="V482" i="31"/>
  <c r="V483" i="31"/>
  <c r="V484" i="31"/>
  <c r="V485" i="31"/>
  <c r="V486" i="31"/>
  <c r="V487" i="31"/>
  <c r="V488" i="31"/>
  <c r="V489" i="31"/>
  <c r="V490" i="31"/>
  <c r="V491" i="31"/>
  <c r="V492" i="31"/>
  <c r="V493" i="31"/>
  <c r="V494" i="31"/>
  <c r="V495" i="31"/>
  <c r="V496" i="31"/>
  <c r="V497" i="31"/>
  <c r="V498" i="31"/>
  <c r="V499" i="31"/>
  <c r="V500" i="31"/>
  <c r="V501" i="31"/>
  <c r="V502" i="31"/>
  <c r="V503" i="31"/>
  <c r="V504" i="31"/>
  <c r="V505" i="31"/>
  <c r="V506" i="31"/>
  <c r="V507" i="31"/>
  <c r="V508" i="31"/>
  <c r="V509" i="31"/>
  <c r="V510" i="31"/>
  <c r="V511" i="31"/>
  <c r="V512" i="31"/>
  <c r="V513" i="31"/>
  <c r="V514" i="31"/>
  <c r="V515" i="31"/>
  <c r="V516" i="31"/>
  <c r="V517" i="31"/>
  <c r="V518" i="31"/>
  <c r="V519" i="31"/>
  <c r="V520" i="31"/>
  <c r="V521" i="31"/>
  <c r="V522" i="31"/>
  <c r="V523" i="31"/>
  <c r="V524" i="31"/>
  <c r="V525" i="31"/>
  <c r="V526" i="31"/>
  <c r="V527" i="31"/>
  <c r="V528" i="31"/>
  <c r="V529" i="31"/>
  <c r="V530" i="31"/>
  <c r="V531" i="31"/>
  <c r="V532" i="31"/>
  <c r="V533" i="31"/>
  <c r="V534" i="31"/>
  <c r="V535" i="31"/>
  <c r="V536" i="31"/>
  <c r="V537" i="31"/>
  <c r="V538" i="31"/>
  <c r="V539" i="31"/>
  <c r="V540" i="31"/>
  <c r="V541" i="31"/>
  <c r="V542" i="31"/>
  <c r="V543" i="31"/>
  <c r="V544" i="31"/>
  <c r="V545" i="31"/>
  <c r="V546" i="31"/>
  <c r="V547" i="31"/>
  <c r="V548" i="31"/>
  <c r="V549" i="31"/>
  <c r="V550" i="31"/>
  <c r="V551" i="31"/>
  <c r="V552" i="31"/>
  <c r="V553" i="31"/>
  <c r="V554" i="31"/>
  <c r="V555" i="31"/>
  <c r="V556" i="31"/>
  <c r="V557" i="31"/>
  <c r="V558" i="31"/>
  <c r="V559" i="31"/>
  <c r="V560" i="31"/>
  <c r="V561" i="31"/>
  <c r="V562" i="31"/>
  <c r="V563" i="31"/>
  <c r="V564" i="31"/>
  <c r="V565" i="31"/>
  <c r="V566" i="31"/>
  <c r="V567" i="31"/>
  <c r="V568" i="31"/>
  <c r="V569" i="31"/>
  <c r="V570" i="31"/>
  <c r="V571" i="31"/>
  <c r="V572" i="31"/>
  <c r="V573" i="31"/>
  <c r="V574" i="31"/>
  <c r="V575" i="31"/>
  <c r="V576" i="31"/>
  <c r="V577" i="31"/>
  <c r="V578" i="31"/>
  <c r="V579" i="31"/>
  <c r="V580" i="31"/>
  <c r="V581" i="31"/>
  <c r="V582" i="31"/>
  <c r="V583" i="31"/>
  <c r="V584" i="31"/>
  <c r="V585" i="31"/>
  <c r="V586" i="31"/>
  <c r="V587" i="31"/>
  <c r="V588" i="31"/>
  <c r="V589" i="31"/>
  <c r="V590" i="31"/>
  <c r="V591" i="31"/>
  <c r="V592" i="31"/>
  <c r="V593" i="31"/>
  <c r="V594" i="31"/>
  <c r="V595" i="31"/>
  <c r="V596" i="31"/>
  <c r="V597" i="31"/>
  <c r="V598" i="31"/>
  <c r="V599" i="31"/>
  <c r="V600" i="31"/>
  <c r="V601" i="31"/>
  <c r="V602" i="31"/>
  <c r="V603" i="31"/>
  <c r="V604" i="31"/>
  <c r="V605" i="31"/>
  <c r="V606" i="31"/>
  <c r="V607" i="31"/>
  <c r="V608" i="31"/>
  <c r="V609" i="31"/>
  <c r="V610" i="31"/>
  <c r="V611" i="31"/>
  <c r="V612" i="31"/>
  <c r="V613" i="31"/>
  <c r="V614" i="31"/>
  <c r="V615" i="31"/>
  <c r="V616" i="31"/>
  <c r="V617" i="31"/>
  <c r="V618" i="31"/>
  <c r="V619" i="31"/>
  <c r="V620" i="31"/>
  <c r="V621" i="31"/>
  <c r="V622" i="31"/>
  <c r="V623" i="31"/>
  <c r="V624" i="31"/>
  <c r="V625" i="31"/>
  <c r="V626" i="31"/>
  <c r="V627" i="31"/>
  <c r="V628" i="31"/>
  <c r="V629" i="31"/>
  <c r="V630" i="31"/>
  <c r="V631" i="31"/>
  <c r="V632" i="31"/>
  <c r="V633" i="31"/>
  <c r="V634" i="31"/>
  <c r="V635" i="31"/>
  <c r="V636" i="31"/>
  <c r="V637" i="31"/>
  <c r="V638" i="31"/>
  <c r="V639" i="31"/>
  <c r="V640" i="31"/>
  <c r="V641" i="31"/>
  <c r="V642" i="31"/>
  <c r="V643" i="31"/>
  <c r="V644" i="31"/>
  <c r="V645" i="31"/>
  <c r="V646" i="31"/>
  <c r="V647" i="31"/>
  <c r="V648" i="31"/>
  <c r="V649" i="31"/>
  <c r="V650" i="31"/>
  <c r="V651" i="31"/>
  <c r="V652" i="31"/>
  <c r="V653" i="31"/>
  <c r="V654" i="31"/>
  <c r="V655" i="31"/>
  <c r="V656" i="31"/>
  <c r="V657" i="31"/>
  <c r="V658" i="31"/>
  <c r="V659" i="31"/>
  <c r="V660" i="31"/>
  <c r="V661" i="31"/>
  <c r="V662" i="31"/>
  <c r="V663" i="31"/>
  <c r="V664" i="31"/>
  <c r="V665" i="31"/>
  <c r="V666" i="31"/>
  <c r="V667" i="31"/>
  <c r="V668" i="31"/>
  <c r="V669" i="31"/>
  <c r="V670" i="31"/>
  <c r="V671" i="31"/>
  <c r="V672" i="31"/>
  <c r="V673" i="31"/>
  <c r="V674" i="31"/>
  <c r="V675" i="31"/>
  <c r="V676" i="31"/>
  <c r="V677" i="31"/>
  <c r="V678" i="31"/>
  <c r="V679" i="31"/>
  <c r="V680" i="31"/>
  <c r="V681" i="31"/>
  <c r="V682" i="31"/>
  <c r="V683" i="31"/>
  <c r="V684" i="31"/>
  <c r="V685" i="31"/>
  <c r="V686" i="31"/>
  <c r="V687" i="31"/>
  <c r="V688" i="31"/>
  <c r="V689" i="31"/>
  <c r="V690" i="31"/>
  <c r="V691" i="31"/>
  <c r="V692" i="31"/>
  <c r="V693" i="31"/>
  <c r="V694" i="31"/>
  <c r="V695" i="31"/>
  <c r="V696" i="31"/>
  <c r="V697" i="31"/>
  <c r="V698" i="31"/>
  <c r="V699" i="31"/>
  <c r="V700" i="31"/>
  <c r="V701" i="31"/>
  <c r="V702" i="31"/>
  <c r="V703" i="31"/>
  <c r="V704" i="31"/>
  <c r="V705" i="31"/>
  <c r="V706" i="31"/>
  <c r="V707" i="31"/>
  <c r="V708" i="31"/>
  <c r="V709" i="31"/>
  <c r="V710" i="31"/>
  <c r="V711" i="31"/>
  <c r="V712" i="31"/>
  <c r="V713" i="31"/>
  <c r="V714" i="31"/>
  <c r="V715" i="31"/>
  <c r="W6" i="31"/>
  <c r="W7" i="31"/>
  <c r="W8" i="31"/>
  <c r="W9" i="31"/>
  <c r="W10" i="31"/>
  <c r="W11" i="31"/>
  <c r="W12" i="31"/>
  <c r="W13" i="31"/>
  <c r="W14" i="31"/>
  <c r="W15" i="31"/>
  <c r="W16" i="31"/>
  <c r="W17" i="31"/>
  <c r="W18" i="31"/>
  <c r="W19" i="31"/>
  <c r="W20" i="31"/>
  <c r="W21" i="31"/>
  <c r="W22" i="31"/>
  <c r="W23" i="31"/>
  <c r="W24" i="31"/>
  <c r="W25" i="31"/>
  <c r="W26" i="31"/>
  <c r="W27" i="31"/>
  <c r="W28" i="31"/>
  <c r="W29" i="31"/>
  <c r="W30" i="31"/>
  <c r="W31" i="31"/>
  <c r="W32" i="31"/>
  <c r="W33" i="31"/>
  <c r="W34" i="31"/>
  <c r="W35" i="31"/>
  <c r="W36" i="31"/>
  <c r="W37" i="31"/>
  <c r="W38" i="31"/>
  <c r="W39" i="31"/>
  <c r="W40" i="31"/>
  <c r="W41" i="31"/>
  <c r="W42" i="31"/>
  <c r="W43" i="31"/>
  <c r="W44" i="31"/>
  <c r="W45" i="31"/>
  <c r="W46" i="31"/>
  <c r="W47" i="31"/>
  <c r="W48" i="31"/>
  <c r="W49" i="31"/>
  <c r="W50" i="31"/>
  <c r="W51" i="31"/>
  <c r="W52" i="31"/>
  <c r="W53" i="31"/>
  <c r="W54" i="31"/>
  <c r="W55" i="31"/>
  <c r="W56" i="31"/>
  <c r="W57" i="31"/>
  <c r="W58" i="31"/>
  <c r="W59" i="31"/>
  <c r="W60" i="31"/>
  <c r="W61" i="31"/>
  <c r="W62" i="31"/>
  <c r="W63" i="31"/>
  <c r="W64" i="31"/>
  <c r="W65" i="31"/>
  <c r="W66" i="31"/>
  <c r="W67" i="31"/>
  <c r="W68" i="31"/>
  <c r="W69" i="31"/>
  <c r="W70" i="31"/>
  <c r="W71" i="31"/>
  <c r="W72" i="31"/>
  <c r="W73" i="31"/>
  <c r="W74" i="31"/>
  <c r="W75" i="31"/>
  <c r="W76" i="31"/>
  <c r="W77" i="31"/>
  <c r="W78" i="31"/>
  <c r="W79" i="31"/>
  <c r="W80" i="31"/>
  <c r="W81" i="31"/>
  <c r="W82" i="31"/>
  <c r="W83" i="31"/>
  <c r="W84" i="31"/>
  <c r="W85" i="31"/>
  <c r="W86" i="31"/>
  <c r="W87" i="31"/>
  <c r="W88" i="31"/>
  <c r="W89" i="31"/>
  <c r="W90" i="31"/>
  <c r="W91" i="31"/>
  <c r="W92" i="31"/>
  <c r="W93" i="31"/>
  <c r="W94" i="31"/>
  <c r="W95" i="31"/>
  <c r="W96" i="31"/>
  <c r="W97" i="31"/>
  <c r="W98" i="31"/>
  <c r="W99" i="31"/>
  <c r="W100" i="31"/>
  <c r="W101" i="31"/>
  <c r="W102" i="31"/>
  <c r="W103" i="31"/>
  <c r="W104" i="31"/>
  <c r="W105" i="31"/>
  <c r="W106" i="31"/>
  <c r="W107" i="31"/>
  <c r="W108" i="31"/>
  <c r="W109" i="31"/>
  <c r="W110" i="31"/>
  <c r="W111" i="31"/>
  <c r="W112" i="31"/>
  <c r="W113" i="31"/>
  <c r="W114" i="31"/>
  <c r="W115" i="31"/>
  <c r="W116" i="31"/>
  <c r="W117" i="31"/>
  <c r="W118" i="31"/>
  <c r="W119" i="31"/>
  <c r="W120" i="31"/>
  <c r="W121" i="31"/>
  <c r="W122" i="31"/>
  <c r="W123" i="31"/>
  <c r="W124" i="31"/>
  <c r="W125" i="31"/>
  <c r="W126" i="31"/>
  <c r="W127" i="31"/>
  <c r="W128" i="31"/>
  <c r="W129" i="31"/>
  <c r="W130" i="31"/>
  <c r="W131" i="31"/>
  <c r="W132" i="31"/>
  <c r="W133" i="31"/>
  <c r="W134" i="31"/>
  <c r="W135" i="31"/>
  <c r="W136" i="31"/>
  <c r="W137" i="31"/>
  <c r="W138" i="31"/>
  <c r="W139" i="31"/>
  <c r="W140" i="31"/>
  <c r="W141" i="31"/>
  <c r="W142" i="31"/>
  <c r="W143" i="31"/>
  <c r="W144" i="31"/>
  <c r="W145" i="31"/>
  <c r="W146" i="31"/>
  <c r="W147" i="31"/>
  <c r="W148" i="31"/>
  <c r="W149" i="31"/>
  <c r="W150" i="31"/>
  <c r="W151" i="31"/>
  <c r="W152" i="31"/>
  <c r="W153" i="31"/>
  <c r="W154" i="31"/>
  <c r="W155" i="31"/>
  <c r="W156" i="31"/>
  <c r="W157" i="31"/>
  <c r="W158" i="31"/>
  <c r="W159" i="31"/>
  <c r="W160" i="31"/>
  <c r="W161" i="31"/>
  <c r="W162" i="31"/>
  <c r="W163" i="31"/>
  <c r="W164" i="31"/>
  <c r="W165" i="31"/>
  <c r="W166" i="31"/>
  <c r="W167" i="31"/>
  <c r="W168" i="31"/>
  <c r="W169" i="31"/>
  <c r="W170" i="31"/>
  <c r="W171" i="31"/>
  <c r="W172" i="31"/>
  <c r="W173" i="31"/>
  <c r="W174" i="31"/>
  <c r="W175" i="31"/>
  <c r="W176" i="31"/>
  <c r="W177" i="31"/>
  <c r="W178" i="31"/>
  <c r="W179" i="31"/>
  <c r="W180" i="31"/>
  <c r="W181" i="31"/>
  <c r="W182" i="31"/>
  <c r="W183" i="31"/>
  <c r="W184" i="31"/>
  <c r="W185" i="31"/>
  <c r="W186" i="31"/>
  <c r="W187" i="31"/>
  <c r="W188" i="31"/>
  <c r="W189" i="31"/>
  <c r="W190" i="31"/>
  <c r="W191" i="31"/>
  <c r="W192" i="31"/>
  <c r="W193" i="31"/>
  <c r="W194" i="31"/>
  <c r="W195" i="31"/>
  <c r="W196" i="31"/>
  <c r="W197" i="31"/>
  <c r="W198" i="31"/>
  <c r="W199" i="31"/>
  <c r="W200" i="31"/>
  <c r="W201" i="31"/>
  <c r="W202" i="31"/>
  <c r="W203" i="31"/>
  <c r="W204" i="31"/>
  <c r="W205" i="31"/>
  <c r="W206" i="31"/>
  <c r="W207" i="31"/>
  <c r="W208" i="31"/>
  <c r="W209" i="31"/>
  <c r="W210" i="31"/>
  <c r="W211" i="31"/>
  <c r="W212" i="31"/>
  <c r="W213" i="31"/>
  <c r="W214" i="31"/>
  <c r="W215" i="31"/>
  <c r="W216" i="31"/>
  <c r="W217" i="31"/>
  <c r="W218" i="31"/>
  <c r="W219" i="31"/>
  <c r="W220" i="31"/>
  <c r="W221" i="31"/>
  <c r="W222" i="31"/>
  <c r="W223" i="31"/>
  <c r="W224" i="31"/>
  <c r="W225" i="31"/>
  <c r="W226" i="31"/>
  <c r="W227" i="31"/>
  <c r="W228" i="31"/>
  <c r="W229" i="31"/>
  <c r="W230" i="31"/>
  <c r="W231" i="31"/>
  <c r="W232" i="31"/>
  <c r="W233" i="31"/>
  <c r="W234" i="31"/>
  <c r="W235" i="31"/>
  <c r="W236" i="31"/>
  <c r="W237" i="31"/>
  <c r="W238" i="31"/>
  <c r="W239" i="31"/>
  <c r="W240" i="31"/>
  <c r="W241" i="31"/>
  <c r="W242" i="31"/>
  <c r="W243" i="31"/>
  <c r="W244" i="31"/>
  <c r="W245" i="31"/>
  <c r="W246" i="31"/>
  <c r="W247" i="31"/>
  <c r="W248" i="31"/>
  <c r="W249" i="31"/>
  <c r="W250" i="31"/>
  <c r="W251" i="31"/>
  <c r="W252" i="31"/>
  <c r="W253" i="31"/>
  <c r="W254" i="31"/>
  <c r="W255" i="31"/>
  <c r="W256" i="31"/>
  <c r="W257" i="31"/>
  <c r="W258" i="31"/>
  <c r="W259" i="31"/>
  <c r="W260" i="31"/>
  <c r="W261" i="31"/>
  <c r="W262" i="31"/>
  <c r="W263" i="31"/>
  <c r="W264" i="31"/>
  <c r="W265" i="31"/>
  <c r="W266" i="31"/>
  <c r="W267" i="31"/>
  <c r="W268" i="31"/>
  <c r="W269" i="31"/>
  <c r="W270" i="31"/>
  <c r="W271" i="31"/>
  <c r="W272" i="31"/>
  <c r="W273" i="31"/>
  <c r="W274" i="31"/>
  <c r="W275" i="31"/>
  <c r="W276" i="31"/>
  <c r="W277" i="31"/>
  <c r="W278" i="31"/>
  <c r="W279" i="31"/>
  <c r="W280" i="31"/>
  <c r="W281" i="31"/>
  <c r="W282" i="31"/>
  <c r="W283" i="31"/>
  <c r="W284" i="31"/>
  <c r="W285" i="31"/>
  <c r="W286" i="31"/>
  <c r="W287" i="31"/>
  <c r="W288" i="31"/>
  <c r="W289" i="31"/>
  <c r="W290" i="31"/>
  <c r="W291" i="31"/>
  <c r="W292" i="31"/>
  <c r="W293" i="31"/>
  <c r="W294" i="31"/>
  <c r="W295" i="31"/>
  <c r="W296" i="31"/>
  <c r="W297" i="31"/>
  <c r="W298" i="31"/>
  <c r="W299" i="31"/>
  <c r="W300" i="31"/>
  <c r="W301" i="31"/>
  <c r="W302" i="31"/>
  <c r="W303" i="31"/>
  <c r="W304" i="31"/>
  <c r="W305" i="31"/>
  <c r="W306" i="31"/>
  <c r="W307" i="31"/>
  <c r="W308" i="31"/>
  <c r="W309" i="31"/>
  <c r="W310" i="31"/>
  <c r="W311" i="31"/>
  <c r="W312" i="31"/>
  <c r="W313" i="31"/>
  <c r="W314" i="31"/>
  <c r="W315" i="31"/>
  <c r="W316" i="31"/>
  <c r="W317" i="31"/>
  <c r="W318" i="31"/>
  <c r="W319" i="31"/>
  <c r="W320" i="31"/>
  <c r="W321" i="31"/>
  <c r="W322" i="31"/>
  <c r="W323" i="31"/>
  <c r="W324" i="31"/>
  <c r="W325" i="31"/>
  <c r="W326" i="31"/>
  <c r="W327" i="31"/>
  <c r="W328" i="31"/>
  <c r="W329" i="31"/>
  <c r="W330" i="31"/>
  <c r="W331" i="31"/>
  <c r="W332" i="31"/>
  <c r="W333" i="31"/>
  <c r="W334" i="31"/>
  <c r="W335" i="31"/>
  <c r="W336" i="31"/>
  <c r="W337" i="31"/>
  <c r="W338" i="31"/>
  <c r="W339" i="31"/>
  <c r="W340" i="31"/>
  <c r="W341" i="31"/>
  <c r="W342" i="31"/>
  <c r="W343" i="31"/>
  <c r="W344" i="31"/>
  <c r="W345" i="31"/>
  <c r="W346" i="31"/>
  <c r="W347" i="31"/>
  <c r="W348" i="31"/>
  <c r="W349" i="31"/>
  <c r="W350" i="31"/>
  <c r="W351" i="31"/>
  <c r="W352" i="31"/>
  <c r="W353" i="31"/>
  <c r="W354" i="31"/>
  <c r="W355" i="31"/>
  <c r="W356" i="31"/>
  <c r="W357" i="31"/>
  <c r="W358" i="31"/>
  <c r="W359" i="31"/>
  <c r="W360" i="31"/>
  <c r="W361" i="31"/>
  <c r="W362" i="31"/>
  <c r="W363" i="31"/>
  <c r="W364" i="31"/>
  <c r="W365" i="31"/>
  <c r="W366" i="31"/>
  <c r="W367" i="31"/>
  <c r="W368" i="31"/>
  <c r="W369" i="31"/>
  <c r="W370" i="31"/>
  <c r="W371" i="31"/>
  <c r="W372" i="31"/>
  <c r="W373" i="31"/>
  <c r="W374" i="31"/>
  <c r="W375" i="31"/>
  <c r="W376" i="31"/>
  <c r="W377" i="31"/>
  <c r="W378" i="31"/>
  <c r="W379" i="31"/>
  <c r="W380" i="31"/>
  <c r="W381" i="31"/>
  <c r="W382" i="31"/>
  <c r="W383" i="31"/>
  <c r="W384" i="31"/>
  <c r="W385" i="31"/>
  <c r="W386" i="31"/>
  <c r="W387" i="31"/>
  <c r="W388" i="31"/>
  <c r="W389" i="31"/>
  <c r="W390" i="31"/>
  <c r="W391" i="31"/>
  <c r="W392" i="31"/>
  <c r="W393" i="31"/>
  <c r="W394" i="31"/>
  <c r="W395" i="31"/>
  <c r="W396" i="31"/>
  <c r="W397" i="31"/>
  <c r="W398" i="31"/>
  <c r="W399" i="31"/>
  <c r="W400" i="31"/>
  <c r="W401" i="31"/>
  <c r="W402" i="31"/>
  <c r="W403" i="31"/>
  <c r="W404" i="31"/>
  <c r="W405" i="31"/>
  <c r="W406" i="31"/>
  <c r="W407" i="31"/>
  <c r="W408" i="31"/>
  <c r="W409" i="31"/>
  <c r="W410" i="31"/>
  <c r="W411" i="31"/>
  <c r="W412" i="31"/>
  <c r="W413" i="31"/>
  <c r="W414" i="31"/>
  <c r="W415" i="31"/>
  <c r="W416" i="31"/>
  <c r="W417" i="31"/>
  <c r="W418" i="31"/>
  <c r="W419" i="31"/>
  <c r="W420" i="31"/>
  <c r="W421" i="31"/>
  <c r="W422" i="31"/>
  <c r="W423" i="31"/>
  <c r="W424" i="31"/>
  <c r="W425" i="31"/>
  <c r="W426" i="31"/>
  <c r="W427" i="31"/>
  <c r="W428" i="31"/>
  <c r="W429" i="31"/>
  <c r="W430" i="31"/>
  <c r="W431" i="31"/>
  <c r="W432" i="31"/>
  <c r="W433" i="31"/>
  <c r="W434" i="31"/>
  <c r="W435" i="31"/>
  <c r="W436" i="31"/>
  <c r="W437" i="31"/>
  <c r="W438" i="31"/>
  <c r="W439" i="31"/>
  <c r="W440" i="31"/>
  <c r="W441" i="31"/>
  <c r="W442" i="31"/>
  <c r="W443" i="31"/>
  <c r="W444" i="31"/>
  <c r="W445" i="31"/>
  <c r="W446" i="31"/>
  <c r="W447" i="31"/>
  <c r="W448" i="31"/>
  <c r="W449" i="31"/>
  <c r="W450" i="31"/>
  <c r="W451" i="31"/>
  <c r="W452" i="31"/>
  <c r="W453" i="31"/>
  <c r="W454" i="31"/>
  <c r="W455" i="31"/>
  <c r="W456" i="31"/>
  <c r="W457" i="31"/>
  <c r="W458" i="31"/>
  <c r="W459" i="31"/>
  <c r="W460" i="31"/>
  <c r="W461" i="31"/>
  <c r="W462" i="31"/>
  <c r="W463" i="31"/>
  <c r="W464" i="31"/>
  <c r="W465" i="31"/>
  <c r="W466" i="31"/>
  <c r="W467" i="31"/>
  <c r="W468" i="31"/>
  <c r="W469" i="31"/>
  <c r="W470" i="31"/>
  <c r="W471" i="31"/>
  <c r="W472" i="31"/>
  <c r="W473" i="31"/>
  <c r="W474" i="31"/>
  <c r="W475" i="31"/>
  <c r="W476" i="31"/>
  <c r="W477" i="31"/>
  <c r="W478" i="31"/>
  <c r="W479" i="31"/>
  <c r="W480" i="31"/>
  <c r="W481" i="31"/>
  <c r="W482" i="31"/>
  <c r="W483" i="31"/>
  <c r="W484" i="31"/>
  <c r="W485" i="31"/>
  <c r="W486" i="31"/>
  <c r="W487" i="31"/>
  <c r="W488" i="31"/>
  <c r="W489" i="31"/>
  <c r="W490" i="31"/>
  <c r="W491" i="31"/>
  <c r="W492" i="31"/>
  <c r="W493" i="31"/>
  <c r="W494" i="31"/>
  <c r="W495" i="31"/>
  <c r="W496" i="31"/>
  <c r="W497" i="31"/>
  <c r="W498" i="31"/>
  <c r="W499" i="31"/>
  <c r="W500" i="31"/>
  <c r="W501" i="31"/>
  <c r="W502" i="31"/>
  <c r="W503" i="31"/>
  <c r="W504" i="31"/>
  <c r="W505" i="31"/>
  <c r="W506" i="31"/>
  <c r="W507" i="31"/>
  <c r="W508" i="31"/>
  <c r="W509" i="31"/>
  <c r="W510" i="31"/>
  <c r="W511" i="31"/>
  <c r="W512" i="31"/>
  <c r="W513" i="31"/>
  <c r="W514" i="31"/>
  <c r="W515" i="31"/>
  <c r="W516" i="31"/>
  <c r="W517" i="31"/>
  <c r="W518" i="31"/>
  <c r="W519" i="31"/>
  <c r="W520" i="31"/>
  <c r="W521" i="31"/>
  <c r="W522" i="31"/>
  <c r="W523" i="31"/>
  <c r="W524" i="31"/>
  <c r="W525" i="31"/>
  <c r="W526" i="31"/>
  <c r="W527" i="31"/>
  <c r="W528" i="31"/>
  <c r="W529" i="31"/>
  <c r="W530" i="31"/>
  <c r="W531" i="31"/>
  <c r="W532" i="31"/>
  <c r="W533" i="31"/>
  <c r="W534" i="31"/>
  <c r="W535" i="31"/>
  <c r="W536" i="31"/>
  <c r="W537" i="31"/>
  <c r="W538" i="31"/>
  <c r="W539" i="31"/>
  <c r="W540" i="31"/>
  <c r="W541" i="31"/>
  <c r="W542" i="31"/>
  <c r="W543" i="31"/>
  <c r="W544" i="31"/>
  <c r="W545" i="31"/>
  <c r="W546" i="31"/>
  <c r="W547" i="31"/>
  <c r="W548" i="31"/>
  <c r="W549" i="31"/>
  <c r="W550" i="31"/>
  <c r="W551" i="31"/>
  <c r="W552" i="31"/>
  <c r="W553" i="31"/>
  <c r="W554" i="31"/>
  <c r="W555" i="31"/>
  <c r="W556" i="31"/>
  <c r="W557" i="31"/>
  <c r="W558" i="31"/>
  <c r="W559" i="31"/>
  <c r="W560" i="31"/>
  <c r="W561" i="31"/>
  <c r="W562" i="31"/>
  <c r="W563" i="31"/>
  <c r="W564" i="31"/>
  <c r="W565" i="31"/>
  <c r="W566" i="31"/>
  <c r="W567" i="31"/>
  <c r="W568" i="31"/>
  <c r="W569" i="31"/>
  <c r="W570" i="31"/>
  <c r="W571" i="31"/>
  <c r="W572" i="31"/>
  <c r="W573" i="31"/>
  <c r="W574" i="31"/>
  <c r="W575" i="31"/>
  <c r="W576" i="31"/>
  <c r="W577" i="31"/>
  <c r="W578" i="31"/>
  <c r="W579" i="31"/>
  <c r="W580" i="31"/>
  <c r="W581" i="31"/>
  <c r="W582" i="31"/>
  <c r="W583" i="31"/>
  <c r="W584" i="31"/>
  <c r="W585" i="31"/>
  <c r="W586" i="31"/>
  <c r="W587" i="31"/>
  <c r="W588" i="31"/>
  <c r="W589" i="31"/>
  <c r="W590" i="31"/>
  <c r="W591" i="31"/>
  <c r="W592" i="31"/>
  <c r="W593" i="31"/>
  <c r="W594" i="31"/>
  <c r="W595" i="31"/>
  <c r="W596" i="31"/>
  <c r="W597" i="31"/>
  <c r="W598" i="31"/>
  <c r="W599" i="31"/>
  <c r="W600" i="31"/>
  <c r="W601" i="31"/>
  <c r="W602" i="31"/>
  <c r="W603" i="31"/>
  <c r="W604" i="31"/>
  <c r="W605" i="31"/>
  <c r="W606" i="31"/>
  <c r="W607" i="31"/>
  <c r="W608" i="31"/>
  <c r="W609" i="31"/>
  <c r="W610" i="31"/>
  <c r="W611" i="31"/>
  <c r="W612" i="31"/>
  <c r="W613" i="31"/>
  <c r="W614" i="31"/>
  <c r="W615" i="31"/>
  <c r="W616" i="31"/>
  <c r="W617" i="31"/>
  <c r="W618" i="31"/>
  <c r="W619" i="31"/>
  <c r="W620" i="31"/>
  <c r="W621" i="31"/>
  <c r="W622" i="31"/>
  <c r="W623" i="31"/>
  <c r="W624" i="31"/>
  <c r="W625" i="31"/>
  <c r="W626" i="31"/>
  <c r="W627" i="31"/>
  <c r="W628" i="31"/>
  <c r="W629" i="31"/>
  <c r="W630" i="31"/>
  <c r="W631" i="31"/>
  <c r="W632" i="31"/>
  <c r="W633" i="31"/>
  <c r="W634" i="31"/>
  <c r="W635" i="31"/>
  <c r="W636" i="31"/>
  <c r="W637" i="31"/>
  <c r="W638" i="31"/>
  <c r="W639" i="31"/>
  <c r="W640" i="31"/>
  <c r="W641" i="31"/>
  <c r="W642" i="31"/>
  <c r="W643" i="31"/>
  <c r="W644" i="31"/>
  <c r="W645" i="31"/>
  <c r="W646" i="31"/>
  <c r="W647" i="31"/>
  <c r="W648" i="31"/>
  <c r="W649" i="31"/>
  <c r="W650" i="31"/>
  <c r="W651" i="31"/>
  <c r="W652" i="31"/>
  <c r="W653" i="31"/>
  <c r="W654" i="31"/>
  <c r="W655" i="31"/>
  <c r="W656" i="31"/>
  <c r="W657" i="31"/>
  <c r="W658" i="31"/>
  <c r="W659" i="31"/>
  <c r="W660" i="31"/>
  <c r="W661" i="31"/>
  <c r="W662" i="31"/>
  <c r="W663" i="31"/>
  <c r="W664" i="31"/>
  <c r="W665" i="31"/>
  <c r="W666" i="31"/>
  <c r="W667" i="31"/>
  <c r="W668" i="31"/>
  <c r="W669" i="31"/>
  <c r="W670" i="31"/>
  <c r="W671" i="31"/>
  <c r="W672" i="31"/>
  <c r="W673" i="31"/>
  <c r="W674" i="31"/>
  <c r="W675" i="31"/>
  <c r="W676" i="31"/>
  <c r="W677" i="31"/>
  <c r="W678" i="31"/>
  <c r="W679" i="31"/>
  <c r="W680" i="31"/>
  <c r="W681" i="31"/>
  <c r="W682" i="31"/>
  <c r="W683" i="31"/>
  <c r="W684" i="31"/>
  <c r="W685" i="31"/>
  <c r="W686" i="31"/>
  <c r="W687" i="31"/>
  <c r="W688" i="31"/>
  <c r="W689" i="31"/>
  <c r="W690" i="31"/>
  <c r="W691" i="31"/>
  <c r="W692" i="31"/>
  <c r="W693" i="31"/>
  <c r="W694" i="31"/>
  <c r="W695" i="31"/>
  <c r="W696" i="31"/>
  <c r="W697" i="31"/>
  <c r="W698" i="31"/>
  <c r="W699" i="31"/>
  <c r="W700" i="31"/>
  <c r="W701" i="31"/>
  <c r="W702" i="31"/>
  <c r="W703" i="31"/>
  <c r="W704" i="31"/>
  <c r="W705" i="31"/>
  <c r="W706" i="31"/>
  <c r="W707" i="31"/>
  <c r="W708" i="31"/>
  <c r="W709" i="31"/>
  <c r="W710" i="31"/>
  <c r="W711" i="31"/>
  <c r="W712" i="31"/>
  <c r="W713" i="31"/>
  <c r="W714" i="31"/>
  <c r="W715" i="31"/>
  <c r="U3" i="31"/>
  <c r="E91" i="80"/>
  <c r="P7" i="31"/>
  <c r="P8" i="31"/>
  <c r="P9" i="31"/>
  <c r="P10" i="31"/>
  <c r="P11" i="31"/>
  <c r="P12" i="31"/>
  <c r="P13" i="31"/>
  <c r="P14" i="31"/>
  <c r="P15" i="31"/>
  <c r="P16" i="31"/>
  <c r="P17" i="31"/>
  <c r="P18" i="31"/>
  <c r="P19" i="31"/>
  <c r="P20" i="31"/>
  <c r="P21" i="31"/>
  <c r="P22" i="31"/>
  <c r="P23" i="31"/>
  <c r="P24" i="31"/>
  <c r="P25" i="31"/>
  <c r="P26" i="31"/>
  <c r="P27" i="31"/>
  <c r="P28" i="31"/>
  <c r="P29" i="31"/>
  <c r="P30" i="31"/>
  <c r="P31" i="31"/>
  <c r="P32" i="31"/>
  <c r="P255" i="31"/>
  <c r="P256" i="31"/>
  <c r="P257" i="31"/>
  <c r="P258" i="31"/>
  <c r="P259" i="31"/>
  <c r="P260" i="31"/>
  <c r="P261" i="31"/>
  <c r="P262" i="31"/>
  <c r="P263" i="31"/>
  <c r="P264" i="31"/>
  <c r="P265" i="31"/>
  <c r="P266" i="31"/>
  <c r="P267" i="31"/>
  <c r="P268" i="31"/>
  <c r="P269" i="31"/>
  <c r="P270" i="31"/>
  <c r="P271" i="31"/>
  <c r="P272" i="31"/>
  <c r="P273" i="31"/>
  <c r="P274" i="31"/>
  <c r="P275" i="31"/>
  <c r="P276" i="31"/>
  <c r="P277" i="31"/>
  <c r="P278" i="31"/>
  <c r="P279" i="31"/>
  <c r="P280" i="31"/>
  <c r="P281" i="31"/>
  <c r="P282" i="31"/>
  <c r="P283" i="31"/>
  <c r="P284" i="31"/>
  <c r="P285" i="31"/>
  <c r="P286" i="31"/>
  <c r="P287" i="31"/>
  <c r="P288" i="31"/>
  <c r="P289" i="31"/>
  <c r="P290" i="31"/>
  <c r="P291" i="31"/>
  <c r="P292" i="31"/>
  <c r="P293" i="31"/>
  <c r="P294" i="31"/>
  <c r="P295" i="31"/>
  <c r="P296" i="31"/>
  <c r="P297" i="31"/>
  <c r="P298" i="31"/>
  <c r="P299" i="31"/>
  <c r="P300" i="31"/>
  <c r="P301" i="31"/>
  <c r="P302" i="31"/>
  <c r="P303" i="31"/>
  <c r="P304" i="31"/>
  <c r="P305" i="31"/>
  <c r="P306" i="31"/>
  <c r="P307" i="31"/>
  <c r="P308" i="31"/>
  <c r="P309" i="31"/>
  <c r="P310" i="31"/>
  <c r="P311" i="31"/>
  <c r="P312" i="31"/>
  <c r="P313" i="31"/>
  <c r="P314" i="31"/>
  <c r="P315" i="31"/>
  <c r="P316" i="31"/>
  <c r="P317" i="31"/>
  <c r="P318" i="31"/>
  <c r="P319" i="31"/>
  <c r="P320" i="31"/>
  <c r="P321" i="31"/>
  <c r="P322" i="31"/>
  <c r="P323" i="31"/>
  <c r="P324" i="31"/>
  <c r="P325" i="31"/>
  <c r="P326" i="31"/>
  <c r="P327" i="31"/>
  <c r="P328" i="31"/>
  <c r="P329" i="31"/>
  <c r="P330" i="31"/>
  <c r="P331" i="31"/>
  <c r="P332" i="31"/>
  <c r="P333" i="31"/>
  <c r="P334" i="31"/>
  <c r="P335" i="31"/>
  <c r="P336" i="31"/>
  <c r="P337" i="31"/>
  <c r="P338" i="31"/>
  <c r="P339" i="31"/>
  <c r="P340" i="31"/>
  <c r="P341" i="31"/>
  <c r="P342" i="31"/>
  <c r="P343" i="31"/>
  <c r="P344" i="31"/>
  <c r="P345" i="31"/>
  <c r="P346" i="31"/>
  <c r="P347" i="31"/>
  <c r="P348" i="31"/>
  <c r="P349" i="31"/>
  <c r="P350" i="31"/>
  <c r="P351" i="31"/>
  <c r="P352" i="31"/>
  <c r="P353" i="31"/>
  <c r="P354" i="31"/>
  <c r="P355" i="31"/>
  <c r="P356" i="31"/>
  <c r="P357" i="31"/>
  <c r="P358" i="31"/>
  <c r="P359" i="31"/>
  <c r="P360" i="31"/>
  <c r="P361" i="31"/>
  <c r="P362" i="31"/>
  <c r="P363" i="31"/>
  <c r="P364" i="31"/>
  <c r="P365" i="31"/>
  <c r="P366" i="31"/>
  <c r="P367" i="31"/>
  <c r="P368" i="31"/>
  <c r="P369" i="31"/>
  <c r="P370" i="31"/>
  <c r="P371" i="31"/>
  <c r="P372" i="31"/>
  <c r="P373" i="31"/>
  <c r="P374" i="31"/>
  <c r="P375" i="31"/>
  <c r="P376" i="31"/>
  <c r="P377" i="31"/>
  <c r="P378" i="31"/>
  <c r="P379" i="31"/>
  <c r="P380" i="31"/>
  <c r="P381" i="31"/>
  <c r="P382" i="31"/>
  <c r="P383" i="31"/>
  <c r="P384" i="31"/>
  <c r="P385" i="31"/>
  <c r="P386" i="31"/>
  <c r="P387" i="31"/>
  <c r="P388" i="31"/>
  <c r="P389" i="31"/>
  <c r="P390" i="31"/>
  <c r="P391" i="31"/>
  <c r="P392" i="31"/>
  <c r="P393" i="31"/>
  <c r="P394" i="31"/>
  <c r="P395" i="31"/>
  <c r="P396" i="31"/>
  <c r="P397" i="31"/>
  <c r="P398" i="31"/>
  <c r="P399" i="31"/>
  <c r="P400" i="31"/>
  <c r="P401" i="31"/>
  <c r="P402" i="31"/>
  <c r="P403" i="31"/>
  <c r="P404" i="31"/>
  <c r="P405" i="31"/>
  <c r="P406" i="31"/>
  <c r="P407" i="31"/>
  <c r="P408" i="31"/>
  <c r="P409" i="31"/>
  <c r="P410" i="31"/>
  <c r="P411" i="31"/>
  <c r="P412" i="31"/>
  <c r="P413" i="31"/>
  <c r="P414" i="31"/>
  <c r="P415" i="31"/>
  <c r="P416" i="31"/>
  <c r="P417" i="31"/>
  <c r="P418" i="31"/>
  <c r="P419" i="31"/>
  <c r="P420" i="31"/>
  <c r="P421" i="31"/>
  <c r="P422" i="31"/>
  <c r="P423" i="31"/>
  <c r="P424" i="31"/>
  <c r="P425" i="31"/>
  <c r="P426" i="31"/>
  <c r="P427" i="31"/>
  <c r="P428" i="31"/>
  <c r="P429" i="31"/>
  <c r="P430" i="31"/>
  <c r="P431" i="31"/>
  <c r="P432" i="31"/>
  <c r="P433" i="31"/>
  <c r="P434" i="31"/>
  <c r="P435" i="31"/>
  <c r="P436" i="31"/>
  <c r="P437" i="31"/>
  <c r="P438" i="31"/>
  <c r="P439" i="31"/>
  <c r="P440" i="31"/>
  <c r="P441" i="31"/>
  <c r="P442" i="31"/>
  <c r="P443" i="31"/>
  <c r="P444" i="31"/>
  <c r="P445" i="31"/>
  <c r="P446" i="31"/>
  <c r="P447" i="31"/>
  <c r="P448" i="31"/>
  <c r="P449" i="31"/>
  <c r="P450" i="31"/>
  <c r="P451" i="31"/>
  <c r="P452" i="31"/>
  <c r="P453" i="31"/>
  <c r="P454" i="31"/>
  <c r="P455" i="31"/>
  <c r="P456" i="31"/>
  <c r="P457" i="31"/>
  <c r="P458" i="31"/>
  <c r="P459" i="31"/>
  <c r="P460" i="31"/>
  <c r="P461" i="31"/>
  <c r="P462" i="31"/>
  <c r="P463" i="31"/>
  <c r="P464" i="31"/>
  <c r="P465" i="31"/>
  <c r="P466" i="31"/>
  <c r="P467" i="31"/>
  <c r="P468" i="31"/>
  <c r="P469" i="31"/>
  <c r="P470" i="31"/>
  <c r="P471" i="31"/>
  <c r="P472" i="31"/>
  <c r="P473" i="31"/>
  <c r="P474" i="31"/>
  <c r="P475" i="31"/>
  <c r="P476" i="31"/>
  <c r="P477" i="31"/>
  <c r="P478" i="31"/>
  <c r="P479" i="31"/>
  <c r="P480" i="31"/>
  <c r="P481" i="31"/>
  <c r="P482" i="31"/>
  <c r="P483" i="31"/>
  <c r="P484" i="31"/>
  <c r="P485" i="31"/>
  <c r="P486" i="31"/>
  <c r="P487" i="31"/>
  <c r="P488" i="31"/>
  <c r="P489" i="31"/>
  <c r="P490" i="31"/>
  <c r="P491" i="31"/>
  <c r="P492" i="31"/>
  <c r="P493" i="31"/>
  <c r="P494" i="31"/>
  <c r="P495" i="31"/>
  <c r="P496" i="31"/>
  <c r="P497" i="31"/>
  <c r="P498" i="31"/>
  <c r="P499" i="31"/>
  <c r="P500" i="31"/>
  <c r="P501" i="31"/>
  <c r="P502" i="31"/>
  <c r="P503" i="31"/>
  <c r="P504" i="31"/>
  <c r="P505" i="31"/>
  <c r="P506" i="31"/>
  <c r="P507" i="31"/>
  <c r="P508" i="31"/>
  <c r="P509" i="31"/>
  <c r="P510" i="31"/>
  <c r="P511" i="31"/>
  <c r="P512" i="31"/>
  <c r="P513" i="31"/>
  <c r="P514" i="31"/>
  <c r="P515" i="31"/>
  <c r="P516" i="31"/>
  <c r="P517" i="31"/>
  <c r="P518" i="31"/>
  <c r="P519" i="31"/>
  <c r="P520" i="31"/>
  <c r="P521" i="31"/>
  <c r="P522" i="31"/>
  <c r="P523" i="31"/>
  <c r="P524" i="31"/>
  <c r="P525" i="31"/>
  <c r="P526" i="31"/>
  <c r="P527" i="31"/>
  <c r="P528" i="31"/>
  <c r="P529" i="31"/>
  <c r="P530" i="31"/>
  <c r="P531" i="31"/>
  <c r="P532" i="31"/>
  <c r="P533" i="31"/>
  <c r="P534" i="31"/>
  <c r="P535" i="31"/>
  <c r="P536" i="31"/>
  <c r="P537" i="31"/>
  <c r="P538" i="31"/>
  <c r="P539" i="31"/>
  <c r="P540" i="31"/>
  <c r="P541" i="31"/>
  <c r="P542" i="31"/>
  <c r="P543" i="31"/>
  <c r="P544" i="31"/>
  <c r="P545" i="31"/>
  <c r="P546" i="31"/>
  <c r="P547" i="31"/>
  <c r="P548" i="31"/>
  <c r="P549" i="31"/>
  <c r="P550" i="31"/>
  <c r="P551" i="31"/>
  <c r="P552" i="31"/>
  <c r="P553" i="31"/>
  <c r="P554" i="31"/>
  <c r="P555" i="31"/>
  <c r="P556" i="31"/>
  <c r="P557" i="31"/>
  <c r="P558" i="31"/>
  <c r="P559" i="31"/>
  <c r="P560" i="31"/>
  <c r="P561" i="31"/>
  <c r="P562" i="31"/>
  <c r="P563" i="31"/>
  <c r="P564" i="31"/>
  <c r="P565" i="31"/>
  <c r="P566" i="31"/>
  <c r="P567" i="31"/>
  <c r="P568" i="31"/>
  <c r="P569" i="31"/>
  <c r="P570" i="31"/>
  <c r="P571" i="31"/>
  <c r="P572" i="31"/>
  <c r="P573" i="31"/>
  <c r="P574" i="31"/>
  <c r="P575" i="31"/>
  <c r="P576" i="31"/>
  <c r="P577" i="31"/>
  <c r="P578" i="31"/>
  <c r="P579" i="31"/>
  <c r="P580" i="31"/>
  <c r="P581" i="31"/>
  <c r="P582" i="31"/>
  <c r="P583" i="31"/>
  <c r="P584" i="31"/>
  <c r="P585" i="31"/>
  <c r="P586" i="31"/>
  <c r="P587" i="31"/>
  <c r="P588" i="31"/>
  <c r="P589" i="31"/>
  <c r="P590" i="31"/>
  <c r="P591" i="31"/>
  <c r="P592" i="31"/>
  <c r="P593" i="31"/>
  <c r="P594" i="31"/>
  <c r="P595" i="31"/>
  <c r="P596" i="31"/>
  <c r="P597" i="31"/>
  <c r="P598" i="31"/>
  <c r="P599" i="31"/>
  <c r="P600" i="31"/>
  <c r="P601" i="31"/>
  <c r="P602" i="31"/>
  <c r="P603" i="31"/>
  <c r="P604" i="31"/>
  <c r="P605" i="31"/>
  <c r="P606" i="31"/>
  <c r="P607" i="31"/>
  <c r="P608" i="31"/>
  <c r="P609" i="31"/>
  <c r="P610" i="31"/>
  <c r="P611" i="31"/>
  <c r="P612" i="31"/>
  <c r="P613" i="31"/>
  <c r="P614" i="31"/>
  <c r="P615" i="31"/>
  <c r="P616" i="31"/>
  <c r="P617" i="31"/>
  <c r="P618" i="31"/>
  <c r="P619" i="31"/>
  <c r="P620" i="31"/>
  <c r="P621" i="31"/>
  <c r="P622" i="31"/>
  <c r="P623" i="31"/>
  <c r="P624" i="31"/>
  <c r="P625" i="31"/>
  <c r="P626" i="31"/>
  <c r="P627" i="31"/>
  <c r="P628" i="31"/>
  <c r="P629" i="31"/>
  <c r="P630" i="31"/>
  <c r="P631" i="31"/>
  <c r="P632" i="31"/>
  <c r="P633" i="31"/>
  <c r="P634" i="31"/>
  <c r="P635" i="31"/>
  <c r="P636" i="31"/>
  <c r="P637" i="31"/>
  <c r="P638" i="31"/>
  <c r="P639" i="31"/>
  <c r="P640" i="31"/>
  <c r="P641" i="31"/>
  <c r="P642" i="31"/>
  <c r="P643" i="31"/>
  <c r="P644" i="31"/>
  <c r="P645" i="31"/>
  <c r="P646" i="31"/>
  <c r="P647" i="31"/>
  <c r="P648" i="31"/>
  <c r="P649" i="31"/>
  <c r="P650" i="31"/>
  <c r="P651" i="31"/>
  <c r="P652" i="31"/>
  <c r="P653" i="31"/>
  <c r="P654" i="31"/>
  <c r="P655" i="31"/>
  <c r="P656" i="31"/>
  <c r="P657" i="31"/>
  <c r="P658" i="31"/>
  <c r="P659" i="31"/>
  <c r="P660" i="31"/>
  <c r="P661" i="31"/>
  <c r="P662" i="31"/>
  <c r="P663" i="31"/>
  <c r="P664" i="31"/>
  <c r="P665" i="31"/>
  <c r="P666" i="31"/>
  <c r="P667" i="31"/>
  <c r="P668" i="31"/>
  <c r="P669" i="31"/>
  <c r="P670" i="31"/>
  <c r="P671" i="31"/>
  <c r="P672" i="31"/>
  <c r="P673" i="31"/>
  <c r="P674" i="31"/>
  <c r="P675" i="31"/>
  <c r="P676" i="31"/>
  <c r="P677" i="31"/>
  <c r="P678" i="31"/>
  <c r="P679" i="31"/>
  <c r="P680" i="31"/>
  <c r="P681" i="31"/>
  <c r="P682" i="31"/>
  <c r="P683" i="31"/>
  <c r="P684" i="31"/>
  <c r="P685" i="31"/>
  <c r="P686" i="31"/>
  <c r="P687" i="31"/>
  <c r="P688" i="31"/>
  <c r="P689" i="31"/>
  <c r="P690" i="31"/>
  <c r="P691" i="31"/>
  <c r="P692" i="31"/>
  <c r="P693" i="31"/>
  <c r="P694" i="31"/>
  <c r="P695" i="31"/>
  <c r="P696" i="31"/>
  <c r="P697" i="31"/>
  <c r="P698" i="31"/>
  <c r="P699" i="31"/>
  <c r="P700" i="31"/>
  <c r="P701" i="31"/>
  <c r="P702" i="31"/>
  <c r="P703" i="31"/>
  <c r="P704" i="31"/>
  <c r="P705" i="31"/>
  <c r="P706" i="31"/>
  <c r="P707" i="31"/>
  <c r="P708" i="31"/>
  <c r="P709" i="31"/>
  <c r="P710" i="31"/>
  <c r="P711" i="31"/>
  <c r="P712" i="31"/>
  <c r="P713" i="31"/>
  <c r="P714" i="31"/>
  <c r="P715" i="31"/>
  <c r="Q6" i="31"/>
  <c r="Q7" i="31"/>
  <c r="Q8" i="31"/>
  <c r="Q9" i="31"/>
  <c r="Q10" i="31"/>
  <c r="Q11" i="31"/>
  <c r="Q12" i="31"/>
  <c r="Q13" i="31"/>
  <c r="Q14" i="31"/>
  <c r="Q15" i="31"/>
  <c r="Q16" i="31"/>
  <c r="Q17" i="31"/>
  <c r="Q18" i="31"/>
  <c r="Q19" i="31"/>
  <c r="Q20" i="31"/>
  <c r="Q21" i="31"/>
  <c r="Q22" i="31"/>
  <c r="Q23" i="31"/>
  <c r="Q24" i="31"/>
  <c r="Q25" i="31"/>
  <c r="Q26" i="31"/>
  <c r="Q27" i="31"/>
  <c r="Q28" i="31"/>
  <c r="Q29" i="31"/>
  <c r="Q30" i="31"/>
  <c r="Q31" i="31"/>
  <c r="Q32" i="31"/>
  <c r="Q33" i="31"/>
  <c r="Q34" i="31"/>
  <c r="Q35" i="31"/>
  <c r="Q36" i="31"/>
  <c r="Q37" i="31"/>
  <c r="Q38" i="31"/>
  <c r="Q39" i="31"/>
  <c r="Q40" i="31"/>
  <c r="Q41" i="31"/>
  <c r="Q42" i="31"/>
  <c r="Q43" i="31"/>
  <c r="Q44" i="31"/>
  <c r="Q45" i="31"/>
  <c r="Q46" i="31"/>
  <c r="Q47" i="31"/>
  <c r="Q48" i="31"/>
  <c r="Q49" i="31"/>
  <c r="Q50" i="31"/>
  <c r="Q51" i="31"/>
  <c r="Q52" i="31"/>
  <c r="Q53" i="31"/>
  <c r="Q54" i="31"/>
  <c r="Q55" i="31"/>
  <c r="Q56" i="31"/>
  <c r="Q57" i="31"/>
  <c r="Q58" i="31"/>
  <c r="Q59" i="31"/>
  <c r="Q60" i="31"/>
  <c r="Q61" i="31"/>
  <c r="Q62" i="31"/>
  <c r="Q63" i="31"/>
  <c r="Q64" i="31"/>
  <c r="Q65" i="31"/>
  <c r="Q66" i="31"/>
  <c r="Q67" i="31"/>
  <c r="Q68" i="31"/>
  <c r="Q69" i="31"/>
  <c r="Q70" i="31"/>
  <c r="Q71" i="31"/>
  <c r="Q72" i="31"/>
  <c r="Q73" i="31"/>
  <c r="Q74" i="31"/>
  <c r="Q75" i="31"/>
  <c r="Q76" i="31"/>
  <c r="Q77" i="31"/>
  <c r="Q78" i="31"/>
  <c r="Q79" i="31"/>
  <c r="Q80" i="31"/>
  <c r="Q81" i="31"/>
  <c r="Q82" i="31"/>
  <c r="Q83" i="31"/>
  <c r="Q84" i="31"/>
  <c r="Q85" i="31"/>
  <c r="Q86" i="31"/>
  <c r="Q87" i="31"/>
  <c r="Q88" i="31"/>
  <c r="Q89" i="31"/>
  <c r="Q90" i="31"/>
  <c r="Q91" i="31"/>
  <c r="Q92" i="31"/>
  <c r="Q93" i="31"/>
  <c r="Q94" i="31"/>
  <c r="Q95" i="31"/>
  <c r="Q96" i="31"/>
  <c r="Q97" i="31"/>
  <c r="Q98" i="31"/>
  <c r="Q99" i="31"/>
  <c r="Q100" i="31"/>
  <c r="Q101" i="31"/>
  <c r="Q102" i="31"/>
  <c r="Q103" i="31"/>
  <c r="Q104" i="31"/>
  <c r="Q105" i="31"/>
  <c r="Q106" i="31"/>
  <c r="Q107" i="31"/>
  <c r="Q108" i="31"/>
  <c r="Q109" i="31"/>
  <c r="Q110" i="31"/>
  <c r="Q111" i="31"/>
  <c r="Q112" i="31"/>
  <c r="Q113" i="31"/>
  <c r="Q114" i="31"/>
  <c r="Q115" i="31"/>
  <c r="Q116" i="31"/>
  <c r="Q117" i="31"/>
  <c r="Q118" i="31"/>
  <c r="Q119" i="31"/>
  <c r="Q120" i="31"/>
  <c r="Q121" i="31"/>
  <c r="Q122" i="31"/>
  <c r="Q123" i="31"/>
  <c r="Q124" i="31"/>
  <c r="Q125" i="31"/>
  <c r="Q126" i="31"/>
  <c r="Q127" i="31"/>
  <c r="Q128" i="31"/>
  <c r="Q129" i="31"/>
  <c r="Q130" i="31"/>
  <c r="Q131" i="31"/>
  <c r="Q132" i="31"/>
  <c r="Q133" i="31"/>
  <c r="Q134" i="31"/>
  <c r="Q135" i="31"/>
  <c r="Q136" i="31"/>
  <c r="Q137" i="31"/>
  <c r="Q138" i="31"/>
  <c r="Q139" i="31"/>
  <c r="Q140" i="31"/>
  <c r="Q141" i="31"/>
  <c r="Q142" i="31"/>
  <c r="Q143" i="31"/>
  <c r="Q144" i="31"/>
  <c r="Q145" i="31"/>
  <c r="Q146" i="31"/>
  <c r="Q147" i="31"/>
  <c r="Q148" i="31"/>
  <c r="Q149" i="31"/>
  <c r="Q150" i="31"/>
  <c r="Q151" i="31"/>
  <c r="Q152" i="31"/>
  <c r="Q153" i="31"/>
  <c r="Q154" i="31"/>
  <c r="Q155" i="31"/>
  <c r="Q156" i="31"/>
  <c r="Q157" i="31"/>
  <c r="Q158" i="31"/>
  <c r="Q159" i="31"/>
  <c r="Q160" i="31"/>
  <c r="Q161" i="31"/>
  <c r="Q162" i="31"/>
  <c r="Q163" i="31"/>
  <c r="Q164" i="31"/>
  <c r="Q165" i="31"/>
  <c r="Q166" i="31"/>
  <c r="Q167" i="31"/>
  <c r="Q168" i="31"/>
  <c r="Q169" i="31"/>
  <c r="Q170" i="31"/>
  <c r="Q171" i="31"/>
  <c r="Q172" i="31"/>
  <c r="Q173" i="31"/>
  <c r="Q174" i="31"/>
  <c r="Q175" i="31"/>
  <c r="Q176" i="31"/>
  <c r="Q177" i="31"/>
  <c r="Q178" i="31"/>
  <c r="Q179" i="31"/>
  <c r="Q180" i="31"/>
  <c r="Q181" i="31"/>
  <c r="Q182" i="31"/>
  <c r="Q183" i="31"/>
  <c r="Q184" i="31"/>
  <c r="Q185" i="31"/>
  <c r="Q186" i="31"/>
  <c r="Q187" i="31"/>
  <c r="Q188" i="31"/>
  <c r="Q189" i="31"/>
  <c r="Q190" i="31"/>
  <c r="Q191" i="31"/>
  <c r="Q192" i="31"/>
  <c r="Q193" i="31"/>
  <c r="Q194" i="31"/>
  <c r="Q195" i="31"/>
  <c r="Q196" i="31"/>
  <c r="Q197" i="31"/>
  <c r="Q198" i="31"/>
  <c r="Q199" i="31"/>
  <c r="Q200" i="31"/>
  <c r="Q201" i="31"/>
  <c r="Q202" i="31"/>
  <c r="Q203" i="31"/>
  <c r="Q204" i="31"/>
  <c r="Q205" i="31"/>
  <c r="Q206" i="31"/>
  <c r="Q207" i="31"/>
  <c r="Q208" i="31"/>
  <c r="Q209" i="31"/>
  <c r="Q210" i="31"/>
  <c r="Q211" i="31"/>
  <c r="Q212" i="31"/>
  <c r="Q213" i="31"/>
  <c r="Q214" i="31"/>
  <c r="Q215" i="31"/>
  <c r="Q216" i="31"/>
  <c r="Q217" i="31"/>
  <c r="Q218" i="31"/>
  <c r="Q219" i="31"/>
  <c r="Q220" i="31"/>
  <c r="Q221" i="31"/>
  <c r="Q222" i="31"/>
  <c r="Q223" i="31"/>
  <c r="Q224" i="31"/>
  <c r="Q225" i="31"/>
  <c r="Q226" i="31"/>
  <c r="Q227" i="31"/>
  <c r="Q228" i="31"/>
  <c r="Q229" i="31"/>
  <c r="Q230" i="31"/>
  <c r="Q231" i="31"/>
  <c r="Q232" i="31"/>
  <c r="Q233" i="31"/>
  <c r="Q234" i="31"/>
  <c r="Q235" i="31"/>
  <c r="Q236" i="31"/>
  <c r="Q237" i="31"/>
  <c r="Q238" i="31"/>
  <c r="Q239" i="31"/>
  <c r="Q240" i="31"/>
  <c r="Q241" i="31"/>
  <c r="Q242" i="31"/>
  <c r="Q243" i="31"/>
  <c r="Q244" i="31"/>
  <c r="Q245" i="31"/>
  <c r="Q246" i="31"/>
  <c r="Q247" i="31"/>
  <c r="Q248" i="31"/>
  <c r="Q249" i="31"/>
  <c r="Q250" i="31"/>
  <c r="Q251" i="31"/>
  <c r="Q252" i="31"/>
  <c r="Q253" i="31"/>
  <c r="Q254" i="31"/>
  <c r="Q255" i="31"/>
  <c r="Q256" i="31"/>
  <c r="Q257" i="31"/>
  <c r="Q258" i="31"/>
  <c r="Q259" i="31"/>
  <c r="Q260" i="31"/>
  <c r="Q261" i="31"/>
  <c r="Q262" i="31"/>
  <c r="Q263" i="31"/>
  <c r="Q264" i="31"/>
  <c r="Q265" i="31"/>
  <c r="Q266" i="31"/>
  <c r="Q267" i="31"/>
  <c r="Q268" i="31"/>
  <c r="Q269" i="31"/>
  <c r="Q270" i="31"/>
  <c r="Q271" i="31"/>
  <c r="Q272" i="31"/>
  <c r="Q273" i="31"/>
  <c r="Q274" i="31"/>
  <c r="Q275" i="31"/>
  <c r="Q276" i="31"/>
  <c r="Q277" i="31"/>
  <c r="Q278" i="31"/>
  <c r="Q279" i="31"/>
  <c r="Q280" i="31"/>
  <c r="Q281" i="31"/>
  <c r="Q282" i="31"/>
  <c r="Q283" i="31"/>
  <c r="Q284" i="31"/>
  <c r="Q285" i="31"/>
  <c r="Q286" i="31"/>
  <c r="Q287" i="31"/>
  <c r="Q288" i="31"/>
  <c r="Q289" i="31"/>
  <c r="Q290" i="31"/>
  <c r="Q291" i="31"/>
  <c r="Q292" i="31"/>
  <c r="Q293" i="31"/>
  <c r="Q294" i="31"/>
  <c r="Q295" i="31"/>
  <c r="Q296" i="31"/>
  <c r="Q297" i="31"/>
  <c r="Q298" i="31"/>
  <c r="Q299" i="31"/>
  <c r="Q300" i="31"/>
  <c r="Q301" i="31"/>
  <c r="Q302" i="31"/>
  <c r="Q303" i="31"/>
  <c r="Q304" i="31"/>
  <c r="Q305" i="31"/>
  <c r="Q306" i="31"/>
  <c r="Q307" i="31"/>
  <c r="Q308" i="31"/>
  <c r="Q309" i="31"/>
  <c r="Q310" i="31"/>
  <c r="Q311" i="31"/>
  <c r="Q312" i="31"/>
  <c r="Q313" i="31"/>
  <c r="Q314" i="31"/>
  <c r="Q315" i="31"/>
  <c r="Q316" i="31"/>
  <c r="Q317" i="31"/>
  <c r="Q318" i="31"/>
  <c r="Q319" i="31"/>
  <c r="Q320" i="31"/>
  <c r="Q321" i="31"/>
  <c r="Q322" i="31"/>
  <c r="Q323" i="31"/>
  <c r="Q324" i="31"/>
  <c r="Q325" i="31"/>
  <c r="Q326" i="31"/>
  <c r="Q327" i="31"/>
  <c r="Q328" i="31"/>
  <c r="Q329" i="31"/>
  <c r="Q330" i="31"/>
  <c r="Q331" i="31"/>
  <c r="Q332" i="31"/>
  <c r="Q333" i="31"/>
  <c r="Q334" i="31"/>
  <c r="Q335" i="31"/>
  <c r="Q336" i="31"/>
  <c r="Q337" i="31"/>
  <c r="Q338" i="31"/>
  <c r="Q339" i="31"/>
  <c r="Q340" i="31"/>
  <c r="Q341" i="31"/>
  <c r="Q342" i="31"/>
  <c r="Q343" i="31"/>
  <c r="Q344" i="31"/>
  <c r="Q345" i="31"/>
  <c r="Q346" i="31"/>
  <c r="Q347" i="31"/>
  <c r="Q348" i="31"/>
  <c r="Q349" i="31"/>
  <c r="Q350" i="31"/>
  <c r="Q351" i="31"/>
  <c r="Q352" i="31"/>
  <c r="Q353" i="31"/>
  <c r="Q354" i="31"/>
  <c r="Q355" i="31"/>
  <c r="Q356" i="31"/>
  <c r="Q357" i="31"/>
  <c r="Q358" i="31"/>
  <c r="Q359" i="31"/>
  <c r="Q360" i="31"/>
  <c r="Q361" i="31"/>
  <c r="Q362" i="31"/>
  <c r="Q363" i="31"/>
  <c r="Q364" i="31"/>
  <c r="Q365" i="31"/>
  <c r="Q366" i="31"/>
  <c r="Q367" i="31"/>
  <c r="Q368" i="31"/>
  <c r="Q369" i="31"/>
  <c r="Q370" i="31"/>
  <c r="Q371" i="31"/>
  <c r="Q372" i="31"/>
  <c r="Q373" i="31"/>
  <c r="Q374" i="31"/>
  <c r="Q375" i="31"/>
  <c r="Q376" i="31"/>
  <c r="Q377" i="31"/>
  <c r="Q378" i="31"/>
  <c r="Q379" i="31"/>
  <c r="Q380" i="31"/>
  <c r="Q381" i="31"/>
  <c r="Q382" i="31"/>
  <c r="Q383" i="31"/>
  <c r="Q384" i="31"/>
  <c r="Q385" i="31"/>
  <c r="Q386" i="31"/>
  <c r="Q387" i="31"/>
  <c r="Q388" i="31"/>
  <c r="Q389" i="31"/>
  <c r="Q390" i="31"/>
  <c r="Q391" i="31"/>
  <c r="Q392" i="31"/>
  <c r="Q393" i="31"/>
  <c r="Q394" i="31"/>
  <c r="Q395" i="31"/>
  <c r="Q396" i="31"/>
  <c r="Q397" i="31"/>
  <c r="Q398" i="31"/>
  <c r="Q399" i="31"/>
  <c r="Q400" i="31"/>
  <c r="Q401" i="31"/>
  <c r="Q402" i="31"/>
  <c r="Q403" i="31"/>
  <c r="Q404" i="31"/>
  <c r="Q405" i="31"/>
  <c r="Q406" i="31"/>
  <c r="Q407" i="31"/>
  <c r="Q408" i="31"/>
  <c r="Q409" i="31"/>
  <c r="Q410" i="31"/>
  <c r="Q411" i="31"/>
  <c r="Q412" i="31"/>
  <c r="Q413" i="31"/>
  <c r="Q414" i="31"/>
  <c r="Q415" i="31"/>
  <c r="Q416" i="31"/>
  <c r="Q417" i="31"/>
  <c r="Q418" i="31"/>
  <c r="Q419" i="31"/>
  <c r="Q420" i="31"/>
  <c r="Q421" i="31"/>
  <c r="Q422" i="31"/>
  <c r="Q423" i="31"/>
  <c r="Q424" i="31"/>
  <c r="Q425" i="31"/>
  <c r="Q426" i="31"/>
  <c r="Q427" i="31"/>
  <c r="Q428" i="31"/>
  <c r="Q429" i="31"/>
  <c r="Q430" i="31"/>
  <c r="Q431" i="31"/>
  <c r="Q432" i="31"/>
  <c r="Q433" i="31"/>
  <c r="Q434" i="31"/>
  <c r="Q435" i="31"/>
  <c r="Q436" i="31"/>
  <c r="Q437" i="31"/>
  <c r="Q438" i="31"/>
  <c r="Q439" i="31"/>
  <c r="Q440" i="31"/>
  <c r="Q441" i="31"/>
  <c r="Q442" i="31"/>
  <c r="Q443" i="31"/>
  <c r="Q444" i="31"/>
  <c r="Q445" i="31"/>
  <c r="Q446" i="31"/>
  <c r="Q447" i="31"/>
  <c r="Q448" i="31"/>
  <c r="Q449" i="31"/>
  <c r="Q450" i="31"/>
  <c r="Q451" i="31"/>
  <c r="Q452" i="31"/>
  <c r="Q453" i="31"/>
  <c r="Q454" i="31"/>
  <c r="Q455" i="31"/>
  <c r="Q456" i="31"/>
  <c r="Q457" i="31"/>
  <c r="Q458" i="31"/>
  <c r="Q459" i="31"/>
  <c r="Q460" i="31"/>
  <c r="Q461" i="31"/>
  <c r="Q462" i="31"/>
  <c r="Q463" i="31"/>
  <c r="Q464" i="31"/>
  <c r="Q465" i="31"/>
  <c r="Q466" i="31"/>
  <c r="Q467" i="31"/>
  <c r="Q468" i="31"/>
  <c r="Q469" i="31"/>
  <c r="Q470" i="31"/>
  <c r="Q471" i="31"/>
  <c r="Q472" i="31"/>
  <c r="Q473" i="31"/>
  <c r="Q474" i="31"/>
  <c r="Q475" i="31"/>
  <c r="Q476" i="31"/>
  <c r="Q477" i="31"/>
  <c r="Q478" i="31"/>
  <c r="Q479" i="31"/>
  <c r="Q480" i="31"/>
  <c r="Q481" i="31"/>
  <c r="Q482" i="31"/>
  <c r="Q483" i="31"/>
  <c r="Q484" i="31"/>
  <c r="Q485" i="31"/>
  <c r="Q486" i="31"/>
  <c r="Q487" i="31"/>
  <c r="Q488" i="31"/>
  <c r="Q489" i="31"/>
  <c r="Q490" i="31"/>
  <c r="Q491" i="31"/>
  <c r="Q492" i="31"/>
  <c r="Q493" i="31"/>
  <c r="Q494" i="31"/>
  <c r="Q495" i="31"/>
  <c r="Q496" i="31"/>
  <c r="Q497" i="31"/>
  <c r="Q498" i="31"/>
  <c r="Q499" i="31"/>
  <c r="Q500" i="31"/>
  <c r="Q501" i="31"/>
  <c r="Q502" i="31"/>
  <c r="Q503" i="31"/>
  <c r="Q504" i="31"/>
  <c r="Q505" i="31"/>
  <c r="Q506" i="31"/>
  <c r="Q507" i="31"/>
  <c r="Q508" i="31"/>
  <c r="Q509" i="31"/>
  <c r="Q510" i="31"/>
  <c r="Q511" i="31"/>
  <c r="Q512" i="31"/>
  <c r="Q513" i="31"/>
  <c r="Q514" i="31"/>
  <c r="Q515" i="31"/>
  <c r="Q516" i="31"/>
  <c r="Q517" i="31"/>
  <c r="Q518" i="31"/>
  <c r="Q519" i="31"/>
  <c r="Q520" i="31"/>
  <c r="Q521" i="31"/>
  <c r="Q522" i="31"/>
  <c r="Q523" i="31"/>
  <c r="Q524" i="31"/>
  <c r="Q525" i="31"/>
  <c r="Q526" i="31"/>
  <c r="Q527" i="31"/>
  <c r="Q528" i="31"/>
  <c r="Q529" i="31"/>
  <c r="Q530" i="31"/>
  <c r="Q531" i="31"/>
  <c r="Q532" i="31"/>
  <c r="Q533" i="31"/>
  <c r="Q534" i="31"/>
  <c r="Q535" i="31"/>
  <c r="Q536" i="31"/>
  <c r="Q537" i="31"/>
  <c r="Q538" i="31"/>
  <c r="Q539" i="31"/>
  <c r="Q540" i="31"/>
  <c r="Q541" i="31"/>
  <c r="Q542" i="31"/>
  <c r="Q543" i="31"/>
  <c r="Q544" i="31"/>
  <c r="Q545" i="31"/>
  <c r="Q546" i="31"/>
  <c r="Q547" i="31"/>
  <c r="Q548" i="31"/>
  <c r="Q549" i="31"/>
  <c r="Q550" i="31"/>
  <c r="Q551" i="31"/>
  <c r="Q552" i="31"/>
  <c r="Q553" i="31"/>
  <c r="Q554" i="31"/>
  <c r="Q555" i="31"/>
  <c r="Q556" i="31"/>
  <c r="Q557" i="31"/>
  <c r="Q558" i="31"/>
  <c r="Q559" i="31"/>
  <c r="Q560" i="31"/>
  <c r="Q561" i="31"/>
  <c r="Q562" i="31"/>
  <c r="Q563" i="31"/>
  <c r="Q564" i="31"/>
  <c r="Q565" i="31"/>
  <c r="Q566" i="31"/>
  <c r="Q567" i="31"/>
  <c r="Q568" i="31"/>
  <c r="Q569" i="31"/>
  <c r="Q570" i="31"/>
  <c r="Q571" i="31"/>
  <c r="Q572" i="31"/>
  <c r="Q573" i="31"/>
  <c r="Q574" i="31"/>
  <c r="Q575" i="31"/>
  <c r="Q576" i="31"/>
  <c r="Q577" i="31"/>
  <c r="Q578" i="31"/>
  <c r="Q579" i="31"/>
  <c r="Q580" i="31"/>
  <c r="Q581" i="31"/>
  <c r="Q582" i="31"/>
  <c r="Q583" i="31"/>
  <c r="Q584" i="31"/>
  <c r="Q585" i="31"/>
  <c r="Q586" i="31"/>
  <c r="Q587" i="31"/>
  <c r="Q588" i="31"/>
  <c r="Q589" i="31"/>
  <c r="Q590" i="31"/>
  <c r="Q591" i="31"/>
  <c r="Q592" i="31"/>
  <c r="Q593" i="31"/>
  <c r="Q594" i="31"/>
  <c r="Q595" i="31"/>
  <c r="Q596" i="31"/>
  <c r="Q597" i="31"/>
  <c r="Q598" i="31"/>
  <c r="Q599" i="31"/>
  <c r="Q600" i="31"/>
  <c r="Q601" i="31"/>
  <c r="Q602" i="31"/>
  <c r="Q603" i="31"/>
  <c r="Q604" i="31"/>
  <c r="Q605" i="31"/>
  <c r="Q606" i="31"/>
  <c r="Q607" i="31"/>
  <c r="Q608" i="31"/>
  <c r="Q609" i="31"/>
  <c r="Q610" i="31"/>
  <c r="Q611" i="31"/>
  <c r="Q612" i="31"/>
  <c r="Q613" i="31"/>
  <c r="Q614" i="31"/>
  <c r="Q615" i="31"/>
  <c r="Q616" i="31"/>
  <c r="Q617" i="31"/>
  <c r="Q618" i="31"/>
  <c r="Q619" i="31"/>
  <c r="Q620" i="31"/>
  <c r="Q621" i="31"/>
  <c r="Q622" i="31"/>
  <c r="Q623" i="31"/>
  <c r="Q624" i="31"/>
  <c r="Q625" i="31"/>
  <c r="Q626" i="31"/>
  <c r="Q627" i="31"/>
  <c r="Q628" i="31"/>
  <c r="Q629" i="31"/>
  <c r="Q630" i="31"/>
  <c r="Q631" i="31"/>
  <c r="Q632" i="31"/>
  <c r="Q633" i="31"/>
  <c r="Q634" i="31"/>
  <c r="Q635" i="31"/>
  <c r="Q636" i="31"/>
  <c r="Q637" i="31"/>
  <c r="Q638" i="31"/>
  <c r="Q639" i="31"/>
  <c r="Q640" i="31"/>
  <c r="Q641" i="31"/>
  <c r="Q642" i="31"/>
  <c r="Q643" i="31"/>
  <c r="Q644" i="31"/>
  <c r="Q645" i="31"/>
  <c r="Q646" i="31"/>
  <c r="Q647" i="31"/>
  <c r="Q648" i="31"/>
  <c r="Q649" i="31"/>
  <c r="Q650" i="31"/>
  <c r="Q651" i="31"/>
  <c r="Q652" i="31"/>
  <c r="Q653" i="31"/>
  <c r="Q654" i="31"/>
  <c r="Q655" i="31"/>
  <c r="Q656" i="31"/>
  <c r="Q657" i="31"/>
  <c r="Q658" i="31"/>
  <c r="Q659" i="31"/>
  <c r="Q660" i="31"/>
  <c r="Q661" i="31"/>
  <c r="Q662" i="31"/>
  <c r="Q663" i="31"/>
  <c r="Q664" i="31"/>
  <c r="Q665" i="31"/>
  <c r="Q666" i="31"/>
  <c r="Q667" i="31"/>
  <c r="Q668" i="31"/>
  <c r="Q669" i="31"/>
  <c r="Q670" i="31"/>
  <c r="Q671" i="31"/>
  <c r="Q672" i="31"/>
  <c r="Q673" i="31"/>
  <c r="Q674" i="31"/>
  <c r="Q675" i="31"/>
  <c r="Q676" i="31"/>
  <c r="Q677" i="31"/>
  <c r="Q678" i="31"/>
  <c r="Q679" i="31"/>
  <c r="Q680" i="31"/>
  <c r="Q681" i="31"/>
  <c r="Q682" i="31"/>
  <c r="Q683" i="31"/>
  <c r="Q684" i="31"/>
  <c r="Q685" i="31"/>
  <c r="Q686" i="31"/>
  <c r="Q687" i="31"/>
  <c r="Q688" i="31"/>
  <c r="Q689" i="31"/>
  <c r="Q690" i="31"/>
  <c r="Q691" i="31"/>
  <c r="Q692" i="31"/>
  <c r="Q693" i="31"/>
  <c r="Q694" i="31"/>
  <c r="Q695" i="31"/>
  <c r="Q696" i="31"/>
  <c r="Q697" i="31"/>
  <c r="Q698" i="31"/>
  <c r="Q699" i="31"/>
  <c r="Q700" i="31"/>
  <c r="Q701" i="31"/>
  <c r="Q702" i="31"/>
  <c r="Q703" i="31"/>
  <c r="Q704" i="31"/>
  <c r="Q705" i="31"/>
  <c r="Q706" i="31"/>
  <c r="Q707" i="31"/>
  <c r="Q708" i="31"/>
  <c r="Q709" i="31"/>
  <c r="Q710" i="31"/>
  <c r="Q711" i="31"/>
  <c r="Q712" i="31"/>
  <c r="Q713" i="31"/>
  <c r="Q714" i="31"/>
  <c r="Q715" i="31"/>
  <c r="O3" i="31"/>
  <c r="E90" i="80"/>
  <c r="BL6" i="31"/>
  <c r="BL7" i="31"/>
  <c r="BL8" i="31"/>
  <c r="BL9" i="31"/>
  <c r="BL10" i="31"/>
  <c r="BL11" i="31"/>
  <c r="BL12" i="31"/>
  <c r="BL13" i="31"/>
  <c r="BL14" i="31"/>
  <c r="BL15" i="31"/>
  <c r="BL16" i="31"/>
  <c r="BL17" i="31"/>
  <c r="BL18" i="31"/>
  <c r="BL19" i="31"/>
  <c r="BL20" i="31"/>
  <c r="BL21" i="31"/>
  <c r="BL22" i="31"/>
  <c r="BL23" i="31"/>
  <c r="BL24" i="31"/>
  <c r="BL25" i="31"/>
  <c r="BL26" i="31"/>
  <c r="BL27" i="31"/>
  <c r="BL28" i="31"/>
  <c r="BL29" i="31"/>
  <c r="BL30" i="31"/>
  <c r="BL31" i="31"/>
  <c r="BL32" i="31"/>
  <c r="BL382" i="31"/>
  <c r="BL383" i="31"/>
  <c r="BL384" i="31"/>
  <c r="BL385" i="31"/>
  <c r="BL386" i="31"/>
  <c r="BL387" i="31"/>
  <c r="BL388" i="31"/>
  <c r="BL389" i="31"/>
  <c r="BL390" i="31"/>
  <c r="BL391" i="31"/>
  <c r="BL392" i="31"/>
  <c r="BL393" i="31"/>
  <c r="BL394" i="31"/>
  <c r="BL395" i="31"/>
  <c r="BL396" i="31"/>
  <c r="BL397" i="31"/>
  <c r="BL398" i="31"/>
  <c r="BL399" i="31"/>
  <c r="BL400" i="31"/>
  <c r="BL401" i="31"/>
  <c r="BL402" i="31"/>
  <c r="BL403" i="31"/>
  <c r="BL404" i="31"/>
  <c r="BL405" i="31"/>
  <c r="BL406" i="31"/>
  <c r="BL407" i="31"/>
  <c r="BL408" i="31"/>
  <c r="BL409" i="31"/>
  <c r="BL410" i="31"/>
  <c r="BL411" i="31"/>
  <c r="BL412" i="31"/>
  <c r="BL413" i="31"/>
  <c r="BL414" i="31"/>
  <c r="BL415" i="31"/>
  <c r="BL416" i="31"/>
  <c r="BL417" i="31"/>
  <c r="BL418" i="31"/>
  <c r="BL419" i="31"/>
  <c r="BL420" i="31"/>
  <c r="BL421" i="31"/>
  <c r="BL422" i="31"/>
  <c r="BL423" i="31"/>
  <c r="BL424" i="31"/>
  <c r="BL425" i="31"/>
  <c r="BL426" i="31"/>
  <c r="BL427" i="31"/>
  <c r="BL428" i="31"/>
  <c r="BL429" i="31"/>
  <c r="BL430" i="31"/>
  <c r="BL431" i="31"/>
  <c r="BL432" i="31"/>
  <c r="BL433" i="31"/>
  <c r="BL434" i="31"/>
  <c r="BL435" i="31"/>
  <c r="BL436" i="31"/>
  <c r="BL437" i="31"/>
  <c r="BL438" i="31"/>
  <c r="BL439" i="31"/>
  <c r="BL440" i="31"/>
  <c r="BL441" i="31"/>
  <c r="BL442" i="31"/>
  <c r="BL443" i="31"/>
  <c r="BL444" i="31"/>
  <c r="BL445" i="31"/>
  <c r="BL446" i="31"/>
  <c r="BL447" i="31"/>
  <c r="BL448" i="31"/>
  <c r="BL449" i="31"/>
  <c r="BL450" i="31"/>
  <c r="BL451" i="31"/>
  <c r="BL452" i="31"/>
  <c r="BL453" i="31"/>
  <c r="BL454" i="31"/>
  <c r="BL455" i="31"/>
  <c r="BL456" i="31"/>
  <c r="BL457" i="31"/>
  <c r="BL458" i="31"/>
  <c r="BL459" i="31"/>
  <c r="BL460" i="31"/>
  <c r="BL461" i="31"/>
  <c r="BL462" i="31"/>
  <c r="BL463" i="31"/>
  <c r="BL464" i="31"/>
  <c r="BL465" i="31"/>
  <c r="BL466" i="31"/>
  <c r="BL467" i="31"/>
  <c r="BL468" i="31"/>
  <c r="BL469" i="31"/>
  <c r="BL470" i="31"/>
  <c r="BL471" i="31"/>
  <c r="BL472" i="31"/>
  <c r="BL473" i="31"/>
  <c r="BL474" i="31"/>
  <c r="BL475" i="31"/>
  <c r="BL476" i="31"/>
  <c r="BL477" i="31"/>
  <c r="BL478" i="31"/>
  <c r="BL479" i="31"/>
  <c r="BL480" i="31"/>
  <c r="BL481" i="31"/>
  <c r="BL482" i="31"/>
  <c r="BL483" i="31"/>
  <c r="BL484" i="31"/>
  <c r="BL485" i="31"/>
  <c r="BL486" i="31"/>
  <c r="BL487" i="31"/>
  <c r="BL488" i="31"/>
  <c r="BL489" i="31"/>
  <c r="BL490" i="31"/>
  <c r="BL491" i="31"/>
  <c r="BL492" i="31"/>
  <c r="BL493" i="31"/>
  <c r="BL494" i="31"/>
  <c r="BL495" i="31"/>
  <c r="BL496" i="31"/>
  <c r="BL497" i="31"/>
  <c r="BL498" i="31"/>
  <c r="BL499" i="31"/>
  <c r="BL500" i="31"/>
  <c r="BL501" i="31"/>
  <c r="BL502" i="31"/>
  <c r="BL503" i="31"/>
  <c r="BL504" i="31"/>
  <c r="BL505" i="31"/>
  <c r="BL506" i="31"/>
  <c r="BL507" i="31"/>
  <c r="BL508" i="31"/>
  <c r="BL509" i="31"/>
  <c r="BL510" i="31"/>
  <c r="BL511" i="31"/>
  <c r="BL512" i="31"/>
  <c r="BL513" i="31"/>
  <c r="BL514" i="31"/>
  <c r="BL515" i="31"/>
  <c r="BL516" i="31"/>
  <c r="BL517" i="31"/>
  <c r="BL518" i="31"/>
  <c r="BL519" i="31"/>
  <c r="BL520" i="31"/>
  <c r="BL521" i="31"/>
  <c r="BL522" i="31"/>
  <c r="BL523" i="31"/>
  <c r="BL524" i="31"/>
  <c r="BL525" i="31"/>
  <c r="BL526" i="31"/>
  <c r="BL527" i="31"/>
  <c r="BL528" i="31"/>
  <c r="BL529" i="31"/>
  <c r="BL530" i="31"/>
  <c r="BL531" i="31"/>
  <c r="BL532" i="31"/>
  <c r="BL533" i="31"/>
  <c r="BL534" i="31"/>
  <c r="BL535" i="31"/>
  <c r="BL536" i="31"/>
  <c r="BL537" i="31"/>
  <c r="BL538" i="31"/>
  <c r="BL539" i="31"/>
  <c r="BL540" i="31"/>
  <c r="BL541" i="31"/>
  <c r="BL542" i="31"/>
  <c r="BL543" i="31"/>
  <c r="BL544" i="31"/>
  <c r="BL545" i="31"/>
  <c r="BL546" i="31"/>
  <c r="BL547" i="31"/>
  <c r="BL548" i="31"/>
  <c r="BL549" i="31"/>
  <c r="BL550" i="31"/>
  <c r="BL551" i="31"/>
  <c r="BL552" i="31"/>
  <c r="BL553" i="31"/>
  <c r="BL554" i="31"/>
  <c r="BL555" i="31"/>
  <c r="BL556" i="31"/>
  <c r="BL557" i="31"/>
  <c r="BL558" i="31"/>
  <c r="BL559" i="31"/>
  <c r="BL560" i="31"/>
  <c r="BL561" i="31"/>
  <c r="BL562" i="31"/>
  <c r="BL563" i="31"/>
  <c r="BL564" i="31"/>
  <c r="BL565" i="31"/>
  <c r="BL566" i="31"/>
  <c r="BL567" i="31"/>
  <c r="BL568" i="31"/>
  <c r="BL569" i="31"/>
  <c r="BL570" i="31"/>
  <c r="BL571" i="31"/>
  <c r="BL572" i="31"/>
  <c r="BL573" i="31"/>
  <c r="BL574" i="31"/>
  <c r="BL575" i="31"/>
  <c r="BL576" i="31"/>
  <c r="BL577" i="31"/>
  <c r="BL578" i="31"/>
  <c r="BL579" i="31"/>
  <c r="BL580" i="31"/>
  <c r="BL581" i="31"/>
  <c r="BL582" i="31"/>
  <c r="BL583" i="31"/>
  <c r="BL584" i="31"/>
  <c r="BL585" i="31"/>
  <c r="BL586" i="31"/>
  <c r="BL587" i="31"/>
  <c r="BL588" i="31"/>
  <c r="BL589" i="31"/>
  <c r="BL590" i="31"/>
  <c r="BL591" i="31"/>
  <c r="BL592" i="31"/>
  <c r="BL593" i="31"/>
  <c r="BL594" i="31"/>
  <c r="BL595" i="31"/>
  <c r="BL596" i="31"/>
  <c r="BL597" i="31"/>
  <c r="BL598" i="31"/>
  <c r="BL599" i="31"/>
  <c r="BL600" i="31"/>
  <c r="BL601" i="31"/>
  <c r="BL602" i="31"/>
  <c r="BL603" i="31"/>
  <c r="BL604" i="31"/>
  <c r="BL605" i="31"/>
  <c r="BL606" i="31"/>
  <c r="BL607" i="31"/>
  <c r="BL608" i="31"/>
  <c r="BL609" i="31"/>
  <c r="BL610" i="31"/>
  <c r="BL611" i="31"/>
  <c r="BL612" i="31"/>
  <c r="BL613" i="31"/>
  <c r="BL614" i="31"/>
  <c r="BL615" i="31"/>
  <c r="BL616" i="31"/>
  <c r="BL617" i="31"/>
  <c r="BL618" i="31"/>
  <c r="BL619" i="31"/>
  <c r="BL620" i="31"/>
  <c r="BL621" i="31"/>
  <c r="BL622" i="31"/>
  <c r="BL623" i="31"/>
  <c r="BL624" i="31"/>
  <c r="BL625" i="31"/>
  <c r="BL626" i="31"/>
  <c r="BL627" i="31"/>
  <c r="BL628" i="31"/>
  <c r="BL629" i="31"/>
  <c r="BL630" i="31"/>
  <c r="BL631" i="31"/>
  <c r="BL632" i="31"/>
  <c r="BL633" i="31"/>
  <c r="BL634" i="31"/>
  <c r="BL635" i="31"/>
  <c r="BL636" i="31"/>
  <c r="BL637" i="31"/>
  <c r="BL638" i="31"/>
  <c r="BL639" i="31"/>
  <c r="BL640" i="31"/>
  <c r="BL641" i="31"/>
  <c r="BL642" i="31"/>
  <c r="BL643" i="31"/>
  <c r="BL644" i="31"/>
  <c r="BL645" i="31"/>
  <c r="BL646" i="31"/>
  <c r="BL647" i="31"/>
  <c r="BL648" i="31"/>
  <c r="BL649" i="31"/>
  <c r="BL650" i="31"/>
  <c r="BL651" i="31"/>
  <c r="BL652" i="31"/>
  <c r="BL653" i="31"/>
  <c r="BL654" i="31"/>
  <c r="BL655" i="31"/>
  <c r="BL656" i="31"/>
  <c r="BL657" i="31"/>
  <c r="BL658" i="31"/>
  <c r="BL659" i="31"/>
  <c r="BL660" i="31"/>
  <c r="BL661" i="31"/>
  <c r="BL662" i="31"/>
  <c r="BL663" i="31"/>
  <c r="BL664" i="31"/>
  <c r="BL665" i="31"/>
  <c r="BL666" i="31"/>
  <c r="BL667" i="31"/>
  <c r="BL668" i="31"/>
  <c r="BL669" i="31"/>
  <c r="BL670" i="31"/>
  <c r="BL671" i="31"/>
  <c r="BL672" i="31"/>
  <c r="BL673" i="31"/>
  <c r="BL674" i="31"/>
  <c r="BL675" i="31"/>
  <c r="BL676" i="31"/>
  <c r="BL677" i="31"/>
  <c r="BL678" i="31"/>
  <c r="BL679" i="31"/>
  <c r="BL680" i="31"/>
  <c r="BL681" i="31"/>
  <c r="BL682" i="31"/>
  <c r="BL683" i="31"/>
  <c r="BL684" i="31"/>
  <c r="BL685" i="31"/>
  <c r="BL686" i="31"/>
  <c r="BL687" i="31"/>
  <c r="BL688" i="31"/>
  <c r="BL689" i="31"/>
  <c r="BL690" i="31"/>
  <c r="BL691" i="31"/>
  <c r="BL692" i="31"/>
  <c r="BL693" i="31"/>
  <c r="BL694" i="31"/>
  <c r="BL695" i="31"/>
  <c r="BL696" i="31"/>
  <c r="BL697" i="31"/>
  <c r="BL698" i="31"/>
  <c r="BL699" i="31"/>
  <c r="BL700" i="31"/>
  <c r="BL701" i="31"/>
  <c r="BL702" i="31"/>
  <c r="BL703" i="31"/>
  <c r="BL704" i="31"/>
  <c r="BL705" i="31"/>
  <c r="BL706" i="31"/>
  <c r="BL707" i="31"/>
  <c r="BL708" i="31"/>
  <c r="BL709" i="31"/>
  <c r="BL710" i="31"/>
  <c r="BL711" i="31"/>
  <c r="BL712" i="31"/>
  <c r="BL713" i="31"/>
  <c r="BL714" i="31"/>
  <c r="BL715" i="31"/>
  <c r="BM6" i="31"/>
  <c r="BM7" i="31"/>
  <c r="BM8" i="31"/>
  <c r="BM9" i="31"/>
  <c r="BM10" i="31"/>
  <c r="BM11" i="31"/>
  <c r="BM12" i="31"/>
  <c r="BM13" i="31"/>
  <c r="BM14" i="31"/>
  <c r="BM15" i="31"/>
  <c r="BM16" i="31"/>
  <c r="BM17" i="31"/>
  <c r="BM18" i="31"/>
  <c r="BM19" i="31"/>
  <c r="BM20" i="31"/>
  <c r="BM21" i="31"/>
  <c r="BM22" i="31"/>
  <c r="BM23" i="31"/>
  <c r="BM24" i="31"/>
  <c r="BM25" i="31"/>
  <c r="BM26" i="31"/>
  <c r="BM27" i="31"/>
  <c r="BM28" i="31"/>
  <c r="BM29" i="31"/>
  <c r="BM30" i="31"/>
  <c r="BM31" i="31"/>
  <c r="BM32" i="31"/>
  <c r="BM33" i="31"/>
  <c r="BM34" i="31"/>
  <c r="BM35" i="31"/>
  <c r="BM36" i="31"/>
  <c r="BM37" i="31"/>
  <c r="BM38" i="31"/>
  <c r="BM39" i="31"/>
  <c r="BM40" i="31"/>
  <c r="BM41" i="31"/>
  <c r="BM42" i="31"/>
  <c r="BM43" i="31"/>
  <c r="BM44" i="31"/>
  <c r="BM45" i="31"/>
  <c r="BM46" i="31"/>
  <c r="BM47" i="31"/>
  <c r="BM48" i="31"/>
  <c r="BM49" i="31"/>
  <c r="BM50" i="31"/>
  <c r="BM51" i="31"/>
  <c r="BM52" i="31"/>
  <c r="BM53" i="31"/>
  <c r="BM54" i="31"/>
  <c r="BM55" i="31"/>
  <c r="BM56" i="31"/>
  <c r="BM57" i="31"/>
  <c r="BM58" i="31"/>
  <c r="BM59" i="31"/>
  <c r="BM60" i="31"/>
  <c r="BM61" i="31"/>
  <c r="BM62" i="31"/>
  <c r="BM63" i="31"/>
  <c r="BM64" i="31"/>
  <c r="BM65" i="31"/>
  <c r="BM66" i="31"/>
  <c r="BM67" i="31"/>
  <c r="BM68" i="31"/>
  <c r="BM69" i="31"/>
  <c r="BM70" i="31"/>
  <c r="BM71" i="31"/>
  <c r="BM72" i="31"/>
  <c r="BM73" i="31"/>
  <c r="BM74" i="31"/>
  <c r="BM75" i="31"/>
  <c r="BM76" i="31"/>
  <c r="BM77" i="31"/>
  <c r="BM78" i="31"/>
  <c r="BM79" i="31"/>
  <c r="BM80" i="31"/>
  <c r="BM81" i="31"/>
  <c r="BM82" i="31"/>
  <c r="BM83" i="31"/>
  <c r="BM84" i="31"/>
  <c r="BM85" i="31"/>
  <c r="BM86" i="31"/>
  <c r="BM87" i="31"/>
  <c r="BM88" i="31"/>
  <c r="BM89" i="31"/>
  <c r="BM90" i="31"/>
  <c r="BM91" i="31"/>
  <c r="BM92" i="31"/>
  <c r="BM93" i="31"/>
  <c r="BM94" i="31"/>
  <c r="BM95" i="31"/>
  <c r="BM96" i="31"/>
  <c r="BM97" i="31"/>
  <c r="BM98" i="31"/>
  <c r="BM99" i="31"/>
  <c r="BM100" i="31"/>
  <c r="BM101" i="31"/>
  <c r="BM102" i="31"/>
  <c r="BM103" i="31"/>
  <c r="BM104" i="31"/>
  <c r="BM105" i="31"/>
  <c r="BM106" i="31"/>
  <c r="BM107" i="31"/>
  <c r="BM108" i="31"/>
  <c r="BM109" i="31"/>
  <c r="BM110" i="31"/>
  <c r="BM111" i="31"/>
  <c r="BM112" i="31"/>
  <c r="BM113" i="31"/>
  <c r="BM114" i="31"/>
  <c r="BM115" i="31"/>
  <c r="BM116" i="31"/>
  <c r="BM117" i="31"/>
  <c r="BM118" i="31"/>
  <c r="BM119" i="31"/>
  <c r="BM120" i="31"/>
  <c r="BM121" i="31"/>
  <c r="BM122" i="31"/>
  <c r="BM123" i="31"/>
  <c r="BM124" i="31"/>
  <c r="BM125" i="31"/>
  <c r="BM126" i="31"/>
  <c r="BM127" i="31"/>
  <c r="BM128" i="31"/>
  <c r="BM129" i="31"/>
  <c r="BM130" i="31"/>
  <c r="BM131" i="31"/>
  <c r="BM132" i="31"/>
  <c r="BM133" i="31"/>
  <c r="BM134" i="31"/>
  <c r="BM135" i="31"/>
  <c r="BM136" i="31"/>
  <c r="BM137" i="31"/>
  <c r="BM138" i="31"/>
  <c r="BM139" i="31"/>
  <c r="BM140" i="31"/>
  <c r="BM141" i="31"/>
  <c r="BM142" i="31"/>
  <c r="BM143" i="31"/>
  <c r="BM144" i="31"/>
  <c r="BM145" i="31"/>
  <c r="BM146" i="31"/>
  <c r="BM147" i="31"/>
  <c r="BM148" i="31"/>
  <c r="BM149" i="31"/>
  <c r="BM150" i="31"/>
  <c r="BM151" i="31"/>
  <c r="BM152" i="31"/>
  <c r="BM153" i="31"/>
  <c r="BM154" i="31"/>
  <c r="BM155" i="31"/>
  <c r="BM156" i="31"/>
  <c r="BM157" i="31"/>
  <c r="BM158" i="31"/>
  <c r="BM159" i="31"/>
  <c r="BM160" i="31"/>
  <c r="BM161" i="31"/>
  <c r="BM162" i="31"/>
  <c r="BM163" i="31"/>
  <c r="BM164" i="31"/>
  <c r="BM165" i="31"/>
  <c r="BM166" i="31"/>
  <c r="BM167" i="31"/>
  <c r="BM168" i="31"/>
  <c r="BM169" i="31"/>
  <c r="BM170" i="31"/>
  <c r="BM171" i="31"/>
  <c r="BM172" i="31"/>
  <c r="BM173" i="31"/>
  <c r="BM174" i="31"/>
  <c r="BM175" i="31"/>
  <c r="BM176" i="31"/>
  <c r="BM177" i="31"/>
  <c r="BM178" i="31"/>
  <c r="BM179" i="31"/>
  <c r="BM180" i="31"/>
  <c r="BM181" i="31"/>
  <c r="BM182" i="31"/>
  <c r="BM183" i="31"/>
  <c r="BM184" i="31"/>
  <c r="BM185" i="31"/>
  <c r="BM186" i="31"/>
  <c r="BM187" i="31"/>
  <c r="BM188" i="31"/>
  <c r="BM189" i="31"/>
  <c r="BM190" i="31"/>
  <c r="BM191" i="31"/>
  <c r="BM192" i="31"/>
  <c r="BM193" i="31"/>
  <c r="BM194" i="31"/>
  <c r="BM195" i="31"/>
  <c r="BM196" i="31"/>
  <c r="BM197" i="31"/>
  <c r="BM198" i="31"/>
  <c r="BM199" i="31"/>
  <c r="BM200" i="31"/>
  <c r="BM201" i="31"/>
  <c r="BM202" i="31"/>
  <c r="BM203" i="31"/>
  <c r="BM204" i="31"/>
  <c r="BM205" i="31"/>
  <c r="BM206" i="31"/>
  <c r="BM207" i="31"/>
  <c r="BM208" i="31"/>
  <c r="BM209" i="31"/>
  <c r="BM210" i="31"/>
  <c r="BM211" i="31"/>
  <c r="BM212" i="31"/>
  <c r="BM213" i="31"/>
  <c r="BM214" i="31"/>
  <c r="BM215" i="31"/>
  <c r="BM216" i="31"/>
  <c r="BM217" i="31"/>
  <c r="BM218" i="31"/>
  <c r="BM219" i="31"/>
  <c r="BM220" i="31"/>
  <c r="BM221" i="31"/>
  <c r="BM222" i="31"/>
  <c r="BM223" i="31"/>
  <c r="BM224" i="31"/>
  <c r="BM225" i="31"/>
  <c r="BM226" i="31"/>
  <c r="BM227" i="31"/>
  <c r="BM228" i="31"/>
  <c r="BM229" i="31"/>
  <c r="BM230" i="31"/>
  <c r="BM231" i="31"/>
  <c r="BM232" i="31"/>
  <c r="BM233" i="31"/>
  <c r="BM234" i="31"/>
  <c r="BM235" i="31"/>
  <c r="BM236" i="31"/>
  <c r="BM237" i="31"/>
  <c r="BM238" i="31"/>
  <c r="BM239" i="31"/>
  <c r="BM240" i="31"/>
  <c r="BM241" i="31"/>
  <c r="BM242" i="31"/>
  <c r="BM243" i="31"/>
  <c r="BM244" i="31"/>
  <c r="BM245" i="31"/>
  <c r="BM246" i="31"/>
  <c r="BM247" i="31"/>
  <c r="BM248" i="31"/>
  <c r="BM249" i="31"/>
  <c r="BM250" i="31"/>
  <c r="BM251" i="31"/>
  <c r="BM252" i="31"/>
  <c r="BM253" i="31"/>
  <c r="BM254" i="31"/>
  <c r="BM255" i="31"/>
  <c r="BM256" i="31"/>
  <c r="BM257" i="31"/>
  <c r="BM258" i="31"/>
  <c r="BM259" i="31"/>
  <c r="BM260" i="31"/>
  <c r="BM261" i="31"/>
  <c r="BM262" i="31"/>
  <c r="BM263" i="31"/>
  <c r="BM264" i="31"/>
  <c r="BM265" i="31"/>
  <c r="BM266" i="31"/>
  <c r="BM267" i="31"/>
  <c r="BM268" i="31"/>
  <c r="BM269" i="31"/>
  <c r="BM270" i="31"/>
  <c r="BM271" i="31"/>
  <c r="BM272" i="31"/>
  <c r="BM273" i="31"/>
  <c r="BM274" i="31"/>
  <c r="BM275" i="31"/>
  <c r="BM276" i="31"/>
  <c r="BM277" i="31"/>
  <c r="BM278" i="31"/>
  <c r="BM279" i="31"/>
  <c r="BM280" i="31"/>
  <c r="BM281" i="31"/>
  <c r="BM282" i="31"/>
  <c r="BM283" i="31"/>
  <c r="BM284" i="31"/>
  <c r="BM285" i="31"/>
  <c r="BM286" i="31"/>
  <c r="BM287" i="31"/>
  <c r="BM288" i="31"/>
  <c r="BM289" i="31"/>
  <c r="BM290" i="31"/>
  <c r="BM291" i="31"/>
  <c r="BM292" i="31"/>
  <c r="BM293" i="31"/>
  <c r="BM294" i="31"/>
  <c r="BM295" i="31"/>
  <c r="BM296" i="31"/>
  <c r="BM297" i="31"/>
  <c r="BM298" i="31"/>
  <c r="BM299" i="31"/>
  <c r="BM300" i="31"/>
  <c r="BM301" i="31"/>
  <c r="BM302" i="31"/>
  <c r="BM303" i="31"/>
  <c r="BM304" i="31"/>
  <c r="BM305" i="31"/>
  <c r="BM306" i="31"/>
  <c r="BM307" i="31"/>
  <c r="BM308" i="31"/>
  <c r="BM309" i="31"/>
  <c r="BM310" i="31"/>
  <c r="BM311" i="31"/>
  <c r="BM312" i="31"/>
  <c r="BM313" i="31"/>
  <c r="BM314" i="31"/>
  <c r="BM315" i="31"/>
  <c r="BM316" i="31"/>
  <c r="BM317" i="31"/>
  <c r="BM318" i="31"/>
  <c r="BM319" i="31"/>
  <c r="BM320" i="31"/>
  <c r="BM321" i="31"/>
  <c r="BM322" i="31"/>
  <c r="BM323" i="31"/>
  <c r="BM324" i="31"/>
  <c r="BM325" i="31"/>
  <c r="BM326" i="31"/>
  <c r="BM327" i="31"/>
  <c r="BM328" i="31"/>
  <c r="BM329" i="31"/>
  <c r="BM330" i="31"/>
  <c r="BM331" i="31"/>
  <c r="BM332" i="31"/>
  <c r="BM333" i="31"/>
  <c r="BM334" i="31"/>
  <c r="BM335" i="31"/>
  <c r="BM336" i="31"/>
  <c r="BM337" i="31"/>
  <c r="BM338" i="31"/>
  <c r="BM339" i="31"/>
  <c r="BM340" i="31"/>
  <c r="BM341" i="31"/>
  <c r="BM342" i="31"/>
  <c r="BM343" i="31"/>
  <c r="BM344" i="31"/>
  <c r="BM345" i="31"/>
  <c r="BM346" i="31"/>
  <c r="BM347" i="31"/>
  <c r="BM348" i="31"/>
  <c r="BM349" i="31"/>
  <c r="BM350" i="31"/>
  <c r="BM351" i="31"/>
  <c r="BM352" i="31"/>
  <c r="BM353" i="31"/>
  <c r="BM354" i="31"/>
  <c r="BM355" i="31"/>
  <c r="BM356" i="31"/>
  <c r="BM357" i="31"/>
  <c r="BM358" i="31"/>
  <c r="BM359" i="31"/>
  <c r="BM360" i="31"/>
  <c r="BM361" i="31"/>
  <c r="BM362" i="31"/>
  <c r="BM363" i="31"/>
  <c r="BM364" i="31"/>
  <c r="BM365" i="31"/>
  <c r="BM366" i="31"/>
  <c r="BM367" i="31"/>
  <c r="BM368" i="31"/>
  <c r="BM369" i="31"/>
  <c r="BM370" i="31"/>
  <c r="BM371" i="31"/>
  <c r="BM372" i="31"/>
  <c r="BM373" i="31"/>
  <c r="BM374" i="31"/>
  <c r="BM375" i="31"/>
  <c r="BM376" i="31"/>
  <c r="BM377" i="31"/>
  <c r="BM378" i="31"/>
  <c r="BM379" i="31"/>
  <c r="BM380" i="31"/>
  <c r="BM381" i="31"/>
  <c r="BM382" i="31"/>
  <c r="BM383" i="31"/>
  <c r="BM384" i="31"/>
  <c r="BM385" i="31"/>
  <c r="BM386" i="31"/>
  <c r="BM387" i="31"/>
  <c r="BM388" i="31"/>
  <c r="BM389" i="31"/>
  <c r="BM390" i="31"/>
  <c r="BM391" i="31"/>
  <c r="BM392" i="31"/>
  <c r="BM393" i="31"/>
  <c r="BM394" i="31"/>
  <c r="BM395" i="31"/>
  <c r="BM396" i="31"/>
  <c r="BM397" i="31"/>
  <c r="BM398" i="31"/>
  <c r="BM399" i="31"/>
  <c r="BM400" i="31"/>
  <c r="BM401" i="31"/>
  <c r="BM402" i="31"/>
  <c r="BM403" i="31"/>
  <c r="BM404" i="31"/>
  <c r="BM405" i="31"/>
  <c r="BM406" i="31"/>
  <c r="BM407" i="31"/>
  <c r="BM408" i="31"/>
  <c r="BM409" i="31"/>
  <c r="BM410" i="31"/>
  <c r="BM411" i="31"/>
  <c r="BM412" i="31"/>
  <c r="BM413" i="31"/>
  <c r="BM414" i="31"/>
  <c r="BM415" i="31"/>
  <c r="BM416" i="31"/>
  <c r="BM417" i="31"/>
  <c r="BM418" i="31"/>
  <c r="BM419" i="31"/>
  <c r="BM420" i="31"/>
  <c r="BM421" i="31"/>
  <c r="BM422" i="31"/>
  <c r="BM423" i="31"/>
  <c r="BM424" i="31"/>
  <c r="BM425" i="31"/>
  <c r="BM426" i="31"/>
  <c r="BM427" i="31"/>
  <c r="BM428" i="31"/>
  <c r="BM429" i="31"/>
  <c r="BM430" i="31"/>
  <c r="BM431" i="31"/>
  <c r="BM432" i="31"/>
  <c r="BM433" i="31"/>
  <c r="BM434" i="31"/>
  <c r="BM435" i="31"/>
  <c r="BM436" i="31"/>
  <c r="BM437" i="31"/>
  <c r="BM438" i="31"/>
  <c r="BM439" i="31"/>
  <c r="BM440" i="31"/>
  <c r="BM441" i="31"/>
  <c r="BM442" i="31"/>
  <c r="BM443" i="31"/>
  <c r="BM444" i="31"/>
  <c r="BM445" i="31"/>
  <c r="BM446" i="31"/>
  <c r="BM447" i="31"/>
  <c r="BM448" i="31"/>
  <c r="BM449" i="31"/>
  <c r="BM450" i="31"/>
  <c r="BM451" i="31"/>
  <c r="BM452" i="31"/>
  <c r="BM453" i="31"/>
  <c r="BM454" i="31"/>
  <c r="BM455" i="31"/>
  <c r="BM456" i="31"/>
  <c r="BM457" i="31"/>
  <c r="BM458" i="31"/>
  <c r="BM459" i="31"/>
  <c r="BM460" i="31"/>
  <c r="BM461" i="31"/>
  <c r="BM462" i="31"/>
  <c r="BM463" i="31"/>
  <c r="BM464" i="31"/>
  <c r="BM465" i="31"/>
  <c r="BM466" i="31"/>
  <c r="BM467" i="31"/>
  <c r="BM468" i="31"/>
  <c r="BM469" i="31"/>
  <c r="BM470" i="31"/>
  <c r="BM471" i="31"/>
  <c r="BM472" i="31"/>
  <c r="BM473" i="31"/>
  <c r="BM474" i="31"/>
  <c r="BM475" i="31"/>
  <c r="BM476" i="31"/>
  <c r="BM477" i="31"/>
  <c r="BM478" i="31"/>
  <c r="BM479" i="31"/>
  <c r="BM480" i="31"/>
  <c r="BM481" i="31"/>
  <c r="BM482" i="31"/>
  <c r="BM483" i="31"/>
  <c r="BM484" i="31"/>
  <c r="BM485" i="31"/>
  <c r="BM486" i="31"/>
  <c r="BM487" i="31"/>
  <c r="BM488" i="31"/>
  <c r="BM489" i="31"/>
  <c r="BM490" i="31"/>
  <c r="BM491" i="31"/>
  <c r="BM492" i="31"/>
  <c r="BM493" i="31"/>
  <c r="BM494" i="31"/>
  <c r="BM495" i="31"/>
  <c r="BM496" i="31"/>
  <c r="BM497" i="31"/>
  <c r="BM498" i="31"/>
  <c r="BM499" i="31"/>
  <c r="BM500" i="31"/>
  <c r="BM501" i="31"/>
  <c r="BM502" i="31"/>
  <c r="BM503" i="31"/>
  <c r="BM504" i="31"/>
  <c r="BM505" i="31"/>
  <c r="BM506" i="31"/>
  <c r="BM507" i="31"/>
  <c r="BM508" i="31"/>
  <c r="BM509" i="31"/>
  <c r="BM510" i="31"/>
  <c r="BM511" i="31"/>
  <c r="BM512" i="31"/>
  <c r="BM513" i="31"/>
  <c r="BM514" i="31"/>
  <c r="BM515" i="31"/>
  <c r="BM516" i="31"/>
  <c r="BM517" i="31"/>
  <c r="BM518" i="31"/>
  <c r="BM519" i="31"/>
  <c r="BM520" i="31"/>
  <c r="BM521" i="31"/>
  <c r="BM522" i="31"/>
  <c r="BM523" i="31"/>
  <c r="BM524" i="31"/>
  <c r="BM525" i="31"/>
  <c r="BM526" i="31"/>
  <c r="BM527" i="31"/>
  <c r="BM528" i="31"/>
  <c r="BM529" i="31"/>
  <c r="BM530" i="31"/>
  <c r="BM531" i="31"/>
  <c r="BM532" i="31"/>
  <c r="BM533" i="31"/>
  <c r="BM534" i="31"/>
  <c r="BM535" i="31"/>
  <c r="BM536" i="31"/>
  <c r="BM537" i="31"/>
  <c r="BM538" i="31"/>
  <c r="BM539" i="31"/>
  <c r="BM540" i="31"/>
  <c r="BM541" i="31"/>
  <c r="BM542" i="31"/>
  <c r="BM543" i="31"/>
  <c r="BM544" i="31"/>
  <c r="BM545" i="31"/>
  <c r="BM546" i="31"/>
  <c r="BM547" i="31"/>
  <c r="BM548" i="31"/>
  <c r="BM549" i="31"/>
  <c r="BM550" i="31"/>
  <c r="BM551" i="31"/>
  <c r="BM552" i="31"/>
  <c r="BM553" i="31"/>
  <c r="BM554" i="31"/>
  <c r="BM555" i="31"/>
  <c r="BM556" i="31"/>
  <c r="BM557" i="31"/>
  <c r="BM558" i="31"/>
  <c r="BM559" i="31"/>
  <c r="BM560" i="31"/>
  <c r="BM561" i="31"/>
  <c r="BM562" i="31"/>
  <c r="BM563" i="31"/>
  <c r="BM564" i="31"/>
  <c r="BM565" i="31"/>
  <c r="BM566" i="31"/>
  <c r="BM567" i="31"/>
  <c r="BM568" i="31"/>
  <c r="BM569" i="31"/>
  <c r="BM570" i="31"/>
  <c r="BM571" i="31"/>
  <c r="BM572" i="31"/>
  <c r="BM573" i="31"/>
  <c r="BM574" i="31"/>
  <c r="BM575" i="31"/>
  <c r="BM576" i="31"/>
  <c r="BM577" i="31"/>
  <c r="BM578" i="31"/>
  <c r="BM579" i="31"/>
  <c r="BM580" i="31"/>
  <c r="BM581" i="31"/>
  <c r="BM582" i="31"/>
  <c r="BM583" i="31"/>
  <c r="BM584" i="31"/>
  <c r="BM585" i="31"/>
  <c r="BM586" i="31"/>
  <c r="BM587" i="31"/>
  <c r="BM588" i="31"/>
  <c r="BM589" i="31"/>
  <c r="BM590" i="31"/>
  <c r="BM591" i="31"/>
  <c r="BM592" i="31"/>
  <c r="BM593" i="31"/>
  <c r="BM594" i="31"/>
  <c r="BM595" i="31"/>
  <c r="BM596" i="31"/>
  <c r="BM597" i="31"/>
  <c r="BM598" i="31"/>
  <c r="BM599" i="31"/>
  <c r="BM600" i="31"/>
  <c r="BM601" i="31"/>
  <c r="BM602" i="31"/>
  <c r="BM603" i="31"/>
  <c r="BM604" i="31"/>
  <c r="BM605" i="31"/>
  <c r="BM606" i="31"/>
  <c r="BM607" i="31"/>
  <c r="BM608" i="31"/>
  <c r="BM609" i="31"/>
  <c r="BM610" i="31"/>
  <c r="BM611" i="31"/>
  <c r="BM612" i="31"/>
  <c r="BM613" i="31"/>
  <c r="BM614" i="31"/>
  <c r="BM615" i="31"/>
  <c r="BM616" i="31"/>
  <c r="BM617" i="31"/>
  <c r="BM618" i="31"/>
  <c r="BM619" i="31"/>
  <c r="BM620" i="31"/>
  <c r="BM621" i="31"/>
  <c r="BM622" i="31"/>
  <c r="BM623" i="31"/>
  <c r="BM624" i="31"/>
  <c r="BM625" i="31"/>
  <c r="BM626" i="31"/>
  <c r="BM627" i="31"/>
  <c r="BM628" i="31"/>
  <c r="BM629" i="31"/>
  <c r="BM630" i="31"/>
  <c r="BM631" i="31"/>
  <c r="BM632" i="31"/>
  <c r="BM633" i="31"/>
  <c r="BM634" i="31"/>
  <c r="BM635" i="31"/>
  <c r="BM636" i="31"/>
  <c r="BM637" i="31"/>
  <c r="BM638" i="31"/>
  <c r="BM639" i="31"/>
  <c r="BM640" i="31"/>
  <c r="BM641" i="31"/>
  <c r="BM642" i="31"/>
  <c r="BM643" i="31"/>
  <c r="BM644" i="31"/>
  <c r="BM645" i="31"/>
  <c r="BM646" i="31"/>
  <c r="BM647" i="31"/>
  <c r="BM648" i="31"/>
  <c r="BM649" i="31"/>
  <c r="BM650" i="31"/>
  <c r="BM651" i="31"/>
  <c r="BM652" i="31"/>
  <c r="BM653" i="31"/>
  <c r="BM654" i="31"/>
  <c r="BM655" i="31"/>
  <c r="BM656" i="31"/>
  <c r="BM657" i="31"/>
  <c r="BM658" i="31"/>
  <c r="BM659" i="31"/>
  <c r="BM660" i="31"/>
  <c r="BM661" i="31"/>
  <c r="BM662" i="31"/>
  <c r="BM663" i="31"/>
  <c r="BM664" i="31"/>
  <c r="BM665" i="31"/>
  <c r="BM666" i="31"/>
  <c r="BM667" i="31"/>
  <c r="BM668" i="31"/>
  <c r="BM669" i="31"/>
  <c r="BM670" i="31"/>
  <c r="BM671" i="31"/>
  <c r="BM672" i="31"/>
  <c r="BM673" i="31"/>
  <c r="BM674" i="31"/>
  <c r="BM675" i="31"/>
  <c r="BM676" i="31"/>
  <c r="BM677" i="31"/>
  <c r="BM678" i="31"/>
  <c r="BM679" i="31"/>
  <c r="BM680" i="31"/>
  <c r="BM681" i="31"/>
  <c r="BM682" i="31"/>
  <c r="BM683" i="31"/>
  <c r="BM684" i="31"/>
  <c r="BM685" i="31"/>
  <c r="BM686" i="31"/>
  <c r="BM687" i="31"/>
  <c r="BM688" i="31"/>
  <c r="BM689" i="31"/>
  <c r="BM690" i="31"/>
  <c r="BM691" i="31"/>
  <c r="BM692" i="31"/>
  <c r="BM693" i="31"/>
  <c r="BM694" i="31"/>
  <c r="BM695" i="31"/>
  <c r="BM696" i="31"/>
  <c r="BM697" i="31"/>
  <c r="BM698" i="31"/>
  <c r="BM699" i="31"/>
  <c r="BM700" i="31"/>
  <c r="BM701" i="31"/>
  <c r="BM702" i="31"/>
  <c r="BM703" i="31"/>
  <c r="BM704" i="31"/>
  <c r="BM705" i="31"/>
  <c r="BM706" i="31"/>
  <c r="BM707" i="31"/>
  <c r="BM708" i="31"/>
  <c r="BM709" i="31"/>
  <c r="BM710" i="31"/>
  <c r="BM711" i="31"/>
  <c r="BM712" i="31"/>
  <c r="BM713" i="31"/>
  <c r="BM714" i="31"/>
  <c r="BM715" i="31"/>
  <c r="BK3" i="31"/>
  <c r="E89" i="80"/>
  <c r="J6" i="31"/>
  <c r="J7" i="31"/>
  <c r="J8" i="31"/>
  <c r="J9" i="31"/>
  <c r="J10" i="31"/>
  <c r="J11" i="31"/>
  <c r="J12" i="31"/>
  <c r="J13" i="31"/>
  <c r="J14" i="31"/>
  <c r="J15" i="31"/>
  <c r="J16" i="31"/>
  <c r="J17" i="31"/>
  <c r="J18" i="31"/>
  <c r="J19" i="31"/>
  <c r="J20" i="31"/>
  <c r="J21" i="31"/>
  <c r="J22" i="31"/>
  <c r="J23" i="31"/>
  <c r="J24" i="31"/>
  <c r="J25" i="31"/>
  <c r="J26" i="31"/>
  <c r="J27" i="31"/>
  <c r="J28" i="31"/>
  <c r="J29" i="31"/>
  <c r="J30" i="31"/>
  <c r="J31" i="31"/>
  <c r="J32" i="31"/>
  <c r="J33" i="31"/>
  <c r="J34" i="31"/>
  <c r="J35" i="31"/>
  <c r="J36" i="31"/>
  <c r="J37" i="31"/>
  <c r="J38" i="31"/>
  <c r="J39" i="31"/>
  <c r="J40" i="31"/>
  <c r="J41" i="31"/>
  <c r="J42" i="31"/>
  <c r="J43" i="31"/>
  <c r="J44" i="31"/>
  <c r="J45" i="31"/>
  <c r="J46" i="31"/>
  <c r="J47" i="31"/>
  <c r="J48" i="31"/>
  <c r="J49" i="31"/>
  <c r="J50" i="31"/>
  <c r="J51" i="31"/>
  <c r="J52" i="31"/>
  <c r="J53" i="31"/>
  <c r="J54" i="31"/>
  <c r="J55" i="31"/>
  <c r="J56" i="31"/>
  <c r="J57" i="31"/>
  <c r="J58" i="31"/>
  <c r="J59" i="31"/>
  <c r="J60" i="31"/>
  <c r="J61" i="31"/>
  <c r="J62" i="31"/>
  <c r="J63" i="31"/>
  <c r="J64" i="31"/>
  <c r="J65" i="31"/>
  <c r="J66" i="31"/>
  <c r="J67" i="31"/>
  <c r="J68" i="31"/>
  <c r="J69" i="31"/>
  <c r="J70" i="31"/>
  <c r="J71" i="31"/>
  <c r="J72" i="31"/>
  <c r="J73" i="31"/>
  <c r="J74" i="31"/>
  <c r="J75" i="31"/>
  <c r="J76" i="31"/>
  <c r="J77" i="31"/>
  <c r="J78" i="31"/>
  <c r="J79" i="31"/>
  <c r="J80" i="31"/>
  <c r="J81" i="31"/>
  <c r="J82" i="31"/>
  <c r="J83" i="31"/>
  <c r="J84" i="31"/>
  <c r="J85" i="31"/>
  <c r="J86" i="31"/>
  <c r="J87" i="31"/>
  <c r="J88" i="31"/>
  <c r="J89" i="31"/>
  <c r="J90" i="31"/>
  <c r="J91" i="31"/>
  <c r="J92" i="31"/>
  <c r="J93" i="31"/>
  <c r="J94" i="31"/>
  <c r="J95" i="31"/>
  <c r="J96" i="31"/>
  <c r="J97" i="31"/>
  <c r="J98" i="31"/>
  <c r="J99" i="31"/>
  <c r="J100" i="31"/>
  <c r="J101" i="31"/>
  <c r="J102" i="31"/>
  <c r="J103" i="31"/>
  <c r="J104" i="31"/>
  <c r="J105" i="31"/>
  <c r="J106" i="31"/>
  <c r="J107" i="31"/>
  <c r="J108" i="31"/>
  <c r="J109" i="31"/>
  <c r="J110" i="31"/>
  <c r="J111" i="31"/>
  <c r="J112" i="31"/>
  <c r="J113" i="31"/>
  <c r="J114" i="31"/>
  <c r="J115" i="31"/>
  <c r="J116" i="31"/>
  <c r="J117" i="31"/>
  <c r="J118" i="31"/>
  <c r="J119" i="31"/>
  <c r="J120" i="31"/>
  <c r="J121" i="31"/>
  <c r="J122" i="31"/>
  <c r="J123" i="31"/>
  <c r="J124" i="31"/>
  <c r="J125" i="31"/>
  <c r="J126" i="31"/>
  <c r="J127" i="31"/>
  <c r="J128" i="31"/>
  <c r="J129" i="31"/>
  <c r="J130" i="31"/>
  <c r="J131" i="31"/>
  <c r="J132" i="31"/>
  <c r="J133" i="31"/>
  <c r="J134" i="31"/>
  <c r="J135" i="31"/>
  <c r="J136" i="31"/>
  <c r="J137" i="31"/>
  <c r="J138" i="31"/>
  <c r="J139" i="31"/>
  <c r="J140" i="31"/>
  <c r="J141" i="31"/>
  <c r="J142" i="31"/>
  <c r="J143" i="31"/>
  <c r="J144" i="31"/>
  <c r="J145" i="31"/>
  <c r="J146" i="31"/>
  <c r="J147" i="31"/>
  <c r="J148" i="31"/>
  <c r="J149" i="31"/>
  <c r="J150" i="31"/>
  <c r="J151" i="31"/>
  <c r="J152" i="31"/>
  <c r="J153" i="31"/>
  <c r="J154" i="31"/>
  <c r="J155" i="31"/>
  <c r="J156" i="31"/>
  <c r="J157" i="31"/>
  <c r="J158" i="31"/>
  <c r="J159" i="31"/>
  <c r="J160" i="31"/>
  <c r="J161" i="31"/>
  <c r="J162" i="31"/>
  <c r="J163" i="31"/>
  <c r="J164" i="31"/>
  <c r="J165" i="31"/>
  <c r="J166" i="31"/>
  <c r="J167" i="31"/>
  <c r="J168" i="31"/>
  <c r="J169" i="31"/>
  <c r="J170" i="31"/>
  <c r="J171" i="31"/>
  <c r="J172" i="31"/>
  <c r="J173" i="31"/>
  <c r="J174" i="31"/>
  <c r="J175" i="31"/>
  <c r="J176" i="31"/>
  <c r="J177" i="31"/>
  <c r="J178" i="31"/>
  <c r="J179" i="31"/>
  <c r="J180" i="31"/>
  <c r="J181" i="31"/>
  <c r="J182" i="31"/>
  <c r="J183" i="31"/>
  <c r="J184" i="31"/>
  <c r="J185" i="31"/>
  <c r="J186" i="31"/>
  <c r="J187" i="31"/>
  <c r="J188" i="31"/>
  <c r="J189" i="31"/>
  <c r="J190" i="31"/>
  <c r="J191" i="31"/>
  <c r="J192" i="31"/>
  <c r="J193" i="31"/>
  <c r="J194" i="31"/>
  <c r="J195" i="31"/>
  <c r="J196" i="31"/>
  <c r="J197" i="31"/>
  <c r="J198" i="31"/>
  <c r="J199" i="31"/>
  <c r="J200" i="31"/>
  <c r="J201" i="31"/>
  <c r="J202" i="31"/>
  <c r="J203" i="31"/>
  <c r="J204" i="31"/>
  <c r="J205" i="31"/>
  <c r="J206" i="31"/>
  <c r="J207" i="31"/>
  <c r="J208" i="31"/>
  <c r="J209" i="31"/>
  <c r="J210" i="31"/>
  <c r="J211" i="31"/>
  <c r="J212" i="31"/>
  <c r="J213" i="31"/>
  <c r="J214" i="31"/>
  <c r="J215" i="31"/>
  <c r="J216" i="31"/>
  <c r="J217" i="31"/>
  <c r="J218" i="31"/>
  <c r="J219" i="31"/>
  <c r="J220" i="31"/>
  <c r="J221" i="31"/>
  <c r="J222" i="31"/>
  <c r="J223" i="31"/>
  <c r="J224" i="31"/>
  <c r="J225" i="31"/>
  <c r="J226" i="31"/>
  <c r="J227" i="31"/>
  <c r="J228" i="31"/>
  <c r="J229" i="31"/>
  <c r="J230" i="31"/>
  <c r="J231" i="31"/>
  <c r="J232" i="31"/>
  <c r="J233" i="31"/>
  <c r="J234" i="31"/>
  <c r="J235" i="31"/>
  <c r="J236" i="31"/>
  <c r="J237" i="31"/>
  <c r="J238" i="31"/>
  <c r="J239" i="31"/>
  <c r="J240" i="31"/>
  <c r="J241" i="31"/>
  <c r="J242" i="31"/>
  <c r="J243" i="31"/>
  <c r="J244" i="31"/>
  <c r="J245" i="31"/>
  <c r="J246" i="31"/>
  <c r="J247" i="31"/>
  <c r="J248" i="31"/>
  <c r="J249" i="31"/>
  <c r="J250" i="31"/>
  <c r="J251" i="31"/>
  <c r="J252" i="31"/>
  <c r="J253" i="31"/>
  <c r="J254" i="31"/>
  <c r="J255" i="31"/>
  <c r="J256" i="31"/>
  <c r="J257" i="31"/>
  <c r="J258" i="31"/>
  <c r="J259" i="31"/>
  <c r="J260" i="31"/>
  <c r="J261" i="31"/>
  <c r="J262" i="31"/>
  <c r="J263" i="31"/>
  <c r="J264" i="31"/>
  <c r="J265" i="31"/>
  <c r="J266" i="31"/>
  <c r="J267" i="31"/>
  <c r="J268" i="31"/>
  <c r="J269" i="31"/>
  <c r="J270" i="31"/>
  <c r="J271" i="31"/>
  <c r="J272" i="31"/>
  <c r="J273" i="31"/>
  <c r="J274" i="31"/>
  <c r="J275" i="31"/>
  <c r="J276" i="31"/>
  <c r="J277" i="31"/>
  <c r="J278" i="31"/>
  <c r="J279" i="31"/>
  <c r="J280" i="31"/>
  <c r="J281" i="31"/>
  <c r="J282" i="31"/>
  <c r="J283" i="31"/>
  <c r="J284" i="31"/>
  <c r="J285" i="31"/>
  <c r="J286" i="31"/>
  <c r="J287" i="31"/>
  <c r="J288" i="31"/>
  <c r="J289" i="31"/>
  <c r="J290" i="31"/>
  <c r="J291" i="31"/>
  <c r="J292" i="31"/>
  <c r="J293" i="31"/>
  <c r="J294" i="31"/>
  <c r="J295" i="31"/>
  <c r="J296" i="31"/>
  <c r="J297" i="31"/>
  <c r="J298" i="31"/>
  <c r="J299" i="31"/>
  <c r="J300" i="31"/>
  <c r="J301" i="31"/>
  <c r="J302" i="31"/>
  <c r="J303" i="31"/>
  <c r="J304" i="31"/>
  <c r="J305" i="31"/>
  <c r="J306" i="31"/>
  <c r="J307" i="31"/>
  <c r="J308" i="31"/>
  <c r="J309" i="31"/>
  <c r="J310" i="31"/>
  <c r="J311" i="31"/>
  <c r="J312" i="31"/>
  <c r="J313" i="31"/>
  <c r="J314" i="31"/>
  <c r="J315" i="31"/>
  <c r="J316" i="31"/>
  <c r="J317" i="31"/>
  <c r="J318" i="31"/>
  <c r="J319" i="31"/>
  <c r="J320" i="31"/>
  <c r="J321" i="31"/>
  <c r="J322" i="31"/>
  <c r="J323" i="31"/>
  <c r="J324" i="31"/>
  <c r="J325" i="31"/>
  <c r="J326" i="31"/>
  <c r="J327" i="31"/>
  <c r="J328" i="31"/>
  <c r="J329" i="31"/>
  <c r="J330" i="31"/>
  <c r="J331" i="31"/>
  <c r="J332" i="31"/>
  <c r="J333" i="31"/>
  <c r="J334" i="31"/>
  <c r="J335" i="31"/>
  <c r="J336" i="31"/>
  <c r="J337" i="31"/>
  <c r="J338" i="31"/>
  <c r="J339" i="31"/>
  <c r="J340" i="31"/>
  <c r="J341" i="31"/>
  <c r="J342" i="31"/>
  <c r="J343" i="31"/>
  <c r="J344" i="31"/>
  <c r="J345" i="31"/>
  <c r="J346" i="31"/>
  <c r="J347" i="31"/>
  <c r="J348" i="31"/>
  <c r="J349" i="31"/>
  <c r="J350" i="31"/>
  <c r="J351" i="31"/>
  <c r="J352" i="31"/>
  <c r="J353" i="31"/>
  <c r="J354" i="31"/>
  <c r="J355" i="31"/>
  <c r="J356" i="31"/>
  <c r="J357" i="31"/>
  <c r="J358" i="31"/>
  <c r="J359" i="31"/>
  <c r="J360" i="31"/>
  <c r="J361" i="31"/>
  <c r="J362" i="31"/>
  <c r="J363" i="31"/>
  <c r="J364" i="31"/>
  <c r="J365" i="31"/>
  <c r="J366" i="31"/>
  <c r="J367" i="31"/>
  <c r="J368" i="31"/>
  <c r="J369" i="31"/>
  <c r="J370" i="31"/>
  <c r="J371" i="31"/>
  <c r="J372" i="31"/>
  <c r="J373" i="31"/>
  <c r="J374" i="31"/>
  <c r="J375" i="31"/>
  <c r="J376" i="31"/>
  <c r="J377" i="31"/>
  <c r="J378" i="31"/>
  <c r="J379" i="31"/>
  <c r="J380" i="31"/>
  <c r="J381" i="31"/>
  <c r="J382" i="31"/>
  <c r="J383" i="31"/>
  <c r="J384" i="31"/>
  <c r="J385" i="31"/>
  <c r="J386" i="31"/>
  <c r="J387" i="31"/>
  <c r="J388" i="31"/>
  <c r="J389" i="31"/>
  <c r="J390" i="31"/>
  <c r="J391" i="31"/>
  <c r="J392" i="31"/>
  <c r="J393" i="31"/>
  <c r="J394" i="31"/>
  <c r="J395" i="31"/>
  <c r="J396" i="31"/>
  <c r="J397" i="31"/>
  <c r="J398" i="31"/>
  <c r="J399" i="31"/>
  <c r="J400" i="31"/>
  <c r="J401" i="31"/>
  <c r="J402" i="31"/>
  <c r="J403" i="31"/>
  <c r="J404" i="31"/>
  <c r="J405" i="31"/>
  <c r="J406" i="31"/>
  <c r="J407" i="31"/>
  <c r="J408" i="31"/>
  <c r="J409" i="31"/>
  <c r="J410" i="31"/>
  <c r="J411" i="31"/>
  <c r="J412" i="31"/>
  <c r="J413" i="31"/>
  <c r="J445" i="31"/>
  <c r="J446" i="31"/>
  <c r="J447" i="31"/>
  <c r="J448" i="31"/>
  <c r="J449" i="31"/>
  <c r="J450" i="31"/>
  <c r="J451" i="31"/>
  <c r="J452" i="31"/>
  <c r="J453" i="31"/>
  <c r="J454" i="31"/>
  <c r="J455" i="31"/>
  <c r="J456" i="31"/>
  <c r="J457" i="31"/>
  <c r="J458" i="31"/>
  <c r="J459" i="31"/>
  <c r="J460" i="31"/>
  <c r="J461" i="31"/>
  <c r="J462" i="31"/>
  <c r="J463" i="31"/>
  <c r="J464" i="31"/>
  <c r="J465" i="31"/>
  <c r="J466" i="31"/>
  <c r="J467" i="31"/>
  <c r="J468" i="31"/>
  <c r="J469" i="31"/>
  <c r="J470" i="31"/>
  <c r="J471" i="31"/>
  <c r="J472" i="31"/>
  <c r="J473" i="31"/>
  <c r="J474" i="31"/>
  <c r="J475" i="31"/>
  <c r="J476" i="31"/>
  <c r="J477" i="31"/>
  <c r="J478" i="31"/>
  <c r="J479" i="31"/>
  <c r="J480" i="31"/>
  <c r="J481" i="31"/>
  <c r="J482" i="31"/>
  <c r="J483" i="31"/>
  <c r="J484" i="31"/>
  <c r="J485" i="31"/>
  <c r="J486" i="31"/>
  <c r="J487" i="31"/>
  <c r="J488" i="31"/>
  <c r="J489" i="31"/>
  <c r="J490" i="31"/>
  <c r="J491" i="31"/>
  <c r="J492" i="31"/>
  <c r="J493" i="31"/>
  <c r="J494" i="31"/>
  <c r="J495" i="31"/>
  <c r="J496" i="31"/>
  <c r="J497" i="31"/>
  <c r="J498" i="31"/>
  <c r="J499" i="31"/>
  <c r="J500" i="31"/>
  <c r="J501" i="31"/>
  <c r="J502" i="31"/>
  <c r="J503" i="31"/>
  <c r="J504" i="31"/>
  <c r="J505" i="31"/>
  <c r="J506" i="31"/>
  <c r="J507" i="31"/>
  <c r="J508" i="31"/>
  <c r="J509" i="31"/>
  <c r="J510" i="31"/>
  <c r="J511" i="31"/>
  <c r="J512" i="31"/>
  <c r="J513" i="31"/>
  <c r="J514" i="31"/>
  <c r="J515" i="31"/>
  <c r="J516" i="31"/>
  <c r="J517" i="31"/>
  <c r="J518" i="31"/>
  <c r="J519" i="31"/>
  <c r="J520" i="31"/>
  <c r="J521" i="31"/>
  <c r="J522" i="31"/>
  <c r="J523" i="31"/>
  <c r="J524" i="31"/>
  <c r="J525" i="31"/>
  <c r="J526" i="31"/>
  <c r="J527" i="31"/>
  <c r="J528" i="31"/>
  <c r="J529" i="31"/>
  <c r="J530" i="31"/>
  <c r="J531" i="31"/>
  <c r="J532" i="31"/>
  <c r="J533" i="31"/>
  <c r="J534" i="31"/>
  <c r="J535" i="31"/>
  <c r="J536" i="31"/>
  <c r="J537" i="31"/>
  <c r="J538" i="31"/>
  <c r="J539" i="31"/>
  <c r="J540" i="31"/>
  <c r="J541" i="31"/>
  <c r="J542" i="31"/>
  <c r="J543" i="31"/>
  <c r="J544" i="31"/>
  <c r="J545" i="31"/>
  <c r="J546" i="31"/>
  <c r="J547" i="31"/>
  <c r="J548" i="31"/>
  <c r="J549" i="31"/>
  <c r="J550" i="31"/>
  <c r="J551" i="31"/>
  <c r="J552" i="31"/>
  <c r="J553" i="31"/>
  <c r="J554" i="31"/>
  <c r="J555" i="31"/>
  <c r="J556" i="31"/>
  <c r="J557" i="31"/>
  <c r="J558" i="31"/>
  <c r="J559" i="31"/>
  <c r="J560" i="31"/>
  <c r="J561" i="31"/>
  <c r="J562" i="31"/>
  <c r="J563" i="31"/>
  <c r="J564" i="31"/>
  <c r="J565" i="31"/>
  <c r="J566" i="31"/>
  <c r="J567" i="31"/>
  <c r="J568" i="31"/>
  <c r="J569" i="31"/>
  <c r="J570" i="31"/>
  <c r="J571" i="31"/>
  <c r="J572" i="31"/>
  <c r="J573" i="31"/>
  <c r="J574" i="31"/>
  <c r="J575" i="31"/>
  <c r="J576" i="31"/>
  <c r="J577" i="31"/>
  <c r="J578" i="31"/>
  <c r="J579" i="31"/>
  <c r="J580" i="31"/>
  <c r="J581" i="31"/>
  <c r="J582" i="31"/>
  <c r="J583" i="31"/>
  <c r="J584" i="31"/>
  <c r="J585" i="31"/>
  <c r="J586" i="31"/>
  <c r="J587" i="31"/>
  <c r="J588" i="31"/>
  <c r="J589" i="31"/>
  <c r="J590" i="31"/>
  <c r="J591" i="31"/>
  <c r="J592" i="31"/>
  <c r="J593" i="31"/>
  <c r="J594" i="31"/>
  <c r="J595" i="31"/>
  <c r="J596" i="31"/>
  <c r="J597" i="31"/>
  <c r="J598" i="31"/>
  <c r="J599" i="31"/>
  <c r="J600" i="31"/>
  <c r="J601" i="31"/>
  <c r="J602" i="31"/>
  <c r="J603" i="31"/>
  <c r="J604" i="31"/>
  <c r="J605" i="31"/>
  <c r="J606" i="31"/>
  <c r="J607" i="31"/>
  <c r="J608" i="31"/>
  <c r="J609" i="31"/>
  <c r="J610" i="31"/>
  <c r="J611" i="31"/>
  <c r="J612" i="31"/>
  <c r="J613" i="31"/>
  <c r="J614" i="31"/>
  <c r="J615" i="31"/>
  <c r="J616" i="31"/>
  <c r="J617" i="31"/>
  <c r="J618" i="31"/>
  <c r="J619" i="31"/>
  <c r="J620" i="31"/>
  <c r="J621" i="31"/>
  <c r="J622" i="31"/>
  <c r="J623" i="31"/>
  <c r="J624" i="31"/>
  <c r="J625" i="31"/>
  <c r="J626" i="31"/>
  <c r="J627" i="31"/>
  <c r="J628" i="31"/>
  <c r="J629" i="31"/>
  <c r="J630" i="31"/>
  <c r="J631" i="31"/>
  <c r="J632" i="31"/>
  <c r="J633" i="31"/>
  <c r="J634" i="31"/>
  <c r="J635" i="31"/>
  <c r="J636" i="31"/>
  <c r="J637" i="31"/>
  <c r="J638" i="31"/>
  <c r="J639" i="31"/>
  <c r="J640" i="31"/>
  <c r="J641" i="31"/>
  <c r="J642" i="31"/>
  <c r="J643" i="31"/>
  <c r="J644" i="31"/>
  <c r="J645" i="31"/>
  <c r="J646" i="31"/>
  <c r="J647" i="31"/>
  <c r="J648" i="31"/>
  <c r="J649" i="31"/>
  <c r="J650" i="31"/>
  <c r="J651" i="31"/>
  <c r="J652" i="31"/>
  <c r="J653" i="31"/>
  <c r="J654" i="31"/>
  <c r="J655" i="31"/>
  <c r="J656" i="31"/>
  <c r="J657" i="31"/>
  <c r="J658" i="31"/>
  <c r="J659" i="31"/>
  <c r="J660" i="31"/>
  <c r="J661" i="31"/>
  <c r="J662" i="31"/>
  <c r="J663" i="31"/>
  <c r="J664" i="31"/>
  <c r="J665" i="31"/>
  <c r="J666" i="31"/>
  <c r="J667" i="31"/>
  <c r="J668" i="31"/>
  <c r="J669" i="31"/>
  <c r="J670" i="31"/>
  <c r="J671" i="31"/>
  <c r="J672" i="31"/>
  <c r="J673" i="31"/>
  <c r="J674" i="31"/>
  <c r="J675" i="31"/>
  <c r="J676" i="31"/>
  <c r="J677" i="31"/>
  <c r="J678" i="31"/>
  <c r="J679" i="31"/>
  <c r="J680" i="31"/>
  <c r="J681" i="31"/>
  <c r="J682" i="31"/>
  <c r="J683" i="31"/>
  <c r="J684" i="31"/>
  <c r="J685" i="31"/>
  <c r="J686" i="31"/>
  <c r="J687" i="31"/>
  <c r="J688" i="31"/>
  <c r="J689" i="31"/>
  <c r="J690" i="31"/>
  <c r="J691" i="31"/>
  <c r="J692" i="31"/>
  <c r="J693" i="31"/>
  <c r="J694" i="31"/>
  <c r="J695" i="31"/>
  <c r="J696" i="31"/>
  <c r="J697" i="31"/>
  <c r="J698" i="31"/>
  <c r="J699" i="31"/>
  <c r="J700" i="31"/>
  <c r="J701" i="31"/>
  <c r="J702" i="31"/>
  <c r="J703" i="31"/>
  <c r="J704" i="31"/>
  <c r="J705" i="31"/>
  <c r="J706" i="31"/>
  <c r="J707" i="31"/>
  <c r="J708" i="31"/>
  <c r="J709" i="31"/>
  <c r="J710" i="31"/>
  <c r="J711" i="31"/>
  <c r="J712" i="31"/>
  <c r="J713" i="31"/>
  <c r="J714" i="31"/>
  <c r="J71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83" i="31"/>
  <c r="K84" i="31"/>
  <c r="K85" i="31"/>
  <c r="K86" i="31"/>
  <c r="K87" i="31"/>
  <c r="K88" i="31"/>
  <c r="K89" i="31"/>
  <c r="K90" i="31"/>
  <c r="K91" i="31"/>
  <c r="K92" i="31"/>
  <c r="K93" i="31"/>
  <c r="K94" i="31"/>
  <c r="K95" i="31"/>
  <c r="K96" i="31"/>
  <c r="K97" i="31"/>
  <c r="K98" i="31"/>
  <c r="K99" i="31"/>
  <c r="K100" i="31"/>
  <c r="K101" i="31"/>
  <c r="K102" i="31"/>
  <c r="K103" i="31"/>
  <c r="K104" i="31"/>
  <c r="K105" i="31"/>
  <c r="K106" i="31"/>
  <c r="K107" i="31"/>
  <c r="K108" i="31"/>
  <c r="K109" i="31"/>
  <c r="K110" i="31"/>
  <c r="K111" i="31"/>
  <c r="K112" i="31"/>
  <c r="K113" i="31"/>
  <c r="K114" i="31"/>
  <c r="K115" i="31"/>
  <c r="K116" i="31"/>
  <c r="K117" i="31"/>
  <c r="K118" i="31"/>
  <c r="K119" i="31"/>
  <c r="K120" i="31"/>
  <c r="K121" i="31"/>
  <c r="K122" i="31"/>
  <c r="K123" i="31"/>
  <c r="K124" i="31"/>
  <c r="K125" i="31"/>
  <c r="K126" i="31"/>
  <c r="K127" i="31"/>
  <c r="K128" i="31"/>
  <c r="K129" i="31"/>
  <c r="K130" i="31"/>
  <c r="K131" i="31"/>
  <c r="K132" i="31"/>
  <c r="K133" i="31"/>
  <c r="K134" i="31"/>
  <c r="K135" i="31"/>
  <c r="K136" i="31"/>
  <c r="K137" i="31"/>
  <c r="K138" i="31"/>
  <c r="K139" i="31"/>
  <c r="K140" i="31"/>
  <c r="K141" i="31"/>
  <c r="K142" i="31"/>
  <c r="K143" i="31"/>
  <c r="K144" i="31"/>
  <c r="K145" i="31"/>
  <c r="K146" i="31"/>
  <c r="K147" i="31"/>
  <c r="K148" i="31"/>
  <c r="K149" i="31"/>
  <c r="K150" i="31"/>
  <c r="K151" i="31"/>
  <c r="K152" i="31"/>
  <c r="K153" i="31"/>
  <c r="K154" i="31"/>
  <c r="K155" i="31"/>
  <c r="K156" i="31"/>
  <c r="K157" i="31"/>
  <c r="K158" i="31"/>
  <c r="K159" i="31"/>
  <c r="K160" i="31"/>
  <c r="K161" i="31"/>
  <c r="K162" i="31"/>
  <c r="K163" i="31"/>
  <c r="K164" i="31"/>
  <c r="K165" i="31"/>
  <c r="K166" i="31"/>
  <c r="K167" i="31"/>
  <c r="K168" i="31"/>
  <c r="K169" i="31"/>
  <c r="K170" i="31"/>
  <c r="K171" i="31"/>
  <c r="K172" i="31"/>
  <c r="K173" i="31"/>
  <c r="K174" i="31"/>
  <c r="K175" i="31"/>
  <c r="K176" i="31"/>
  <c r="K177" i="31"/>
  <c r="K178" i="31"/>
  <c r="K179" i="31"/>
  <c r="K180" i="31"/>
  <c r="K181" i="31"/>
  <c r="K182" i="31"/>
  <c r="K183" i="31"/>
  <c r="K184" i="31"/>
  <c r="K185" i="31"/>
  <c r="K186" i="31"/>
  <c r="K187" i="31"/>
  <c r="K188" i="31"/>
  <c r="K189" i="31"/>
  <c r="K190" i="31"/>
  <c r="K191" i="31"/>
  <c r="K192" i="31"/>
  <c r="K193" i="31"/>
  <c r="K194" i="31"/>
  <c r="K195" i="31"/>
  <c r="K196" i="31"/>
  <c r="K197" i="31"/>
  <c r="K198" i="31"/>
  <c r="K199" i="31"/>
  <c r="K200" i="31"/>
  <c r="K201" i="31"/>
  <c r="K202" i="31"/>
  <c r="K203" i="31"/>
  <c r="K204" i="31"/>
  <c r="K205" i="31"/>
  <c r="K206" i="31"/>
  <c r="K207" i="31"/>
  <c r="K208" i="31"/>
  <c r="K209" i="31"/>
  <c r="K210" i="31"/>
  <c r="K211" i="31"/>
  <c r="K212" i="31"/>
  <c r="K213" i="31"/>
  <c r="K214" i="31"/>
  <c r="K215" i="31"/>
  <c r="K216" i="31"/>
  <c r="K217" i="31"/>
  <c r="K218" i="31"/>
  <c r="K219" i="31"/>
  <c r="K220" i="31"/>
  <c r="K221" i="31"/>
  <c r="K222" i="31"/>
  <c r="K223" i="31"/>
  <c r="K224" i="31"/>
  <c r="K225" i="31"/>
  <c r="K226" i="31"/>
  <c r="K227" i="31"/>
  <c r="K228" i="31"/>
  <c r="K229" i="31"/>
  <c r="K230" i="31"/>
  <c r="K231" i="31"/>
  <c r="K232" i="31"/>
  <c r="K233" i="31"/>
  <c r="K234" i="31"/>
  <c r="K235" i="31"/>
  <c r="K236" i="31"/>
  <c r="K237" i="31"/>
  <c r="K238" i="31"/>
  <c r="K239" i="31"/>
  <c r="K240" i="31"/>
  <c r="K241" i="31"/>
  <c r="K242" i="31"/>
  <c r="K243" i="31"/>
  <c r="K244" i="31"/>
  <c r="K245" i="31"/>
  <c r="K246" i="31"/>
  <c r="K247" i="31"/>
  <c r="K248" i="31"/>
  <c r="K249" i="31"/>
  <c r="K250" i="31"/>
  <c r="K251" i="31"/>
  <c r="K252" i="31"/>
  <c r="K253" i="31"/>
  <c r="K254" i="31"/>
  <c r="K255" i="31"/>
  <c r="K256" i="31"/>
  <c r="K257" i="31"/>
  <c r="K258" i="31"/>
  <c r="K259" i="31"/>
  <c r="K260" i="31"/>
  <c r="K261" i="31"/>
  <c r="K262" i="31"/>
  <c r="K263" i="31"/>
  <c r="K264" i="31"/>
  <c r="K265" i="31"/>
  <c r="K266" i="31"/>
  <c r="K267" i="31"/>
  <c r="K268" i="31"/>
  <c r="K269" i="31"/>
  <c r="K270" i="31"/>
  <c r="K271" i="31"/>
  <c r="K272" i="31"/>
  <c r="K273" i="31"/>
  <c r="K274" i="31"/>
  <c r="K275" i="31"/>
  <c r="K276" i="31"/>
  <c r="K277" i="31"/>
  <c r="K278" i="31"/>
  <c r="K279" i="31"/>
  <c r="K280" i="31"/>
  <c r="K281" i="31"/>
  <c r="K282" i="31"/>
  <c r="K283" i="31"/>
  <c r="K284" i="31"/>
  <c r="K285" i="31"/>
  <c r="K286" i="31"/>
  <c r="K287" i="31"/>
  <c r="K288" i="31"/>
  <c r="K289" i="31"/>
  <c r="K290" i="31"/>
  <c r="K291" i="31"/>
  <c r="K292" i="31"/>
  <c r="K293" i="31"/>
  <c r="K294" i="31"/>
  <c r="K295" i="31"/>
  <c r="K296" i="31"/>
  <c r="K297" i="31"/>
  <c r="K298" i="31"/>
  <c r="K299" i="31"/>
  <c r="K300" i="31"/>
  <c r="K301" i="31"/>
  <c r="K302" i="31"/>
  <c r="K303" i="31"/>
  <c r="K304" i="31"/>
  <c r="K305" i="31"/>
  <c r="K306" i="31"/>
  <c r="K307" i="31"/>
  <c r="K308" i="31"/>
  <c r="K309" i="31"/>
  <c r="K310" i="31"/>
  <c r="K311" i="31"/>
  <c r="K312" i="31"/>
  <c r="K313" i="31"/>
  <c r="K314" i="31"/>
  <c r="K315" i="31"/>
  <c r="K316" i="31"/>
  <c r="K317" i="31"/>
  <c r="K318" i="31"/>
  <c r="K319" i="31"/>
  <c r="K320" i="31"/>
  <c r="K321" i="31"/>
  <c r="K322" i="31"/>
  <c r="K323" i="31"/>
  <c r="K324" i="31"/>
  <c r="K325" i="31"/>
  <c r="K326" i="31"/>
  <c r="K327" i="31"/>
  <c r="K328" i="31"/>
  <c r="K329" i="31"/>
  <c r="K330" i="31"/>
  <c r="K331" i="31"/>
  <c r="K332" i="31"/>
  <c r="K333" i="31"/>
  <c r="K334" i="31"/>
  <c r="K335" i="31"/>
  <c r="K336" i="31"/>
  <c r="K337" i="31"/>
  <c r="K338" i="31"/>
  <c r="K339" i="31"/>
  <c r="K340" i="31"/>
  <c r="K341" i="31"/>
  <c r="K342" i="31"/>
  <c r="K343" i="31"/>
  <c r="K344" i="31"/>
  <c r="K345" i="31"/>
  <c r="K346" i="31"/>
  <c r="K347" i="31"/>
  <c r="K348" i="31"/>
  <c r="K349" i="31"/>
  <c r="K350" i="31"/>
  <c r="K351" i="31"/>
  <c r="K352" i="31"/>
  <c r="K353" i="31"/>
  <c r="K354" i="31"/>
  <c r="K355" i="31"/>
  <c r="K356" i="31"/>
  <c r="K357" i="31"/>
  <c r="K358" i="31"/>
  <c r="K359" i="31"/>
  <c r="K360" i="31"/>
  <c r="K361" i="31"/>
  <c r="K362" i="31"/>
  <c r="K363" i="31"/>
  <c r="K364" i="31"/>
  <c r="K365" i="31"/>
  <c r="K366" i="31"/>
  <c r="K367" i="31"/>
  <c r="K368" i="31"/>
  <c r="K369" i="31"/>
  <c r="K370" i="31"/>
  <c r="K371" i="31"/>
  <c r="K372" i="31"/>
  <c r="K373" i="31"/>
  <c r="K374" i="31"/>
  <c r="K375" i="31"/>
  <c r="K376" i="31"/>
  <c r="K377" i="31"/>
  <c r="K378" i="31"/>
  <c r="K379" i="31"/>
  <c r="K380" i="31"/>
  <c r="K381" i="31"/>
  <c r="K382" i="31"/>
  <c r="K383" i="31"/>
  <c r="K384" i="31"/>
  <c r="K385" i="31"/>
  <c r="K386" i="31"/>
  <c r="K387" i="31"/>
  <c r="K388" i="31"/>
  <c r="K389" i="31"/>
  <c r="K390" i="31"/>
  <c r="K391" i="31"/>
  <c r="K392" i="31"/>
  <c r="K393" i="31"/>
  <c r="K394" i="31"/>
  <c r="K395" i="31"/>
  <c r="K396" i="31"/>
  <c r="K397" i="31"/>
  <c r="K398" i="31"/>
  <c r="K399" i="31"/>
  <c r="K400" i="31"/>
  <c r="K401" i="31"/>
  <c r="K402" i="31"/>
  <c r="K403" i="31"/>
  <c r="K404" i="31"/>
  <c r="K405" i="31"/>
  <c r="K406" i="31"/>
  <c r="K407" i="31"/>
  <c r="K408" i="31"/>
  <c r="K409" i="31"/>
  <c r="K410" i="31"/>
  <c r="K411" i="31"/>
  <c r="K412" i="31"/>
  <c r="K413" i="31"/>
  <c r="K414" i="31"/>
  <c r="K415" i="31"/>
  <c r="K416" i="31"/>
  <c r="K417" i="31"/>
  <c r="K418" i="31"/>
  <c r="K419" i="31"/>
  <c r="K420" i="31"/>
  <c r="K421" i="31"/>
  <c r="K422" i="31"/>
  <c r="K423" i="31"/>
  <c r="K424" i="31"/>
  <c r="K425" i="31"/>
  <c r="K426" i="31"/>
  <c r="K427" i="31"/>
  <c r="K428" i="31"/>
  <c r="K429" i="31"/>
  <c r="K430" i="31"/>
  <c r="K431" i="31"/>
  <c r="K432" i="31"/>
  <c r="K433" i="31"/>
  <c r="K434" i="31"/>
  <c r="K435" i="31"/>
  <c r="K436" i="31"/>
  <c r="K437" i="31"/>
  <c r="K438" i="31"/>
  <c r="K439" i="31"/>
  <c r="K440" i="31"/>
  <c r="K441" i="31"/>
  <c r="K442" i="31"/>
  <c r="K443" i="31"/>
  <c r="K444" i="31"/>
  <c r="K445" i="31"/>
  <c r="K446" i="31"/>
  <c r="K447" i="31"/>
  <c r="K448" i="31"/>
  <c r="K449" i="31"/>
  <c r="K450" i="31"/>
  <c r="K451" i="31"/>
  <c r="K452" i="31"/>
  <c r="K453" i="31"/>
  <c r="K454" i="31"/>
  <c r="K455" i="31"/>
  <c r="K456" i="31"/>
  <c r="K457" i="31"/>
  <c r="K458" i="31"/>
  <c r="K459" i="31"/>
  <c r="K460" i="31"/>
  <c r="K461" i="31"/>
  <c r="K462" i="31"/>
  <c r="K463" i="31"/>
  <c r="K464" i="31"/>
  <c r="K465" i="31"/>
  <c r="K466" i="31"/>
  <c r="K467" i="31"/>
  <c r="K468" i="31"/>
  <c r="K469" i="31"/>
  <c r="K470" i="31"/>
  <c r="K471" i="31"/>
  <c r="K472" i="31"/>
  <c r="K473" i="31"/>
  <c r="K474" i="31"/>
  <c r="K475" i="31"/>
  <c r="K476" i="31"/>
  <c r="K477" i="31"/>
  <c r="K478" i="31"/>
  <c r="K479" i="31"/>
  <c r="K480" i="31"/>
  <c r="K481" i="31"/>
  <c r="K482" i="31"/>
  <c r="K483" i="31"/>
  <c r="K484" i="31"/>
  <c r="K485" i="31"/>
  <c r="K486" i="31"/>
  <c r="K487" i="31"/>
  <c r="K488" i="31"/>
  <c r="K489" i="31"/>
  <c r="K490" i="31"/>
  <c r="K491" i="31"/>
  <c r="K492" i="31"/>
  <c r="K493" i="31"/>
  <c r="K494" i="31"/>
  <c r="K495" i="31"/>
  <c r="K496" i="31"/>
  <c r="K497" i="31"/>
  <c r="K498" i="31"/>
  <c r="K499" i="31"/>
  <c r="K500" i="31"/>
  <c r="K501" i="31"/>
  <c r="K502" i="31"/>
  <c r="K503" i="31"/>
  <c r="K504" i="31"/>
  <c r="K505" i="31"/>
  <c r="K506" i="31"/>
  <c r="K507" i="31"/>
  <c r="K508" i="31"/>
  <c r="K509" i="31"/>
  <c r="K510" i="31"/>
  <c r="K511" i="31"/>
  <c r="K512" i="31"/>
  <c r="K513" i="31"/>
  <c r="K514" i="31"/>
  <c r="K515" i="31"/>
  <c r="K516" i="31"/>
  <c r="K517" i="31"/>
  <c r="K518" i="31"/>
  <c r="K519" i="31"/>
  <c r="K520" i="31"/>
  <c r="K521" i="31"/>
  <c r="K522" i="31"/>
  <c r="K523" i="31"/>
  <c r="K524" i="31"/>
  <c r="K525" i="31"/>
  <c r="K526" i="31"/>
  <c r="K527" i="31"/>
  <c r="K528" i="31"/>
  <c r="K529" i="31"/>
  <c r="K530" i="31"/>
  <c r="K531" i="31"/>
  <c r="K532" i="31"/>
  <c r="K533" i="31"/>
  <c r="K534" i="31"/>
  <c r="K535" i="31"/>
  <c r="K536" i="31"/>
  <c r="K537" i="31"/>
  <c r="K538" i="31"/>
  <c r="K539" i="31"/>
  <c r="K540" i="31"/>
  <c r="K541" i="31"/>
  <c r="K542" i="31"/>
  <c r="K543" i="31"/>
  <c r="K544" i="31"/>
  <c r="K545" i="31"/>
  <c r="K546" i="31"/>
  <c r="K547" i="31"/>
  <c r="K548" i="31"/>
  <c r="K549" i="31"/>
  <c r="K550" i="31"/>
  <c r="K551" i="31"/>
  <c r="K552" i="31"/>
  <c r="K553" i="31"/>
  <c r="K554" i="31"/>
  <c r="K555" i="31"/>
  <c r="K556" i="31"/>
  <c r="K557" i="31"/>
  <c r="K558" i="31"/>
  <c r="K559" i="31"/>
  <c r="K560" i="31"/>
  <c r="K561" i="31"/>
  <c r="K562" i="31"/>
  <c r="K563" i="31"/>
  <c r="K564" i="31"/>
  <c r="K565" i="31"/>
  <c r="K566" i="31"/>
  <c r="K567" i="31"/>
  <c r="K568" i="31"/>
  <c r="K569" i="31"/>
  <c r="K570" i="31"/>
  <c r="K571" i="31"/>
  <c r="K572" i="31"/>
  <c r="K573" i="31"/>
  <c r="K574" i="31"/>
  <c r="K575" i="31"/>
  <c r="K576" i="31"/>
  <c r="K577" i="31"/>
  <c r="K578" i="31"/>
  <c r="K579" i="31"/>
  <c r="K580" i="31"/>
  <c r="K581" i="31"/>
  <c r="K582" i="31"/>
  <c r="K583" i="31"/>
  <c r="K584" i="31"/>
  <c r="K585" i="31"/>
  <c r="K586" i="31"/>
  <c r="K587" i="31"/>
  <c r="K588" i="31"/>
  <c r="K589" i="31"/>
  <c r="K590" i="31"/>
  <c r="K591" i="31"/>
  <c r="K592" i="31"/>
  <c r="K593" i="31"/>
  <c r="K594" i="31"/>
  <c r="K595" i="31"/>
  <c r="K596" i="31"/>
  <c r="K597" i="31"/>
  <c r="K598" i="31"/>
  <c r="K599" i="31"/>
  <c r="K600" i="31"/>
  <c r="K601" i="31"/>
  <c r="K602" i="31"/>
  <c r="K603" i="31"/>
  <c r="K604" i="31"/>
  <c r="K605" i="31"/>
  <c r="K606" i="31"/>
  <c r="K607" i="31"/>
  <c r="K608" i="31"/>
  <c r="K609" i="31"/>
  <c r="K610" i="31"/>
  <c r="K611" i="31"/>
  <c r="K612" i="31"/>
  <c r="K613" i="31"/>
  <c r="K614" i="31"/>
  <c r="K615" i="31"/>
  <c r="K616" i="31"/>
  <c r="K617" i="31"/>
  <c r="K618" i="31"/>
  <c r="K619" i="31"/>
  <c r="K620" i="31"/>
  <c r="K621" i="31"/>
  <c r="K622" i="31"/>
  <c r="K623" i="31"/>
  <c r="K624" i="31"/>
  <c r="K625" i="31"/>
  <c r="K626" i="31"/>
  <c r="K627" i="31"/>
  <c r="K628" i="31"/>
  <c r="K629" i="31"/>
  <c r="K630" i="31"/>
  <c r="K631" i="31"/>
  <c r="K632" i="31"/>
  <c r="K633" i="31"/>
  <c r="K634" i="31"/>
  <c r="K635" i="31"/>
  <c r="K636" i="31"/>
  <c r="K637" i="31"/>
  <c r="K638" i="31"/>
  <c r="K639" i="31"/>
  <c r="K640" i="31"/>
  <c r="K641" i="31"/>
  <c r="K642" i="31"/>
  <c r="K643" i="31"/>
  <c r="K644" i="31"/>
  <c r="K645" i="31"/>
  <c r="K646" i="31"/>
  <c r="K647" i="31"/>
  <c r="K648" i="31"/>
  <c r="K649" i="31"/>
  <c r="K650" i="31"/>
  <c r="K651" i="31"/>
  <c r="K652" i="31"/>
  <c r="K653" i="31"/>
  <c r="K654" i="31"/>
  <c r="K655" i="31"/>
  <c r="K656" i="31"/>
  <c r="K657" i="31"/>
  <c r="K658" i="31"/>
  <c r="K659" i="31"/>
  <c r="K660" i="31"/>
  <c r="K661" i="31"/>
  <c r="K662" i="31"/>
  <c r="K663" i="31"/>
  <c r="K664" i="31"/>
  <c r="K665" i="31"/>
  <c r="K666" i="31"/>
  <c r="K667" i="31"/>
  <c r="K668" i="31"/>
  <c r="K669" i="31"/>
  <c r="K670" i="31"/>
  <c r="K671" i="31"/>
  <c r="K672" i="31"/>
  <c r="K673" i="31"/>
  <c r="K674" i="31"/>
  <c r="K675" i="31"/>
  <c r="K676" i="31"/>
  <c r="K677" i="31"/>
  <c r="K678" i="31"/>
  <c r="K679" i="31"/>
  <c r="K680" i="31"/>
  <c r="K681" i="31"/>
  <c r="K682" i="31"/>
  <c r="K683" i="31"/>
  <c r="K684" i="31"/>
  <c r="K685" i="31"/>
  <c r="K686" i="31"/>
  <c r="K687" i="31"/>
  <c r="K688" i="31"/>
  <c r="K689" i="31"/>
  <c r="K690" i="31"/>
  <c r="K691" i="31"/>
  <c r="K692" i="31"/>
  <c r="K693" i="31"/>
  <c r="K694" i="31"/>
  <c r="K695" i="31"/>
  <c r="K696" i="31"/>
  <c r="K697" i="31"/>
  <c r="K698" i="31"/>
  <c r="K699" i="31"/>
  <c r="K700" i="31"/>
  <c r="K701" i="31"/>
  <c r="K702" i="31"/>
  <c r="K703" i="31"/>
  <c r="K704" i="31"/>
  <c r="K705" i="31"/>
  <c r="K706" i="31"/>
  <c r="K707" i="31"/>
  <c r="K708" i="31"/>
  <c r="K709" i="31"/>
  <c r="K710" i="31"/>
  <c r="K711" i="31"/>
  <c r="K712" i="31"/>
  <c r="K713" i="31"/>
  <c r="K714" i="31"/>
  <c r="K715" i="31"/>
  <c r="I3" i="31"/>
  <c r="E88" i="80"/>
  <c r="E87" i="80"/>
  <c r="E86" i="80"/>
  <c r="E85" i="80"/>
  <c r="E84" i="80"/>
  <c r="E83" i="80"/>
  <c r="E82" i="80"/>
  <c r="E81" i="80"/>
  <c r="E80" i="80"/>
  <c r="E79" i="80"/>
  <c r="E78" i="80"/>
  <c r="DC6" i="31"/>
  <c r="DC7" i="31"/>
  <c r="DC8" i="31"/>
  <c r="DC9" i="31"/>
  <c r="DC10" i="31"/>
  <c r="DC11" i="31"/>
  <c r="DC12" i="31"/>
  <c r="DC13" i="31"/>
  <c r="DC14" i="31"/>
  <c r="DC15" i="31"/>
  <c r="DC16" i="31"/>
  <c r="DC3" i="31" a="1"/>
  <c r="DC3" i="31"/>
  <c r="E77" i="80"/>
  <c r="CY6" i="31"/>
  <c r="CY7" i="31"/>
  <c r="CY8" i="31"/>
  <c r="CY9" i="31"/>
  <c r="CY10" i="31"/>
  <c r="CY11" i="31"/>
  <c r="CY12" i="31"/>
  <c r="CY13" i="31"/>
  <c r="CY14" i="31"/>
  <c r="CY15" i="31"/>
  <c r="CY16" i="31"/>
  <c r="CY3" i="31" a="1"/>
  <c r="CY3" i="31"/>
  <c r="E76" i="80"/>
  <c r="CU6" i="31"/>
  <c r="CU7" i="31"/>
  <c r="CU8" i="31"/>
  <c r="CU9" i="31"/>
  <c r="CU10" i="31"/>
  <c r="CU11" i="31"/>
  <c r="CU12" i="31"/>
  <c r="CU13" i="31"/>
  <c r="CU14" i="31"/>
  <c r="CU15" i="31"/>
  <c r="CU16" i="31"/>
  <c r="CU3" i="31" a="1"/>
  <c r="CU3" i="31"/>
  <c r="E75" i="80"/>
  <c r="CQ6" i="31"/>
  <c r="CQ7" i="31"/>
  <c r="CQ8" i="31"/>
  <c r="CQ9" i="31"/>
  <c r="CQ10" i="31"/>
  <c r="CQ11" i="31"/>
  <c r="CQ12" i="31"/>
  <c r="CQ13" i="31"/>
  <c r="CQ14" i="31"/>
  <c r="CQ15" i="31"/>
  <c r="CQ16" i="31"/>
  <c r="CQ3" i="31" a="1"/>
  <c r="CQ3" i="31"/>
  <c r="E74" i="80"/>
  <c r="CM6" i="31"/>
  <c r="CM7" i="31"/>
  <c r="CM8" i="31"/>
  <c r="CM9" i="31"/>
  <c r="CM10" i="31"/>
  <c r="CM11" i="31"/>
  <c r="CM12" i="31"/>
  <c r="CM13" i="31"/>
  <c r="CM14" i="31"/>
  <c r="CM15" i="31"/>
  <c r="CM16" i="31"/>
  <c r="CM3" i="31" a="1"/>
  <c r="CM3" i="31"/>
  <c r="E73" i="80"/>
  <c r="CI6" i="31"/>
  <c r="CI7" i="31"/>
  <c r="CI8" i="31"/>
  <c r="CI9" i="31"/>
  <c r="CI10" i="31"/>
  <c r="CI11" i="31"/>
  <c r="CI12" i="31"/>
  <c r="CI13" i="31"/>
  <c r="CI14" i="31"/>
  <c r="CI15" i="31"/>
  <c r="CI16" i="31"/>
  <c r="CI3" i="31" a="1"/>
  <c r="CI3" i="31"/>
  <c r="E72" i="80"/>
  <c r="CE6" i="31"/>
  <c r="CE7" i="31"/>
  <c r="CE8" i="31"/>
  <c r="CE9" i="31"/>
  <c r="CE10" i="31"/>
  <c r="CE11" i="31"/>
  <c r="CE12" i="31"/>
  <c r="CE13" i="31"/>
  <c r="CE14" i="31"/>
  <c r="CE15" i="31"/>
  <c r="CE16" i="31"/>
  <c r="CE3" i="31" a="1"/>
  <c r="CE3" i="31"/>
  <c r="E71" i="80"/>
  <c r="CA6" i="31"/>
  <c r="CA7" i="31"/>
  <c r="CA8" i="31"/>
  <c r="CA9" i="31"/>
  <c r="CA10" i="31"/>
  <c r="CA11" i="31"/>
  <c r="CA12" i="31"/>
  <c r="CA13" i="31"/>
  <c r="CA14" i="31"/>
  <c r="CA15" i="31"/>
  <c r="CA16" i="31"/>
  <c r="CA3" i="31" a="1"/>
  <c r="CA3" i="31"/>
  <c r="E70" i="80"/>
  <c r="DG6" i="31"/>
  <c r="DG7" i="31"/>
  <c r="DG8" i="31"/>
  <c r="DG9" i="31"/>
  <c r="DG10" i="31"/>
  <c r="DG11" i="31"/>
  <c r="DG12" i="31"/>
  <c r="DG13" i="31"/>
  <c r="DG14" i="31"/>
  <c r="DG15" i="31"/>
  <c r="DG16" i="31"/>
  <c r="DG3" i="31" a="1"/>
  <c r="DG3" i="31"/>
  <c r="E69" i="80"/>
  <c r="BW6" i="31"/>
  <c r="BW7" i="31"/>
  <c r="BW8" i="31"/>
  <c r="BW9" i="31"/>
  <c r="BW10" i="31"/>
  <c r="BW11" i="31"/>
  <c r="BW12" i="31"/>
  <c r="BW13" i="31"/>
  <c r="BW14" i="31"/>
  <c r="BW15" i="31"/>
  <c r="BW16" i="31"/>
  <c r="BW3" i="31" a="1"/>
  <c r="BW3" i="31"/>
  <c r="E68" i="80"/>
  <c r="E67" i="80"/>
  <c r="E6" i="57"/>
  <c r="E64" i="80"/>
  <c r="E63" i="80"/>
  <c r="E62" i="80"/>
  <c r="E61" i="80"/>
  <c r="E60" i="80"/>
  <c r="E59" i="80"/>
  <c r="E58" i="80"/>
  <c r="E57" i="80"/>
  <c r="E56" i="80"/>
  <c r="E55" i="80"/>
  <c r="E21" i="57"/>
  <c r="E54" i="80"/>
  <c r="E53" i="80"/>
  <c r="E52" i="80"/>
  <c r="E49" i="80"/>
  <c r="E48" i="80"/>
  <c r="E47" i="80"/>
  <c r="E46" i="80"/>
  <c r="E45" i="80"/>
  <c r="E17" i="57"/>
  <c r="E44" i="80"/>
  <c r="E43" i="80"/>
  <c r="E42" i="80"/>
  <c r="E41" i="80"/>
  <c r="E40" i="80"/>
  <c r="E39" i="80"/>
  <c r="E38" i="80"/>
  <c r="E37" i="80"/>
  <c r="E36" i="80"/>
  <c r="E35" i="80"/>
  <c r="E34" i="80"/>
  <c r="E33" i="80"/>
  <c r="E32" i="80"/>
  <c r="E31" i="80"/>
  <c r="E29" i="80"/>
  <c r="E28" i="80"/>
  <c r="E27" i="80"/>
  <c r="E26" i="80"/>
  <c r="E25" i="80"/>
  <c r="E24" i="80"/>
  <c r="E21" i="80"/>
  <c r="E20" i="80"/>
  <c r="E19" i="80"/>
  <c r="E18" i="80"/>
  <c r="E17" i="80"/>
  <c r="E16" i="80"/>
  <c r="E15" i="80"/>
  <c r="E14" i="80"/>
  <c r="E13" i="80"/>
  <c r="E12" i="80"/>
  <c r="E11" i="80"/>
  <c r="E10" i="80"/>
  <c r="E9" i="80"/>
  <c r="E8" i="80"/>
  <c r="E7" i="80"/>
  <c r="E6" i="80"/>
  <c r="E5" i="80"/>
  <c r="E4" i="80"/>
  <c r="E3" i="80"/>
  <c r="E2" i="80"/>
  <c r="E95" i="62"/>
  <c r="M70" i="62"/>
  <c r="L70" i="62"/>
  <c r="K70" i="62"/>
  <c r="J70" i="62"/>
  <c r="I70" i="62"/>
  <c r="H70" i="62"/>
  <c r="G70" i="62"/>
  <c r="F70" i="62"/>
  <c r="E70" i="62"/>
  <c r="D60" i="62"/>
  <c r="D70" i="62"/>
  <c r="M68" i="62"/>
  <c r="M118" i="62"/>
  <c r="M60" i="62"/>
  <c r="M117" i="62"/>
  <c r="M66" i="62"/>
  <c r="M76" i="62"/>
  <c r="M116" i="62"/>
  <c r="M65" i="62"/>
  <c r="M75" i="62"/>
  <c r="M115" i="62"/>
  <c r="M64" i="62"/>
  <c r="M74" i="62"/>
  <c r="M114" i="62"/>
  <c r="M63" i="62"/>
  <c r="M73" i="62"/>
  <c r="M113" i="62"/>
  <c r="M61" i="62"/>
  <c r="M72" i="62"/>
  <c r="M112" i="62"/>
  <c r="M71" i="62"/>
  <c r="M111" i="62"/>
  <c r="M110" i="62"/>
  <c r="L68" i="62"/>
  <c r="L118" i="62"/>
  <c r="L67" i="62"/>
  <c r="L77" i="62"/>
  <c r="L117" i="62"/>
  <c r="L66" i="62"/>
  <c r="L76" i="62"/>
  <c r="L116" i="62"/>
  <c r="L65" i="62"/>
  <c r="L75" i="62"/>
  <c r="L115" i="62"/>
  <c r="L64" i="62"/>
  <c r="L74" i="62"/>
  <c r="L114" i="62"/>
  <c r="L63" i="62"/>
  <c r="L73" i="62"/>
  <c r="L113" i="62"/>
  <c r="L60" i="62"/>
  <c r="L61" i="62"/>
  <c r="L72" i="62"/>
  <c r="L112" i="62"/>
  <c r="L71" i="62"/>
  <c r="L111" i="62"/>
  <c r="L110" i="62"/>
  <c r="M88" i="62"/>
  <c r="M98" i="62"/>
  <c r="M108" i="62"/>
  <c r="L88" i="62"/>
  <c r="L98" i="62"/>
  <c r="L108" i="62"/>
  <c r="M67" i="62"/>
  <c r="M77" i="62"/>
  <c r="M87" i="62"/>
  <c r="M97" i="62"/>
  <c r="M107" i="62"/>
  <c r="L87" i="62"/>
  <c r="L97" i="62" a="1"/>
  <c r="L97" i="62"/>
  <c r="L107" i="62"/>
  <c r="M86" i="62"/>
  <c r="M96" i="62"/>
  <c r="M106" i="62"/>
  <c r="L86" i="62"/>
  <c r="L96" i="62"/>
  <c r="L106" i="62"/>
  <c r="M85" i="62"/>
  <c r="M95" i="62"/>
  <c r="M105" i="62"/>
  <c r="L85" i="62"/>
  <c r="L95" i="62"/>
  <c r="L105" i="62"/>
  <c r="M84" i="62"/>
  <c r="M94" i="62"/>
  <c r="M104" i="62"/>
  <c r="L84" i="62"/>
  <c r="L94" i="62"/>
  <c r="L104" i="62"/>
  <c r="M83" i="62"/>
  <c r="M93" i="62"/>
  <c r="M103" i="62"/>
  <c r="L83" i="62"/>
  <c r="L93" i="62"/>
  <c r="L103" i="62"/>
  <c r="M82" i="62"/>
  <c r="M92" i="62"/>
  <c r="M102" i="62"/>
  <c r="L82" i="62"/>
  <c r="L92" i="62"/>
  <c r="L102" i="62"/>
  <c r="M81" i="62"/>
  <c r="M91" i="62"/>
  <c r="M101" i="62"/>
  <c r="L81" i="62"/>
  <c r="L91" i="62"/>
  <c r="L101" i="62"/>
  <c r="M80" i="62"/>
  <c r="M90" i="62"/>
  <c r="M100" i="62"/>
  <c r="L80" i="62"/>
  <c r="L90" i="62"/>
  <c r="L100" i="62"/>
  <c r="M59" i="62"/>
  <c r="L59" i="62"/>
  <c r="K118" i="62"/>
  <c r="K67" i="62"/>
  <c r="K77" i="62"/>
  <c r="K117" i="62"/>
  <c r="K66" i="62"/>
  <c r="K76" i="62"/>
  <c r="K116" i="62"/>
  <c r="K65" i="62"/>
  <c r="K75" i="62"/>
  <c r="K115" i="62"/>
  <c r="K64" i="62"/>
  <c r="K74" i="62"/>
  <c r="K114" i="62"/>
  <c r="K63" i="62"/>
  <c r="K73" i="62"/>
  <c r="K113" i="62"/>
  <c r="K60" i="62"/>
  <c r="K61" i="62"/>
  <c r="K72" i="62"/>
  <c r="K112" i="62"/>
  <c r="K71" i="62"/>
  <c r="K111" i="62"/>
  <c r="K110" i="62"/>
  <c r="K87" i="62"/>
  <c r="K97" i="62"/>
  <c r="K107" i="62"/>
  <c r="K88" i="62"/>
  <c r="K98" i="62"/>
  <c r="K108" i="62"/>
  <c r="K86" i="62"/>
  <c r="K96" i="62"/>
  <c r="K106" i="62"/>
  <c r="K85" i="62"/>
  <c r="K95" i="62"/>
  <c r="K105" i="62"/>
  <c r="K84" i="62"/>
  <c r="K94" i="62"/>
  <c r="K104" i="62"/>
  <c r="K83" i="62"/>
  <c r="K93" i="62"/>
  <c r="K103" i="62"/>
  <c r="K82" i="62"/>
  <c r="K92" i="62"/>
  <c r="K102" i="62"/>
  <c r="K81" i="62"/>
  <c r="K91" i="62"/>
  <c r="K101" i="62"/>
  <c r="K80" i="62"/>
  <c r="K90" i="62"/>
  <c r="K100" i="62"/>
  <c r="K59" i="62"/>
  <c r="J68" i="62"/>
  <c r="J118" i="62"/>
  <c r="J67" i="62"/>
  <c r="J77" i="62"/>
  <c r="J117" i="62"/>
  <c r="J66" i="62"/>
  <c r="J76" i="62"/>
  <c r="J116" i="62"/>
  <c r="J65" i="62"/>
  <c r="J75" i="62"/>
  <c r="J115" i="62"/>
  <c r="J64" i="62"/>
  <c r="J74" i="62"/>
  <c r="J114" i="62"/>
  <c r="J63" i="62"/>
  <c r="J73" i="62"/>
  <c r="J113" i="62"/>
  <c r="J60" i="62"/>
  <c r="J61" i="62"/>
  <c r="J72" i="62"/>
  <c r="J112" i="62"/>
  <c r="J71" i="62"/>
  <c r="J111" i="62"/>
  <c r="J110" i="62"/>
  <c r="J88" i="62"/>
  <c r="J98" i="62"/>
  <c r="J108" i="62"/>
  <c r="J87" i="62"/>
  <c r="J97" i="62"/>
  <c r="J107" i="62"/>
  <c r="J86" i="62"/>
  <c r="J96" i="62"/>
  <c r="J106" i="62"/>
  <c r="J85" i="62"/>
  <c r="J95" i="62"/>
  <c r="J105" i="62"/>
  <c r="J84" i="62"/>
  <c r="J94" i="62"/>
  <c r="J104" i="62"/>
  <c r="J83" i="62"/>
  <c r="J93" i="62"/>
  <c r="J103" i="62"/>
  <c r="J82" i="62"/>
  <c r="J92" i="62"/>
  <c r="J102" i="62"/>
  <c r="J81" i="62"/>
  <c r="J91" i="62"/>
  <c r="J101" i="62"/>
  <c r="J80" i="62"/>
  <c r="J90" i="62"/>
  <c r="J100" i="62"/>
  <c r="J59" i="62"/>
  <c r="I68" i="62"/>
  <c r="I118" i="62"/>
  <c r="I67" i="62"/>
  <c r="I77" i="62"/>
  <c r="I117" i="62"/>
  <c r="I66" i="62"/>
  <c r="I76" i="62"/>
  <c r="I116" i="62"/>
  <c r="I65" i="62"/>
  <c r="I75" i="62"/>
  <c r="I115" i="62"/>
  <c r="I64" i="62"/>
  <c r="I74" i="62"/>
  <c r="I114" i="62"/>
  <c r="I63" i="62"/>
  <c r="I73" i="62"/>
  <c r="I113" i="62"/>
  <c r="I60" i="62"/>
  <c r="I61" i="62"/>
  <c r="I72" i="62"/>
  <c r="I112" i="62"/>
  <c r="I71" i="62"/>
  <c r="I111" i="62"/>
  <c r="I110" i="62"/>
  <c r="I88" i="62"/>
  <c r="I98" i="62"/>
  <c r="I108" i="62"/>
  <c r="I87" i="62"/>
  <c r="I97" i="62"/>
  <c r="I107" i="62"/>
  <c r="I86" i="62"/>
  <c r="I96" i="62"/>
  <c r="I106" i="62"/>
  <c r="I85" i="62"/>
  <c r="I95" i="62"/>
  <c r="I105" i="62"/>
  <c r="I84" i="62"/>
  <c r="I94" i="62"/>
  <c r="I104" i="62"/>
  <c r="I83" i="62"/>
  <c r="I93" i="62"/>
  <c r="I103" i="62"/>
  <c r="I82" i="62"/>
  <c r="I92" i="62"/>
  <c r="I102" i="62"/>
  <c r="I81" i="62"/>
  <c r="I91" i="62"/>
  <c r="I101" i="62"/>
  <c r="I80" i="62"/>
  <c r="I90" i="62"/>
  <c r="I100" i="62"/>
  <c r="I59" i="62"/>
  <c r="H68" i="62"/>
  <c r="H118" i="62"/>
  <c r="H67" i="62"/>
  <c r="H77" i="62"/>
  <c r="H117" i="62"/>
  <c r="H66" i="62"/>
  <c r="H76" i="62"/>
  <c r="H116" i="62"/>
  <c r="H65" i="62"/>
  <c r="H75" i="62"/>
  <c r="H115" i="62"/>
  <c r="H64" i="62"/>
  <c r="H74" i="62"/>
  <c r="H114" i="62"/>
  <c r="H63" i="62"/>
  <c r="H73" i="62"/>
  <c r="H113" i="62"/>
  <c r="H60" i="62"/>
  <c r="H61" i="62"/>
  <c r="H72" i="62"/>
  <c r="H112" i="62"/>
  <c r="H71" i="62"/>
  <c r="H111" i="62"/>
  <c r="H110" i="62"/>
  <c r="H88" i="62"/>
  <c r="H98" i="62"/>
  <c r="H108" i="62"/>
  <c r="H87" i="62"/>
  <c r="H97" i="62"/>
  <c r="H107" i="62"/>
  <c r="H86" i="62"/>
  <c r="H96" i="62"/>
  <c r="H106" i="62"/>
  <c r="H85" i="62"/>
  <c r="H95" i="62"/>
  <c r="H105" i="62"/>
  <c r="H84" i="62"/>
  <c r="H94" i="62"/>
  <c r="H104" i="62"/>
  <c r="H83" i="62"/>
  <c r="H93" i="62"/>
  <c r="H103" i="62"/>
  <c r="H82" i="62"/>
  <c r="H92" i="62"/>
  <c r="H102" i="62"/>
  <c r="H81" i="62"/>
  <c r="H91" i="62"/>
  <c r="H101" i="62"/>
  <c r="H80" i="62"/>
  <c r="H90" i="62"/>
  <c r="H100" i="62"/>
  <c r="H59" i="62"/>
  <c r="G68" i="62"/>
  <c r="G118" i="62"/>
  <c r="G67" i="62"/>
  <c r="G77" i="62"/>
  <c r="G117" i="62"/>
  <c r="G66" i="62"/>
  <c r="G76" i="62"/>
  <c r="G116" i="62"/>
  <c r="G65" i="62"/>
  <c r="G75" i="62"/>
  <c r="G115" i="62"/>
  <c r="G64" i="62"/>
  <c r="G74" i="62"/>
  <c r="G114" i="62"/>
  <c r="G63" i="62"/>
  <c r="G73" i="62"/>
  <c r="G113" i="62"/>
  <c r="G60" i="62"/>
  <c r="G61" i="62"/>
  <c r="G72" i="62"/>
  <c r="G112" i="62"/>
  <c r="G71" i="62"/>
  <c r="G111" i="62"/>
  <c r="G110" i="62"/>
  <c r="G88" i="62"/>
  <c r="G98" i="62"/>
  <c r="G108" i="62"/>
  <c r="G87" i="62"/>
  <c r="G97" i="62"/>
  <c r="G107" i="62"/>
  <c r="G86" i="62"/>
  <c r="G96" i="62"/>
  <c r="G106" i="62"/>
  <c r="G85" i="62"/>
  <c r="G95" i="62"/>
  <c r="G105" i="62"/>
  <c r="G84" i="62"/>
  <c r="G94" i="62"/>
  <c r="G104" i="62"/>
  <c r="G83" i="62"/>
  <c r="G93" i="62"/>
  <c r="G103" i="62"/>
  <c r="G82" i="62"/>
  <c r="G92" i="62"/>
  <c r="G102" i="62"/>
  <c r="G81" i="62"/>
  <c r="G91" i="62"/>
  <c r="G101" i="62"/>
  <c r="G80" i="62"/>
  <c r="G90" i="62"/>
  <c r="G100" i="62"/>
  <c r="G59" i="62"/>
  <c r="F68" i="62"/>
  <c r="F118" i="62"/>
  <c r="F67" i="62" a="1"/>
  <c r="F67" i="62"/>
  <c r="F77" i="62"/>
  <c r="F117" i="62"/>
  <c r="F66" i="62"/>
  <c r="F76" i="62"/>
  <c r="F116" i="62"/>
  <c r="F65" i="62"/>
  <c r="F75" i="62"/>
  <c r="F115" i="62"/>
  <c r="F64" i="62"/>
  <c r="F74" i="62"/>
  <c r="F114" i="62"/>
  <c r="F63" i="62"/>
  <c r="F73" i="62"/>
  <c r="F113" i="62"/>
  <c r="F60" i="62"/>
  <c r="F61" i="62"/>
  <c r="F72" i="62"/>
  <c r="F112" i="62"/>
  <c r="F71" i="62"/>
  <c r="F111" i="62"/>
  <c r="F110" i="62"/>
  <c r="F88" i="62"/>
  <c r="F98" i="62"/>
  <c r="F108" i="62"/>
  <c r="F87" i="62"/>
  <c r="F97" i="62"/>
  <c r="F107" i="62"/>
  <c r="F86" i="62"/>
  <c r="F96" i="62"/>
  <c r="F106" i="62"/>
  <c r="F85" i="62"/>
  <c r="F95" i="62"/>
  <c r="F105" i="62"/>
  <c r="F84" i="62"/>
  <c r="F94" i="62"/>
  <c r="F104" i="62"/>
  <c r="F83" i="62"/>
  <c r="F93" i="62"/>
  <c r="F103" i="62"/>
  <c r="F82" i="62"/>
  <c r="F92" i="62"/>
  <c r="F102" i="62"/>
  <c r="F81" i="62"/>
  <c r="F91" i="62"/>
  <c r="F101" i="62"/>
  <c r="F80" i="62"/>
  <c r="F90" i="62"/>
  <c r="F100" i="62"/>
  <c r="E68" i="62"/>
  <c r="E118" i="62"/>
  <c r="E67" i="62"/>
  <c r="E77" i="62"/>
  <c r="E117" i="62"/>
  <c r="E66" i="62"/>
  <c r="E76" i="62"/>
  <c r="E116" i="62"/>
  <c r="E65" i="62"/>
  <c r="E75" i="62"/>
  <c r="E115" i="62"/>
  <c r="E64" i="62"/>
  <c r="E74" i="62"/>
  <c r="E114" i="62"/>
  <c r="E63" i="62"/>
  <c r="E73" i="62"/>
  <c r="E113" i="62"/>
  <c r="E60" i="62"/>
  <c r="E61" i="62"/>
  <c r="E72" i="62"/>
  <c r="E112" i="62"/>
  <c r="E71" i="62"/>
  <c r="E111" i="62"/>
  <c r="E110" i="62"/>
  <c r="E88" i="62"/>
  <c r="E98" i="62"/>
  <c r="E108" i="62"/>
  <c r="E87" i="62"/>
  <c r="E97" i="62"/>
  <c r="E107" i="62"/>
  <c r="E86" i="62"/>
  <c r="E96" i="62"/>
  <c r="E106" i="62"/>
  <c r="E85" i="62"/>
  <c r="E105" i="62"/>
  <c r="E84" i="62"/>
  <c r="E94" i="62"/>
  <c r="E104" i="62"/>
  <c r="E83" i="62"/>
  <c r="E93" i="62"/>
  <c r="E103" i="62"/>
  <c r="E82" i="62"/>
  <c r="E92" i="62"/>
  <c r="E102" i="62"/>
  <c r="E81" i="62"/>
  <c r="E91" i="62"/>
  <c r="E101" i="62"/>
  <c r="E80" i="62"/>
  <c r="E90" i="62"/>
  <c r="E100" i="62"/>
  <c r="F59" i="62"/>
  <c r="D67" i="62"/>
  <c r="D77" i="62"/>
  <c r="D66" i="62"/>
  <c r="D76" i="62"/>
  <c r="D65" i="62"/>
  <c r="D75" i="62"/>
  <c r="D64" i="62"/>
  <c r="D74" i="62"/>
  <c r="D63" i="62"/>
  <c r="D73" i="62"/>
  <c r="D61" i="62"/>
  <c r="D72" i="62"/>
  <c r="D71" i="62"/>
  <c r="D118" i="62"/>
  <c r="D117" i="62"/>
  <c r="D116" i="62"/>
  <c r="D115" i="62"/>
  <c r="D114" i="62"/>
  <c r="D113" i="62"/>
  <c r="D112" i="62"/>
  <c r="D111" i="62"/>
  <c r="D110" i="62"/>
  <c r="D88" i="62"/>
  <c r="D98" i="62"/>
  <c r="D108" i="62"/>
  <c r="D87" i="62"/>
  <c r="D97" i="62"/>
  <c r="D107" i="62"/>
  <c r="D86" i="62"/>
  <c r="D96" i="62"/>
  <c r="D106" i="62"/>
  <c r="D85" i="62"/>
  <c r="D95" i="62"/>
  <c r="D105" i="62"/>
  <c r="D84" i="62"/>
  <c r="D94" i="62"/>
  <c r="D104" i="62"/>
  <c r="D83" i="62"/>
  <c r="D93" i="62"/>
  <c r="D103" i="62"/>
  <c r="D82" i="62"/>
  <c r="D92" i="62"/>
  <c r="D102" i="62"/>
  <c r="D81" i="62"/>
  <c r="D91" i="62"/>
  <c r="D101" i="62"/>
  <c r="D80" i="62"/>
  <c r="D90" i="62"/>
  <c r="D100" i="62"/>
  <c r="D59" i="62"/>
  <c r="D6" i="57"/>
  <c r="D17" i="57"/>
  <c r="D50" i="62"/>
  <c r="F50" i="62"/>
  <c r="G50" i="62"/>
  <c r="H50" i="62"/>
  <c r="I50" i="62"/>
  <c r="J50" i="62"/>
  <c r="K50" i="62"/>
  <c r="L50" i="62"/>
  <c r="M50" i="62"/>
  <c r="AN6" i="77"/>
  <c r="AN7" i="77"/>
  <c r="AN8" i="77"/>
  <c r="AN9" i="77"/>
  <c r="AN10" i="77"/>
  <c r="AN5" i="77"/>
  <c r="M21" i="57"/>
  <c r="L21" i="57"/>
  <c r="K21" i="57"/>
  <c r="J21" i="57"/>
  <c r="I21" i="57"/>
  <c r="H21" i="57"/>
  <c r="G21" i="57"/>
  <c r="F21" i="57"/>
  <c r="D21" i="57"/>
  <c r="D6" i="31"/>
  <c r="E6" i="31"/>
  <c r="F6" i="57"/>
  <c r="F17" i="57"/>
  <c r="G6" i="57"/>
  <c r="G17" i="57"/>
  <c r="H6" i="57"/>
  <c r="H17" i="57"/>
  <c r="I6" i="57"/>
  <c r="I17" i="57"/>
  <c r="J6" i="57"/>
  <c r="J17" i="57"/>
  <c r="K6" i="57"/>
  <c r="K17" i="57"/>
  <c r="L6" i="57"/>
  <c r="L17" i="57"/>
  <c r="M6" i="57"/>
  <c r="M17" i="57"/>
  <c r="AW41" i="77"/>
  <c r="AI40" i="77"/>
  <c r="AW40" i="77"/>
  <c r="AW39" i="77"/>
  <c r="AW38" i="77"/>
  <c r="AW37" i="77"/>
  <c r="AW35" i="77"/>
  <c r="AI20" i="77"/>
  <c r="AI21" i="77"/>
  <c r="AI22" i="77"/>
  <c r="AI19" i="77"/>
  <c r="A72" i="62"/>
  <c r="AI16" i="77"/>
  <c r="AI26" i="77"/>
  <c r="AK26" i="77"/>
  <c r="AP26" i="77"/>
  <c r="AI23" i="77"/>
  <c r="AP23" i="77"/>
  <c r="AK20" i="77"/>
  <c r="AK4" i="77"/>
  <c r="AI25" i="77"/>
  <c r="AP25" i="77"/>
  <c r="AI11" i="77"/>
  <c r="AI13" i="77"/>
  <c r="AK13" i="77"/>
  <c r="AI30" i="77"/>
  <c r="AK30" i="77"/>
  <c r="AP24" i="77"/>
  <c r="AI18" i="77"/>
  <c r="AK18" i="77"/>
  <c r="AK22" i="77"/>
  <c r="AI24" i="77"/>
  <c r="AK24" i="77"/>
  <c r="AI17" i="77"/>
  <c r="AK17" i="77"/>
  <c r="E55" i="64"/>
  <c r="H55" i="64"/>
  <c r="E53" i="64"/>
  <c r="AK33" i="77"/>
  <c r="C17" i="49"/>
  <c r="BR6" i="31"/>
  <c r="BY3" i="31"/>
  <c r="BX6" i="31" a="1"/>
  <c r="BX6" i="31"/>
  <c r="AK34" i="77"/>
  <c r="AI34" i="77"/>
  <c r="AI32" i="77"/>
  <c r="AK29" i="77"/>
  <c r="AI28" i="77"/>
  <c r="AI15" i="77"/>
  <c r="AK14" i="77"/>
  <c r="AI14" i="77"/>
  <c r="AK10" i="77"/>
  <c r="AI10" i="77"/>
  <c r="AK9" i="77"/>
  <c r="AI9" i="77"/>
  <c r="AK8" i="77"/>
  <c r="AI8" i="77"/>
  <c r="AK7" i="77"/>
  <c r="AI7" i="77"/>
  <c r="AK6" i="77"/>
  <c r="AI6" i="77"/>
  <c r="AK5" i="77"/>
  <c r="AI5" i="77"/>
  <c r="V3" i="31"/>
  <c r="A3" i="31"/>
  <c r="G3" i="31"/>
  <c r="H3" i="31"/>
  <c r="D7" i="31"/>
  <c r="E7" i="31"/>
  <c r="D8" i="31"/>
  <c r="E8" i="31"/>
  <c r="D9" i="31"/>
  <c r="E9" i="31"/>
  <c r="D10" i="31"/>
  <c r="E10" i="31"/>
  <c r="D11" i="31"/>
  <c r="E11" i="31"/>
  <c r="D12" i="31"/>
  <c r="E12" i="31"/>
  <c r="D13" i="31"/>
  <c r="E13" i="31"/>
  <c r="D14" i="31"/>
  <c r="E14" i="31"/>
  <c r="D15" i="31"/>
  <c r="E15" i="31"/>
  <c r="D16" i="31"/>
  <c r="E16" i="31"/>
  <c r="D17" i="31"/>
  <c r="D18" i="31"/>
  <c r="E18" i="31"/>
  <c r="D19" i="31"/>
  <c r="E19" i="31"/>
  <c r="D20" i="31"/>
  <c r="E20" i="31"/>
  <c r="D21" i="31"/>
  <c r="D22" i="31"/>
  <c r="E22" i="31"/>
  <c r="D23" i="31"/>
  <c r="D24" i="31"/>
  <c r="D25" i="31"/>
  <c r="E25" i="31"/>
  <c r="D26" i="31"/>
  <c r="E26" i="31"/>
  <c r="D27" i="31"/>
  <c r="E27" i="31"/>
  <c r="D28" i="31"/>
  <c r="E28" i="31"/>
  <c r="D29" i="31"/>
  <c r="E29" i="31"/>
  <c r="D30" i="31"/>
  <c r="E30" i="31"/>
  <c r="D31" i="31"/>
  <c r="E31" i="31"/>
  <c r="D32" i="31"/>
  <c r="E32" i="31"/>
  <c r="D33" i="31"/>
  <c r="E33" i="31"/>
  <c r="D34" i="31"/>
  <c r="E34" i="31"/>
  <c r="D35" i="31"/>
  <c r="D36" i="31"/>
  <c r="D37" i="31"/>
  <c r="E37" i="31"/>
  <c r="D38" i="31"/>
  <c r="E38" i="31"/>
  <c r="D39" i="31"/>
  <c r="D40" i="31"/>
  <c r="E40" i="31"/>
  <c r="D41" i="31"/>
  <c r="E41" i="31"/>
  <c r="D42" i="31"/>
  <c r="E42" i="31"/>
  <c r="D43" i="31"/>
  <c r="E43" i="31"/>
  <c r="D44" i="31"/>
  <c r="E44" i="31"/>
  <c r="D45" i="31"/>
  <c r="D46" i="31"/>
  <c r="D47" i="31"/>
  <c r="D48" i="31"/>
  <c r="E48" i="31"/>
  <c r="D49" i="31"/>
  <c r="E49" i="31"/>
  <c r="D50" i="31"/>
  <c r="E50" i="31"/>
  <c r="D51" i="31"/>
  <c r="E51" i="31"/>
  <c r="D52" i="31"/>
  <c r="E52" i="31"/>
  <c r="D53" i="31"/>
  <c r="D54" i="31"/>
  <c r="D55" i="31"/>
  <c r="E55" i="31"/>
  <c r="D56" i="31"/>
  <c r="E56" i="31"/>
  <c r="D57" i="31"/>
  <c r="E57" i="31"/>
  <c r="D58" i="31"/>
  <c r="E58" i="31"/>
  <c r="D59" i="31"/>
  <c r="E59" i="31"/>
  <c r="D60" i="31"/>
  <c r="E60" i="31"/>
  <c r="D61" i="31"/>
  <c r="E61" i="31"/>
  <c r="D62" i="31"/>
  <c r="E62" i="31"/>
  <c r="D63" i="31"/>
  <c r="E63" i="31"/>
  <c r="D64" i="31"/>
  <c r="E64" i="31"/>
  <c r="D65" i="31"/>
  <c r="D66" i="31"/>
  <c r="E66" i="31"/>
  <c r="D67" i="31"/>
  <c r="E67" i="31"/>
  <c r="D68" i="31"/>
  <c r="E68" i="31"/>
  <c r="D69" i="31"/>
  <c r="E69" i="31"/>
  <c r="D70" i="31"/>
  <c r="E70" i="31"/>
  <c r="D71" i="31"/>
  <c r="E71" i="31"/>
  <c r="D72" i="31"/>
  <c r="E72" i="31"/>
  <c r="D73" i="31"/>
  <c r="D74" i="31"/>
  <c r="D75" i="31"/>
  <c r="E75" i="31"/>
  <c r="D76" i="31"/>
  <c r="E76" i="31"/>
  <c r="D77" i="31"/>
  <c r="E77" i="31"/>
  <c r="D78" i="31"/>
  <c r="E78" i="31"/>
  <c r="D79" i="31"/>
  <c r="E79" i="31"/>
  <c r="D80" i="31"/>
  <c r="E80" i="31"/>
  <c r="D81" i="31"/>
  <c r="E81" i="31"/>
  <c r="D82" i="31"/>
  <c r="E82" i="31"/>
  <c r="D83" i="31"/>
  <c r="E83" i="31"/>
  <c r="D84" i="31"/>
  <c r="E84" i="31"/>
  <c r="D85" i="31"/>
  <c r="D86" i="31"/>
  <c r="D87" i="31"/>
  <c r="E87" i="31"/>
  <c r="D88" i="31"/>
  <c r="E88" i="31"/>
  <c r="D89" i="31"/>
  <c r="D90" i="31"/>
  <c r="E90" i="31"/>
  <c r="D91" i="31"/>
  <c r="E91" i="31"/>
  <c r="D92" i="31"/>
  <c r="E92" i="31"/>
  <c r="D93" i="31"/>
  <c r="D94" i="31"/>
  <c r="E94" i="31"/>
  <c r="D95" i="31"/>
  <c r="D96" i="31"/>
  <c r="E96" i="31"/>
  <c r="D97" i="31"/>
  <c r="D98" i="31"/>
  <c r="E98" i="31"/>
  <c r="D99" i="31"/>
  <c r="E99" i="31"/>
  <c r="D100" i="31"/>
  <c r="E100" i="31"/>
  <c r="D101" i="31"/>
  <c r="D102" i="31"/>
  <c r="E102" i="31"/>
  <c r="D103" i="31"/>
  <c r="D104" i="31"/>
  <c r="D105" i="31"/>
  <c r="E105" i="31"/>
  <c r="D106" i="31"/>
  <c r="E106" i="31"/>
  <c r="D107" i="31"/>
  <c r="E107" i="31"/>
  <c r="D108" i="31"/>
  <c r="E108" i="31"/>
  <c r="D109" i="31"/>
  <c r="E109" i="31"/>
  <c r="D110" i="31"/>
  <c r="E110" i="31"/>
  <c r="D111" i="31"/>
  <c r="E111" i="31"/>
  <c r="D112" i="31"/>
  <c r="E112" i="31"/>
  <c r="D113" i="31"/>
  <c r="E113" i="31"/>
  <c r="D114" i="31"/>
  <c r="E114" i="31"/>
  <c r="D115" i="31"/>
  <c r="D116" i="31"/>
  <c r="E116" i="31"/>
  <c r="D117" i="31"/>
  <c r="E117" i="31"/>
  <c r="D118" i="31"/>
  <c r="E118" i="31"/>
  <c r="D119" i="31"/>
  <c r="E119" i="31"/>
  <c r="D120" i="31"/>
  <c r="E120" i="31"/>
  <c r="D121" i="31"/>
  <c r="D122" i="31"/>
  <c r="E122" i="31"/>
  <c r="D123" i="31"/>
  <c r="D124" i="31"/>
  <c r="E124" i="31"/>
  <c r="D125" i="31"/>
  <c r="E125" i="31"/>
  <c r="D126" i="31"/>
  <c r="E126" i="31"/>
  <c r="D127" i="31"/>
  <c r="E127" i="31"/>
  <c r="D128" i="31"/>
  <c r="E128" i="31"/>
  <c r="D129" i="31"/>
  <c r="E129" i="31"/>
  <c r="D130" i="31"/>
  <c r="E130" i="31"/>
  <c r="D131" i="31"/>
  <c r="E131" i="31"/>
  <c r="D132" i="31"/>
  <c r="E132" i="31"/>
  <c r="D133" i="31"/>
  <c r="E133" i="31"/>
  <c r="D134" i="31"/>
  <c r="E134" i="31"/>
  <c r="D135" i="31"/>
  <c r="D136" i="31"/>
  <c r="D137" i="31"/>
  <c r="E137" i="31"/>
  <c r="D138" i="31"/>
  <c r="E138" i="31"/>
  <c r="D139" i="31"/>
  <c r="D140" i="31"/>
  <c r="E140" i="31"/>
  <c r="D141" i="31"/>
  <c r="E141" i="31"/>
  <c r="D142" i="31"/>
  <c r="E142" i="31"/>
  <c r="D143" i="31"/>
  <c r="D144" i="31"/>
  <c r="E144" i="31"/>
  <c r="D145" i="31"/>
  <c r="E145" i="31"/>
  <c r="D146" i="31"/>
  <c r="E146" i="31"/>
  <c r="D147" i="31"/>
  <c r="D148" i="31"/>
  <c r="E148" i="31"/>
  <c r="D149" i="31"/>
  <c r="D150" i="31"/>
  <c r="D151" i="31"/>
  <c r="E151" i="31"/>
  <c r="D152" i="31"/>
  <c r="E152" i="31"/>
  <c r="D153" i="31"/>
  <c r="E153" i="31"/>
  <c r="D154" i="31"/>
  <c r="E154" i="31"/>
  <c r="D155" i="31"/>
  <c r="E155" i="31"/>
  <c r="D156" i="31"/>
  <c r="E156" i="31"/>
  <c r="D157" i="31"/>
  <c r="E157" i="31"/>
  <c r="D158" i="31"/>
  <c r="E158" i="31"/>
  <c r="D159" i="31"/>
  <c r="E159" i="31"/>
  <c r="D160" i="31"/>
  <c r="E160" i="31"/>
  <c r="D161" i="31"/>
  <c r="E161" i="31"/>
  <c r="D162" i="31"/>
  <c r="E162" i="31"/>
  <c r="D163" i="31"/>
  <c r="E163" i="31"/>
  <c r="D164" i="31"/>
  <c r="E164" i="31"/>
  <c r="D165" i="31"/>
  <c r="E165" i="31"/>
  <c r="D166" i="31"/>
  <c r="E166" i="31"/>
  <c r="D167" i="31"/>
  <c r="D168" i="31"/>
  <c r="E168" i="31"/>
  <c r="D169" i="31"/>
  <c r="E169" i="31"/>
  <c r="D170" i="31"/>
  <c r="E170" i="31"/>
  <c r="D171" i="31"/>
  <c r="E171" i="31"/>
  <c r="D172" i="31"/>
  <c r="E172" i="31"/>
  <c r="D173" i="31"/>
  <c r="D174" i="31"/>
  <c r="D175" i="31"/>
  <c r="D176" i="31"/>
  <c r="E176" i="31"/>
  <c r="D177" i="31"/>
  <c r="E177" i="31"/>
  <c r="D178" i="31"/>
  <c r="E178" i="31"/>
  <c r="D179" i="31"/>
  <c r="E179" i="31"/>
  <c r="D180" i="31"/>
  <c r="E180" i="31"/>
  <c r="D181" i="31"/>
  <c r="E181" i="31"/>
  <c r="D182" i="31"/>
  <c r="E182" i="31"/>
  <c r="D183" i="31"/>
  <c r="E183" i="31"/>
  <c r="D184" i="31"/>
  <c r="E184" i="31"/>
  <c r="D185" i="31"/>
  <c r="D186" i="31"/>
  <c r="D187" i="31"/>
  <c r="D188" i="31"/>
  <c r="E188" i="31"/>
  <c r="D189" i="31"/>
  <c r="E189" i="31"/>
  <c r="D190" i="31"/>
  <c r="E190" i="31"/>
  <c r="D191" i="31"/>
  <c r="D192" i="31"/>
  <c r="E192" i="31"/>
  <c r="D193" i="31"/>
  <c r="D194" i="31"/>
  <c r="D195" i="31"/>
  <c r="E195" i="31"/>
  <c r="D196" i="31"/>
  <c r="E196" i="31"/>
  <c r="D197" i="31"/>
  <c r="E197" i="31"/>
  <c r="D198" i="31"/>
  <c r="E198" i="31"/>
  <c r="D199" i="31"/>
  <c r="E199" i="31"/>
  <c r="D200" i="31"/>
  <c r="E200" i="31"/>
  <c r="D201" i="31"/>
  <c r="E201" i="31"/>
  <c r="D202" i="31"/>
  <c r="E202" i="31"/>
  <c r="D203" i="31"/>
  <c r="D204" i="31"/>
  <c r="D205" i="31"/>
  <c r="E205" i="31"/>
  <c r="D206" i="31"/>
  <c r="E206" i="31"/>
  <c r="D207" i="31"/>
  <c r="E207" i="31"/>
  <c r="D208" i="31"/>
  <c r="D209" i="31"/>
  <c r="E209" i="31"/>
  <c r="D210" i="31"/>
  <c r="E210" i="31"/>
  <c r="D211" i="31"/>
  <c r="E211" i="31"/>
  <c r="D212" i="31"/>
  <c r="E212" i="31"/>
  <c r="D213" i="31"/>
  <c r="E213" i="31"/>
  <c r="D214" i="31"/>
  <c r="E214" i="31"/>
  <c r="D215" i="31"/>
  <c r="E215" i="31"/>
  <c r="D216" i="31"/>
  <c r="D217" i="31"/>
  <c r="E217" i="31"/>
  <c r="D218" i="31"/>
  <c r="E218" i="31"/>
  <c r="D219" i="31"/>
  <c r="E219" i="31"/>
  <c r="D220" i="31"/>
  <c r="E220" i="31"/>
  <c r="D221" i="31"/>
  <c r="E221" i="31"/>
  <c r="D222" i="31"/>
  <c r="E222" i="31"/>
  <c r="D223" i="31"/>
  <c r="D224" i="31"/>
  <c r="E224" i="31"/>
  <c r="D225" i="31"/>
  <c r="D226" i="31"/>
  <c r="D227" i="31"/>
  <c r="D228" i="31"/>
  <c r="D229" i="31"/>
  <c r="E229" i="31"/>
  <c r="D230" i="31"/>
  <c r="E230" i="31"/>
  <c r="D231" i="31"/>
  <c r="D232" i="31"/>
  <c r="E232" i="31"/>
  <c r="D233" i="31"/>
  <c r="E233" i="31"/>
  <c r="D234" i="31"/>
  <c r="D235" i="31"/>
  <c r="D236" i="31"/>
  <c r="E236" i="31"/>
  <c r="D237" i="31"/>
  <c r="E237" i="31"/>
  <c r="D238" i="31"/>
  <c r="E238" i="31"/>
  <c r="D239" i="31"/>
  <c r="E239" i="31"/>
  <c r="D240" i="31"/>
  <c r="D241" i="31"/>
  <c r="D242" i="31"/>
  <c r="E242" i="31"/>
  <c r="D243" i="31"/>
  <c r="E243" i="31"/>
  <c r="D244" i="31"/>
  <c r="E244" i="31"/>
  <c r="D245" i="31"/>
  <c r="E245" i="31"/>
  <c r="D246" i="31"/>
  <c r="E246" i="31"/>
  <c r="D247" i="31"/>
  <c r="E247" i="31"/>
  <c r="D248" i="31"/>
  <c r="E248" i="31"/>
  <c r="D249" i="31"/>
  <c r="E249" i="31"/>
  <c r="D250" i="31"/>
  <c r="E250" i="31"/>
  <c r="D251" i="31"/>
  <c r="D252" i="31"/>
  <c r="E252" i="31"/>
  <c r="D253" i="31"/>
  <c r="E253" i="31"/>
  <c r="D254" i="31"/>
  <c r="D255" i="31"/>
  <c r="E255" i="31"/>
  <c r="D256" i="31"/>
  <c r="E256" i="31"/>
  <c r="D257" i="31"/>
  <c r="E257" i="31"/>
  <c r="D258" i="31"/>
  <c r="D259" i="31"/>
  <c r="E259" i="31"/>
  <c r="D260" i="31"/>
  <c r="E260" i="31"/>
  <c r="D261" i="31"/>
  <c r="E261" i="31"/>
  <c r="D262" i="31"/>
  <c r="E262" i="31"/>
  <c r="D263" i="31"/>
  <c r="E263" i="31"/>
  <c r="D264" i="31"/>
  <c r="E264" i="31"/>
  <c r="D265" i="31"/>
  <c r="D266" i="31"/>
  <c r="E266" i="31"/>
  <c r="D267" i="31"/>
  <c r="D268" i="31"/>
  <c r="E268" i="31"/>
  <c r="D269" i="31"/>
  <c r="E269" i="31"/>
  <c r="D270" i="31"/>
  <c r="E270" i="31"/>
  <c r="D271" i="31"/>
  <c r="E271" i="31"/>
  <c r="D272" i="31"/>
  <c r="E272" i="31"/>
  <c r="D273" i="31"/>
  <c r="D274" i="31"/>
  <c r="E274" i="31"/>
  <c r="D275" i="31"/>
  <c r="D276" i="31"/>
  <c r="E276" i="31"/>
  <c r="D277" i="31"/>
  <c r="E277" i="31"/>
  <c r="D278" i="31"/>
  <c r="E278" i="31"/>
  <c r="D279" i="31"/>
  <c r="E279" i="31"/>
  <c r="D280" i="31"/>
  <c r="E280" i="31"/>
  <c r="D281" i="31"/>
  <c r="E281" i="31"/>
  <c r="D282" i="31"/>
  <c r="E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606" i="31"/>
  <c r="D607" i="31"/>
  <c r="D608" i="31"/>
  <c r="D609" i="31"/>
  <c r="D610" i="31"/>
  <c r="D611" i="31"/>
  <c r="D612" i="31"/>
  <c r="D613" i="31"/>
  <c r="D614" i="31"/>
  <c r="D615" i="31"/>
  <c r="D616" i="31"/>
  <c r="D617" i="31"/>
  <c r="D618" i="31"/>
  <c r="D619" i="31"/>
  <c r="D620" i="31"/>
  <c r="D621" i="31"/>
  <c r="D622" i="31"/>
  <c r="D623" i="31"/>
  <c r="D624" i="31"/>
  <c r="D625" i="31"/>
  <c r="D626" i="31"/>
  <c r="D627" i="31"/>
  <c r="D628" i="31"/>
  <c r="D629" i="31"/>
  <c r="D630" i="31"/>
  <c r="D631" i="31"/>
  <c r="D632" i="31"/>
  <c r="D633" i="31"/>
  <c r="D634" i="31"/>
  <c r="D635" i="31"/>
  <c r="D636" i="31"/>
  <c r="D637" i="31"/>
  <c r="D638" i="31"/>
  <c r="D639" i="31"/>
  <c r="D640" i="31"/>
  <c r="D641" i="31"/>
  <c r="D642" i="31"/>
  <c r="D643" i="31"/>
  <c r="D644" i="31"/>
  <c r="D645" i="31"/>
  <c r="D646" i="31"/>
  <c r="D647" i="31"/>
  <c r="D648" i="31"/>
  <c r="D649" i="31"/>
  <c r="D650" i="31"/>
  <c r="D651" i="31"/>
  <c r="D652" i="31"/>
  <c r="D653" i="31"/>
  <c r="D654" i="31"/>
  <c r="D655" i="31"/>
  <c r="D656" i="31"/>
  <c r="D657" i="31"/>
  <c r="D658" i="31"/>
  <c r="D659" i="31"/>
  <c r="D660" i="31"/>
  <c r="D661" i="31"/>
  <c r="D662" i="31"/>
  <c r="D663" i="31"/>
  <c r="D664" i="31"/>
  <c r="D665" i="31"/>
  <c r="D666" i="31"/>
  <c r="D667" i="31"/>
  <c r="D668" i="31"/>
  <c r="D669" i="31"/>
  <c r="D670" i="31"/>
  <c r="D671" i="31"/>
  <c r="D672" i="31"/>
  <c r="D673" i="31"/>
  <c r="D674" i="31"/>
  <c r="D675" i="31"/>
  <c r="D676" i="31"/>
  <c r="D677" i="31"/>
  <c r="D678" i="31"/>
  <c r="D679" i="31"/>
  <c r="D680" i="31"/>
  <c r="D681" i="31"/>
  <c r="D682" i="31"/>
  <c r="D683" i="31"/>
  <c r="D684" i="31"/>
  <c r="D685" i="31"/>
  <c r="D686" i="31"/>
  <c r="D687" i="31"/>
  <c r="D688" i="31"/>
  <c r="D689" i="31"/>
  <c r="D690" i="31"/>
  <c r="D691" i="31"/>
  <c r="D692" i="31"/>
  <c r="D693" i="31"/>
  <c r="D694" i="31"/>
  <c r="D695" i="31"/>
  <c r="D696" i="31"/>
  <c r="D697" i="31"/>
  <c r="D698" i="31"/>
  <c r="D699" i="31"/>
  <c r="D700" i="31"/>
  <c r="D701" i="31"/>
  <c r="D702" i="31"/>
  <c r="D703" i="31"/>
  <c r="D704" i="31"/>
  <c r="D705" i="31"/>
  <c r="D706" i="31"/>
  <c r="D707" i="31"/>
  <c r="D708" i="31"/>
  <c r="D709" i="31"/>
  <c r="D710" i="31"/>
  <c r="D711" i="31"/>
  <c r="D712" i="31"/>
  <c r="D713" i="31"/>
  <c r="D714" i="31"/>
  <c r="D715" i="31"/>
  <c r="E17" i="31"/>
  <c r="E21" i="31"/>
  <c r="E23" i="31"/>
  <c r="E24" i="31"/>
  <c r="E35" i="31"/>
  <c r="E36" i="31"/>
  <c r="E39" i="31"/>
  <c r="E45" i="31"/>
  <c r="E46" i="31"/>
  <c r="E47" i="31"/>
  <c r="E53" i="31"/>
  <c r="E54" i="31"/>
  <c r="E65" i="31"/>
  <c r="E73" i="31"/>
  <c r="E74" i="31"/>
  <c r="E85" i="31"/>
  <c r="E86" i="31"/>
  <c r="E89" i="31"/>
  <c r="E93" i="31"/>
  <c r="E95" i="31"/>
  <c r="E97" i="31"/>
  <c r="E101" i="31"/>
  <c r="E103" i="31"/>
  <c r="E104" i="31"/>
  <c r="E115" i="31"/>
  <c r="E121" i="31"/>
  <c r="E123" i="31"/>
  <c r="E135" i="31"/>
  <c r="E136" i="31"/>
  <c r="E139" i="31"/>
  <c r="E143" i="31"/>
  <c r="E147" i="31"/>
  <c r="E149" i="31"/>
  <c r="E150" i="31"/>
  <c r="E167" i="31"/>
  <c r="E173" i="31"/>
  <c r="E174" i="31"/>
  <c r="E175" i="31"/>
  <c r="E185" i="31"/>
  <c r="E186" i="31"/>
  <c r="E187" i="31"/>
  <c r="E191" i="31"/>
  <c r="E193" i="31"/>
  <c r="E194" i="31"/>
  <c r="E203" i="31"/>
  <c r="E204" i="31"/>
  <c r="E208" i="31"/>
  <c r="E216" i="31"/>
  <c r="E223" i="31"/>
  <c r="E225" i="31"/>
  <c r="E226" i="31"/>
  <c r="E227" i="31"/>
  <c r="E228" i="31"/>
  <c r="E231" i="31"/>
  <c r="E234" i="31"/>
  <c r="E235" i="31"/>
  <c r="E240" i="31"/>
  <c r="E241" i="31"/>
  <c r="E251" i="31"/>
  <c r="E254" i="31"/>
  <c r="E258" i="31"/>
  <c r="E265" i="31"/>
  <c r="E267" i="31"/>
  <c r="E273" i="31"/>
  <c r="E275" i="31"/>
  <c r="E283" i="31"/>
  <c r="E284" i="31"/>
  <c r="E285" i="31"/>
  <c r="E286" i="31"/>
  <c r="E287" i="31"/>
  <c r="E288" i="31"/>
  <c r="E289" i="31"/>
  <c r="E290" i="31"/>
  <c r="E291" i="31"/>
  <c r="E292" i="31"/>
  <c r="E293" i="31"/>
  <c r="E294" i="31"/>
  <c r="E295" i="31"/>
  <c r="E296" i="31"/>
  <c r="E297" i="31"/>
  <c r="E298" i="31"/>
  <c r="E299" i="31"/>
  <c r="E300" i="31"/>
  <c r="E301" i="31"/>
  <c r="E302" i="31"/>
  <c r="E303" i="31"/>
  <c r="E304" i="31"/>
  <c r="E305" i="31"/>
  <c r="E306" i="31"/>
  <c r="E307" i="31"/>
  <c r="E308" i="31"/>
  <c r="E309" i="31"/>
  <c r="E310" i="31"/>
  <c r="E311" i="31"/>
  <c r="E312" i="31"/>
  <c r="E313" i="31"/>
  <c r="E314" i="31"/>
  <c r="E315" i="31"/>
  <c r="E316" i="31"/>
  <c r="E317" i="31"/>
  <c r="E318" i="31"/>
  <c r="E319" i="31"/>
  <c r="E320" i="31"/>
  <c r="E321" i="31"/>
  <c r="E322" i="31"/>
  <c r="E323" i="31"/>
  <c r="E324" i="31"/>
  <c r="E325" i="31"/>
  <c r="E326" i="31"/>
  <c r="E327" i="31"/>
  <c r="E328" i="31"/>
  <c r="E329" i="31"/>
  <c r="E330" i="31"/>
  <c r="E331" i="31"/>
  <c r="E332" i="31"/>
  <c r="E333" i="31"/>
  <c r="E334" i="31"/>
  <c r="E335" i="31"/>
  <c r="E336" i="31"/>
  <c r="E337" i="31"/>
  <c r="E338" i="31"/>
  <c r="E339" i="31"/>
  <c r="E340" i="31"/>
  <c r="E341" i="31"/>
  <c r="E342" i="31"/>
  <c r="E343" i="31"/>
  <c r="E344" i="31"/>
  <c r="E345" i="31"/>
  <c r="E346" i="31"/>
  <c r="E347" i="31"/>
  <c r="E348" i="31"/>
  <c r="E349" i="31"/>
  <c r="E350" i="31"/>
  <c r="E351" i="31"/>
  <c r="E352" i="31"/>
  <c r="E353" i="31"/>
  <c r="E354" i="31"/>
  <c r="E355" i="31"/>
  <c r="E356" i="31"/>
  <c r="E357" i="31"/>
  <c r="E358" i="31"/>
  <c r="E359" i="31"/>
  <c r="E360" i="31"/>
  <c r="E361" i="31"/>
  <c r="E362" i="31"/>
  <c r="E363" i="31"/>
  <c r="E364" i="31"/>
  <c r="E365" i="31"/>
  <c r="E366" i="31"/>
  <c r="E367" i="31"/>
  <c r="E368" i="31"/>
  <c r="E369" i="31"/>
  <c r="E370" i="31"/>
  <c r="E371" i="31"/>
  <c r="E372" i="31"/>
  <c r="E373" i="31"/>
  <c r="E374" i="31"/>
  <c r="E375" i="31"/>
  <c r="E376" i="31"/>
  <c r="E377" i="31"/>
  <c r="E378" i="31"/>
  <c r="E379" i="31"/>
  <c r="E380" i="31"/>
  <c r="E381" i="31"/>
  <c r="E382" i="31"/>
  <c r="E383" i="31"/>
  <c r="E384" i="31"/>
  <c r="E385" i="31"/>
  <c r="E386" i="31"/>
  <c r="E387" i="31"/>
  <c r="E388" i="31"/>
  <c r="E389" i="31"/>
  <c r="E390" i="31"/>
  <c r="E391" i="31"/>
  <c r="E392" i="31"/>
  <c r="E393" i="31"/>
  <c r="E394" i="31"/>
  <c r="E395" i="31"/>
  <c r="E396" i="31"/>
  <c r="E397" i="31"/>
  <c r="E398" i="31"/>
  <c r="E399" i="31"/>
  <c r="E400" i="31"/>
  <c r="E401" i="31"/>
  <c r="E402" i="31"/>
  <c r="E403" i="31"/>
  <c r="E404" i="31"/>
  <c r="E405" i="31"/>
  <c r="E406" i="31"/>
  <c r="E407" i="31"/>
  <c r="E408" i="31"/>
  <c r="E409" i="31"/>
  <c r="E410" i="31"/>
  <c r="E411" i="31"/>
  <c r="E412" i="31"/>
  <c r="E413" i="31"/>
  <c r="E414" i="31"/>
  <c r="E415" i="31"/>
  <c r="E416" i="31"/>
  <c r="E417" i="31"/>
  <c r="E418" i="31"/>
  <c r="E419" i="31"/>
  <c r="E420" i="31"/>
  <c r="E421" i="31"/>
  <c r="E422" i="31"/>
  <c r="E423" i="31"/>
  <c r="E424" i="31"/>
  <c r="E425" i="31"/>
  <c r="E426" i="31"/>
  <c r="E427" i="31"/>
  <c r="E428" i="31"/>
  <c r="E429" i="31"/>
  <c r="E430" i="31"/>
  <c r="E431" i="31"/>
  <c r="E432" i="31"/>
  <c r="E433" i="31"/>
  <c r="E434" i="31"/>
  <c r="E435" i="31"/>
  <c r="E436" i="31"/>
  <c r="E437" i="31"/>
  <c r="E438" i="31"/>
  <c r="E439" i="31"/>
  <c r="E440" i="31"/>
  <c r="E441" i="31"/>
  <c r="E442" i="31"/>
  <c r="E443" i="31"/>
  <c r="E444" i="31"/>
  <c r="E445" i="31"/>
  <c r="E446" i="31"/>
  <c r="E447" i="31"/>
  <c r="E448" i="31"/>
  <c r="E449" i="31"/>
  <c r="E450" i="31"/>
  <c r="E451" i="31"/>
  <c r="E452" i="31"/>
  <c r="E453" i="31"/>
  <c r="E454" i="31"/>
  <c r="E455" i="31"/>
  <c r="E456" i="31"/>
  <c r="E457" i="31"/>
  <c r="E458" i="31"/>
  <c r="E459" i="31"/>
  <c r="E460" i="31"/>
  <c r="E461" i="31"/>
  <c r="E462" i="31"/>
  <c r="E463" i="31"/>
  <c r="E464" i="31"/>
  <c r="E465" i="31"/>
  <c r="E466" i="31"/>
  <c r="E467" i="31"/>
  <c r="E468" i="31"/>
  <c r="E469" i="31"/>
  <c r="E470" i="31"/>
  <c r="E471" i="31"/>
  <c r="E472" i="31"/>
  <c r="E473" i="31"/>
  <c r="E474" i="31"/>
  <c r="E475" i="31"/>
  <c r="E476" i="31"/>
  <c r="E477" i="31"/>
  <c r="E478" i="31"/>
  <c r="E479" i="31"/>
  <c r="E480" i="31"/>
  <c r="E481" i="31"/>
  <c r="E482" i="31"/>
  <c r="E483" i="31"/>
  <c r="E484" i="31"/>
  <c r="E485" i="31"/>
  <c r="E486" i="31"/>
  <c r="E487" i="31"/>
  <c r="E488" i="31"/>
  <c r="E489" i="31"/>
  <c r="E490" i="31"/>
  <c r="E491" i="31"/>
  <c r="E492" i="31"/>
  <c r="E493" i="31"/>
  <c r="E494" i="31"/>
  <c r="E495" i="31"/>
  <c r="E496" i="31"/>
  <c r="E497" i="31"/>
  <c r="E498" i="31"/>
  <c r="E499" i="31"/>
  <c r="E500" i="31"/>
  <c r="E501" i="31"/>
  <c r="E502" i="31"/>
  <c r="E503" i="31"/>
  <c r="E504" i="31"/>
  <c r="E505" i="31"/>
  <c r="E506" i="31"/>
  <c r="E507" i="31"/>
  <c r="E508" i="31"/>
  <c r="E509" i="31"/>
  <c r="E510" i="31"/>
  <c r="E511" i="31"/>
  <c r="E512" i="31"/>
  <c r="E513" i="31"/>
  <c r="E514" i="31"/>
  <c r="E515" i="31"/>
  <c r="E516" i="31"/>
  <c r="E517" i="31"/>
  <c r="E518" i="31"/>
  <c r="E519" i="31"/>
  <c r="E520" i="31"/>
  <c r="E521" i="31"/>
  <c r="E522" i="31"/>
  <c r="E523" i="31"/>
  <c r="E524" i="31"/>
  <c r="E525" i="31"/>
  <c r="E526" i="31"/>
  <c r="E527" i="31"/>
  <c r="E528" i="31"/>
  <c r="E529" i="31"/>
  <c r="E530" i="31"/>
  <c r="E531" i="31"/>
  <c r="E532" i="31"/>
  <c r="E533" i="31"/>
  <c r="E534" i="31"/>
  <c r="E535" i="31"/>
  <c r="E536" i="31"/>
  <c r="E537" i="31"/>
  <c r="E538" i="31"/>
  <c r="E539" i="31"/>
  <c r="E540" i="31"/>
  <c r="E541" i="31"/>
  <c r="E542" i="31"/>
  <c r="E543" i="31"/>
  <c r="E544" i="31"/>
  <c r="E545" i="31"/>
  <c r="E546" i="31"/>
  <c r="E547" i="31"/>
  <c r="E548" i="31"/>
  <c r="E549" i="31"/>
  <c r="E550" i="31"/>
  <c r="E551" i="31"/>
  <c r="E552" i="31"/>
  <c r="E553" i="31"/>
  <c r="E554" i="31"/>
  <c r="E555" i="31"/>
  <c r="E556" i="31"/>
  <c r="E557" i="31"/>
  <c r="E558" i="31"/>
  <c r="E559" i="31"/>
  <c r="E560" i="31"/>
  <c r="E561" i="31"/>
  <c r="E562" i="31"/>
  <c r="E563" i="31"/>
  <c r="E564" i="31"/>
  <c r="E565" i="31"/>
  <c r="E566" i="31"/>
  <c r="E567" i="31"/>
  <c r="E568" i="31"/>
  <c r="E569" i="31"/>
  <c r="E570" i="31"/>
  <c r="E571" i="31"/>
  <c r="E572" i="31"/>
  <c r="E573" i="31"/>
  <c r="E574" i="31"/>
  <c r="E575" i="31"/>
  <c r="E576" i="31"/>
  <c r="E577" i="31"/>
  <c r="E578" i="31"/>
  <c r="E579" i="31"/>
  <c r="E580" i="31"/>
  <c r="E581" i="31"/>
  <c r="E582" i="31"/>
  <c r="E583" i="31"/>
  <c r="E584" i="31"/>
  <c r="E585" i="31"/>
  <c r="E586" i="31"/>
  <c r="E587" i="31"/>
  <c r="E588" i="31"/>
  <c r="E589" i="31"/>
  <c r="E590" i="31"/>
  <c r="E591" i="31"/>
  <c r="E592" i="31"/>
  <c r="E593" i="31"/>
  <c r="E594" i="31"/>
  <c r="E595" i="31"/>
  <c r="E596" i="31"/>
  <c r="E597" i="31"/>
  <c r="E598" i="31"/>
  <c r="E599" i="31"/>
  <c r="E600" i="31"/>
  <c r="E601" i="31"/>
  <c r="E602" i="31"/>
  <c r="E603" i="31"/>
  <c r="E604" i="31"/>
  <c r="E605" i="31"/>
  <c r="E606" i="31"/>
  <c r="E607" i="31"/>
  <c r="E608" i="31"/>
  <c r="E609" i="31"/>
  <c r="E610" i="31"/>
  <c r="E611" i="31"/>
  <c r="E612" i="31"/>
  <c r="E613" i="31"/>
  <c r="E614" i="31"/>
  <c r="E615" i="31"/>
  <c r="E616" i="31"/>
  <c r="E617" i="31"/>
  <c r="E618" i="31"/>
  <c r="E619" i="31"/>
  <c r="E620" i="31"/>
  <c r="E621" i="31"/>
  <c r="E622" i="31"/>
  <c r="E623" i="31"/>
  <c r="E624" i="31"/>
  <c r="E625" i="31"/>
  <c r="E626" i="31"/>
  <c r="E627" i="31"/>
  <c r="E628" i="31"/>
  <c r="E629" i="31"/>
  <c r="E630" i="31"/>
  <c r="E631" i="31"/>
  <c r="E632" i="31"/>
  <c r="E633" i="31"/>
  <c r="E634" i="31"/>
  <c r="E635" i="31"/>
  <c r="E636" i="31"/>
  <c r="E637" i="31"/>
  <c r="E638" i="31"/>
  <c r="E639" i="31"/>
  <c r="E640" i="31"/>
  <c r="E641" i="31"/>
  <c r="E642" i="31"/>
  <c r="E643" i="31"/>
  <c r="E644" i="31"/>
  <c r="E645" i="31"/>
  <c r="E646" i="31"/>
  <c r="E647" i="31"/>
  <c r="E648" i="31"/>
  <c r="E649" i="31"/>
  <c r="E650" i="31"/>
  <c r="E651" i="31"/>
  <c r="E652" i="31"/>
  <c r="E653" i="31"/>
  <c r="E654" i="31"/>
  <c r="E655" i="31"/>
  <c r="E656" i="31"/>
  <c r="E657" i="31"/>
  <c r="E658" i="31"/>
  <c r="E659" i="31"/>
  <c r="E660" i="31"/>
  <c r="E661" i="31"/>
  <c r="E662" i="31"/>
  <c r="E663" i="31"/>
  <c r="E664" i="31"/>
  <c r="E665" i="31"/>
  <c r="E666" i="31"/>
  <c r="E667" i="31"/>
  <c r="E668" i="31"/>
  <c r="E669" i="31"/>
  <c r="E670" i="31"/>
  <c r="E671" i="31"/>
  <c r="E672" i="31"/>
  <c r="E673" i="31"/>
  <c r="E674" i="31"/>
  <c r="E675" i="31"/>
  <c r="E676" i="31"/>
  <c r="E677" i="31"/>
  <c r="E678" i="31"/>
  <c r="E679" i="31"/>
  <c r="E680" i="31"/>
  <c r="E681" i="31"/>
  <c r="E682" i="31"/>
  <c r="E683" i="31"/>
  <c r="E684" i="31"/>
  <c r="E685" i="31"/>
  <c r="E686" i="31"/>
  <c r="E687" i="31"/>
  <c r="E688" i="31"/>
  <c r="E689" i="31"/>
  <c r="E690" i="31"/>
  <c r="E691" i="31"/>
  <c r="E692" i="31"/>
  <c r="E693" i="31"/>
  <c r="E694" i="31"/>
  <c r="E695" i="31"/>
  <c r="E696" i="31"/>
  <c r="E697" i="31"/>
  <c r="E698" i="31"/>
  <c r="E699" i="31"/>
  <c r="E700" i="31"/>
  <c r="E701" i="31"/>
  <c r="E702" i="31"/>
  <c r="E703" i="31"/>
  <c r="E704" i="31"/>
  <c r="E705" i="31"/>
  <c r="E706" i="31"/>
  <c r="E707" i="31"/>
  <c r="E708" i="31"/>
  <c r="E709" i="31"/>
  <c r="E710" i="31"/>
  <c r="E711" i="31"/>
  <c r="E712" i="31"/>
  <c r="E713" i="31"/>
  <c r="E714" i="31"/>
  <c r="E715" i="31"/>
  <c r="DP3" i="31"/>
  <c r="DO3" i="31"/>
  <c r="DW1" i="31" a="1"/>
  <c r="DW1" i="31"/>
  <c r="DW3" i="31"/>
  <c r="DM4" i="31"/>
  <c r="DJ3" i="31"/>
  <c r="DT3" i="31"/>
  <c r="DJ4" i="31"/>
  <c r="EC1" i="31" a="1"/>
  <c r="EC1" i="31"/>
  <c r="BJ3" i="31"/>
  <c r="BD3" i="31"/>
  <c r="AX3" i="31"/>
  <c r="AL3" i="31"/>
  <c r="AF3" i="31"/>
  <c r="Z3" i="31"/>
  <c r="T3" i="31"/>
  <c r="N3" i="31"/>
  <c r="AB3" i="31"/>
  <c r="C933" i="31"/>
  <c r="BI3" i="31"/>
  <c r="BC3" i="31"/>
  <c r="AW3" i="31"/>
  <c r="AR3" i="31"/>
  <c r="AQ3" i="31"/>
  <c r="AK3" i="31"/>
  <c r="AE3" i="31"/>
  <c r="Y3" i="31"/>
  <c r="S3" i="31"/>
  <c r="BU3" i="31"/>
  <c r="BT6" i="31" a="1"/>
  <c r="BT6" i="31"/>
  <c r="BP3" i="31"/>
  <c r="DE3" i="31"/>
  <c r="DA3" i="31"/>
  <c r="CW3" i="31"/>
  <c r="CS3" i="31"/>
  <c r="CO3" i="31"/>
  <c r="CK3" i="31"/>
  <c r="CG3" i="31"/>
  <c r="CC3" i="31"/>
  <c r="BQ3" i="31"/>
  <c r="BR7" i="31"/>
  <c r="BR8" i="31"/>
  <c r="BR9" i="31"/>
  <c r="BR10" i="31"/>
  <c r="BR11" i="31"/>
  <c r="BR12" i="31"/>
  <c r="BR13" i="31"/>
  <c r="BR14" i="31"/>
  <c r="BR15" i="31"/>
  <c r="BR16" i="31"/>
  <c r="BZ3" i="31"/>
  <c r="BV3" i="31"/>
  <c r="BX3" i="31"/>
  <c r="CB3" i="31"/>
  <c r="CD3" i="31"/>
  <c r="CF3" i="31"/>
  <c r="CH3" i="31"/>
  <c r="CJ3" i="31"/>
  <c r="CL3" i="31"/>
  <c r="CN3" i="31"/>
  <c r="CP3" i="31"/>
  <c r="CR3" i="31"/>
  <c r="CT3" i="31"/>
  <c r="CV3" i="31"/>
  <c r="CX3" i="31"/>
  <c r="CZ3" i="31"/>
  <c r="DB3" i="31"/>
  <c r="DD3" i="31"/>
  <c r="DF3" i="31"/>
  <c r="DH3" i="31"/>
  <c r="C18" i="49"/>
  <c r="C16" i="49"/>
  <c r="C6" i="49"/>
  <c r="C5" i="49"/>
  <c r="C4" i="49"/>
  <c r="B108" i="77" a="1"/>
  <c r="B108" i="77"/>
  <c r="B109" i="77" a="1"/>
  <c r="B109" i="77"/>
  <c r="B110" i="77" a="1"/>
  <c r="B110" i="77"/>
  <c r="B111" i="77" a="1"/>
  <c r="B111" i="77"/>
  <c r="B98" i="77" a="1"/>
  <c r="B98" i="77"/>
  <c r="B99" i="77" a="1"/>
  <c r="B99" i="77"/>
  <c r="B100" i="77" a="1"/>
  <c r="B100" i="77"/>
  <c r="B101" i="77" a="1"/>
  <c r="B101" i="77"/>
  <c r="DI3" i="31"/>
  <c r="B3" i="31"/>
  <c r="M3" i="31"/>
  <c r="BF3" i="31"/>
  <c r="DN3" i="31"/>
  <c r="DT2" i="31" a="1"/>
  <c r="DT2" i="31"/>
  <c r="DT4" i="31" a="1"/>
  <c r="DT4" i="31"/>
  <c r="DS3" i="31"/>
  <c r="DU3" i="31"/>
  <c r="DK4" i="31"/>
  <c r="DU4" i="31" a="1"/>
  <c r="DU4" i="31"/>
  <c r="DU1" i="31" a="1"/>
  <c r="DU1" i="31"/>
  <c r="DX3" i="31"/>
  <c r="DN4" i="31"/>
  <c r="DX4" i="31" a="1"/>
  <c r="DX4" i="31"/>
  <c r="DZ3" i="31"/>
  <c r="DP4" i="31"/>
  <c r="DZ1" i="31" a="1"/>
  <c r="DZ1" i="31"/>
  <c r="DR3" i="31"/>
  <c r="EC3" i="31"/>
  <c r="DS4" i="31"/>
  <c r="EC4" i="31" a="1"/>
  <c r="EC4" i="31"/>
  <c r="DV3" i="31"/>
  <c r="DL4" i="31"/>
  <c r="DT1" i="31" a="1"/>
  <c r="DT1" i="31"/>
  <c r="DM3" i="31"/>
  <c r="DX1" i="31" a="1"/>
  <c r="DX1" i="31"/>
  <c r="DY3" i="31"/>
  <c r="DO4" i="31"/>
  <c r="EA1" i="31" a="1"/>
  <c r="EA1" i="31"/>
  <c r="DL3" i="31"/>
  <c r="DY1" i="31" a="1"/>
  <c r="DY1" i="31"/>
  <c r="EB3" i="31"/>
  <c r="DR4" i="31"/>
  <c r="EB4" i="31" a="1"/>
  <c r="EB4" i="31"/>
  <c r="EA3" i="31"/>
  <c r="DQ4" i="31"/>
  <c r="EA4" i="31" a="1"/>
  <c r="EA4" i="31"/>
  <c r="EB1" i="31" a="1"/>
  <c r="EB1" i="31"/>
  <c r="DU2" i="31" a="1"/>
  <c r="DU2" i="31"/>
  <c r="DX2" i="31" a="1"/>
  <c r="DX2" i="31"/>
  <c r="DW4" i="31" a="1"/>
  <c r="DW4" i="31"/>
  <c r="DW2" i="31" a="1"/>
  <c r="DW2" i="31"/>
  <c r="BR3" i="31" a="1"/>
  <c r="BR3" i="31"/>
  <c r="AH3" i="31"/>
  <c r="DY4" i="31" a="1"/>
  <c r="DY4" i="31"/>
  <c r="DY2" i="31" a="1"/>
  <c r="DY2" i="31"/>
  <c r="AT3" i="31"/>
  <c r="C3" i="31"/>
  <c r="DQ3" i="31"/>
  <c r="D3" i="31"/>
  <c r="P3" i="31"/>
  <c r="BL3" i="31"/>
  <c r="DV1" i="31" a="1"/>
  <c r="DV1" i="31"/>
  <c r="AN3" i="31"/>
  <c r="DK3" i="31"/>
  <c r="AZ3" i="31"/>
  <c r="J3" i="31"/>
  <c r="DZ2" i="31" a="1"/>
  <c r="DZ2" i="31"/>
  <c r="DZ4" i="31" a="1"/>
  <c r="DZ4" i="31"/>
  <c r="EA2" i="31" a="1"/>
  <c r="EA2" i="31"/>
  <c r="EB2" i="31" a="1"/>
  <c r="EB2" i="31"/>
  <c r="EC2" i="31" a="1"/>
  <c r="EC2" i="31"/>
  <c r="DV2" i="31" a="1"/>
  <c r="DV2" i="31"/>
  <c r="DV4" i="31" a="1"/>
  <c r="DV4" i="31"/>
  <c r="E17" i="81"/>
  <c r="E22" i="80"/>
  <c r="E23" i="80"/>
  <c r="E30" i="80"/>
  <c r="E50" i="80"/>
  <c r="E51" i="80"/>
  <c r="E65" i="80"/>
  <c r="E66" i="80"/>
  <c r="E98" i="80"/>
  <c r="E100" i="80"/>
  <c r="D18" i="62"/>
  <c r="E18" i="62"/>
  <c r="D18" i="57"/>
  <c r="E18" i="57"/>
  <c r="F18" i="57"/>
  <c r="G18" i="57"/>
  <c r="H18" i="57"/>
  <c r="I18" i="57"/>
  <c r="J18" i="57"/>
  <c r="K18" i="57"/>
  <c r="L18" i="57"/>
  <c r="M18" i="57"/>
  <c r="D19" i="57"/>
  <c r="E19" i="57"/>
  <c r="F19" i="57"/>
  <c r="G19" i="57"/>
  <c r="H19" i="57"/>
  <c r="I19" i="57"/>
  <c r="J19" i="57"/>
  <c r="K19" i="57"/>
  <c r="L19" i="57"/>
  <c r="M19" i="57"/>
  <c r="D20" i="57"/>
  <c r="E20" i="57"/>
  <c r="F20" i="57"/>
  <c r="G20" i="57"/>
  <c r="H20" i="57"/>
  <c r="I20" i="57"/>
  <c r="J20" i="57"/>
  <c r="K20" i="57"/>
  <c r="L20" i="57"/>
  <c r="M20" i="57"/>
  <c r="D22" i="57"/>
  <c r="E22" i="57"/>
  <c r="F22" i="57"/>
  <c r="G22" i="57"/>
  <c r="H22" i="57"/>
  <c r="I22" i="57"/>
  <c r="J22" i="57"/>
  <c r="K22" i="57"/>
  <c r="L22" i="57"/>
  <c r="M22" i="57"/>
  <c r="D23" i="57"/>
  <c r="E23" i="57"/>
  <c r="F23" i="57"/>
  <c r="G23" i="57"/>
  <c r="H23" i="57"/>
  <c r="I23" i="57"/>
  <c r="J23" i="57"/>
  <c r="K23" i="57"/>
  <c r="L23" i="57"/>
  <c r="M23" i="57"/>
  <c r="D24" i="57"/>
  <c r="E24" i="57"/>
  <c r="F24" i="57"/>
  <c r="G24" i="57"/>
  <c r="H24" i="57"/>
  <c r="I24" i="57"/>
  <c r="J24" i="57"/>
  <c r="K24" i="57"/>
  <c r="L24" i="57"/>
  <c r="M24" i="57"/>
  <c r="D25" i="57"/>
  <c r="E25" i="57"/>
  <c r="F25" i="57"/>
  <c r="G25" i="57"/>
  <c r="H25" i="57"/>
  <c r="I25" i="57"/>
  <c r="J25" i="57"/>
  <c r="K25" i="57"/>
  <c r="L25" i="57"/>
  <c r="M25" i="57"/>
  <c r="D26" i="57"/>
  <c r="E26" i="57"/>
  <c r="F26" i="57"/>
  <c r="G26" i="57"/>
  <c r="H26" i="57"/>
  <c r="I26" i="57"/>
  <c r="J26" i="57"/>
  <c r="K26" i="57"/>
  <c r="L26" i="57"/>
  <c r="M26" i="57"/>
  <c r="D27" i="57"/>
  <c r="E27" i="57"/>
  <c r="F27" i="57"/>
  <c r="G27" i="57"/>
  <c r="H27" i="57"/>
  <c r="I27" i="57"/>
  <c r="J27" i="57"/>
  <c r="K27" i="57"/>
  <c r="L27" i="57"/>
  <c r="M27" i="5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50" authorId="0" shapeId="0" xr:uid="{411933E6-9342-C34D-87C6-A40CE17EC4FF}">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В СТО Газпром НЕТ?</t>
        </r>
      </text>
    </comment>
    <comment ref="D75" authorId="0" shapeId="0" xr:uid="{58667241-5886-F940-A088-AE432F6680CC}">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вводим 0.5 при двух станциях ПРИ К=2 ЛОГОРИФМ РАВЕН НУЛЮ, ВЗАИМОВЛИЯНТЕ ДОЛЖНО УВЕЛИЧИВАТЬ ЗАЩИТНУЮ ЗОНУ?
</t>
        </r>
        <r>
          <rPr>
            <sz val="10"/>
            <color rgb="FF000000"/>
            <rFont val="Tahoma"/>
            <family val="2"/>
            <charset val="204"/>
          </rPr>
          <t xml:space="preserve">ТОГДА К=1/2
</t>
        </r>
      </text>
    </comment>
    <comment ref="D82" authorId="0" shapeId="0" xr:uid="{85884CC5-18F1-924B-97EC-AD851C18FB2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При выборе типа преобразователя необходимо увеличить в 1,5 раза требуемую максимальную силу тока при прокладке трубопровода в грунтах высокой коррозионной агрессивности. (&lt; 20 Ом)
</t>
        </r>
      </text>
    </comment>
    <comment ref="D86" authorId="0" shapeId="0" xr:uid="{8BC813B4-DB07-0341-B47C-8940D0D1610E}">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D87" authorId="0" shapeId="0" xr:uid="{6748E810-B4A4-8E4C-9931-3B36D36DDDF7}">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Рекомендуется принимать номинальный ток защитной установки примерно вдвое большим, чем требуемый защитный ток по расчёту, чтобы обеспечить запас на возможное расширение системы. Это позволяет учесть возможное снижение сопротивления изоляции, увеличение блуждающих токов и другие изменения.
</t>
        </r>
      </text>
    </comment>
    <comment ref="D96" authorId="0" shapeId="0" xr:uid="{353B9A41-7F79-1749-AAD3-3B076663D218}">
      <text>
        <r>
          <rPr>
            <b/>
            <sz val="10"/>
            <color rgb="FF000000"/>
            <rFont val="Tahoma"/>
            <family val="2"/>
            <charset val="204"/>
          </rPr>
          <t>Microsoft Office User:</t>
        </r>
        <r>
          <rPr>
            <sz val="10"/>
            <color rgb="FF000000"/>
            <rFont val="Tahoma"/>
            <family val="2"/>
            <charset val="204"/>
          </rPr>
          <t xml:space="preserve">
</t>
        </r>
        <r>
          <rPr>
            <sz val="10"/>
            <color rgb="FF000000"/>
            <rFont val="+mn-lt"/>
            <charset val="1"/>
          </rPr>
          <t xml:space="preserve">Расстояние от подповерхностного АЗ до ближайшего защищаемого сооружения должно быть не менее 200 м. Для ГАЗ это расстояние должно быть не меньше 50 м. 
</t>
        </r>
      </text>
    </comment>
    <comment ref="D105" authorId="0" shapeId="0" xr:uid="{55B2F744-89DA-F24C-8943-0C171E0303C7}">
      <text>
        <r>
          <rPr>
            <b/>
            <sz val="10"/>
            <color rgb="FF000000"/>
            <rFont val="Tahoma"/>
            <family val="2"/>
            <charset val="204"/>
          </rPr>
          <t>Microsoft Office User:</t>
        </r>
        <r>
          <rPr>
            <sz val="10"/>
            <color rgb="FF000000"/>
            <rFont val="Tahoma"/>
            <family val="2"/>
            <charset val="204"/>
          </rPr>
          <t xml:space="preserve">
</t>
        </r>
        <r>
          <rPr>
            <sz val="18"/>
            <color rgb="FF000000"/>
            <rFont val="Calibri"/>
            <family val="2"/>
          </rPr>
          <t>Например, у сплава с 5% кремния удельное электрическое сопротивление достигает 0,7 мкОм·м</t>
        </r>
        <r>
          <rPr>
            <sz val="10"/>
            <color rgb="FF000000"/>
            <rFont val="Calibri"/>
            <family val="2"/>
          </rPr>
          <t xml:space="preserve">
</t>
        </r>
        <r>
          <rPr>
            <sz val="18"/>
            <color rgb="FF000000"/>
            <rFont val="Calibri"/>
            <family val="2"/>
          </rPr>
          <t xml:space="preserve">4,72 </t>
        </r>
        <r>
          <rPr>
            <sz val="18"/>
            <color rgb="FF000000"/>
            <rFont val="Calibri"/>
            <family val="2"/>
          </rPr>
          <t>×</t>
        </r>
        <r>
          <rPr>
            <sz val="18"/>
            <color rgb="FF000000"/>
            <rFont val="Calibri"/>
            <family val="2"/>
          </rPr>
          <t xml:space="preserve"> 10⁻⁷ Ом·м — удельное электрическое сопротивление железокремниевого сплава с содержанием кремния 3%</t>
        </r>
        <r>
          <rPr>
            <sz val="10"/>
            <color rgb="FF000000"/>
            <rFont val="Calibri"/>
            <family val="2"/>
          </rPr>
          <t xml:space="preserve">
</t>
        </r>
        <r>
          <rPr>
            <sz val="18"/>
            <color rgb="FF000000"/>
            <rFont val="Calibri"/>
            <family val="2"/>
          </rPr>
          <t>1·10−6 Ом·м = 1 мкОм·м</t>
        </r>
        <r>
          <rPr>
            <sz val="10"/>
            <color rgb="FF000000"/>
            <rFont val="Calibri"/>
            <family val="2"/>
          </rPr>
          <t xml:space="preserve">
</t>
        </r>
        <r>
          <rPr>
            <sz val="18"/>
            <color rgb="FF000000"/>
            <rFont val="Calibri"/>
            <family val="2"/>
          </rPr>
          <t>Единица измерения удельного сопротивления в Международной системе единиц (СИ) — </t>
        </r>
        <r>
          <rPr>
            <b/>
            <sz val="18"/>
            <color rgb="FF000000"/>
            <rFont val="Calibri"/>
            <family val="2"/>
          </rPr>
          <t>Ом·м</t>
        </r>
        <r>
          <rPr>
            <sz val="18"/>
            <color rgb="FF000000"/>
            <rFont val="Calibri"/>
            <family val="2"/>
          </rPr>
          <t>. В практических расчётах часто используют единицу </t>
        </r>
        <r>
          <rPr>
            <b/>
            <sz val="18"/>
            <color rgb="FF000000"/>
            <rFont val="Calibri"/>
            <family val="2"/>
          </rPr>
          <t>Ом·мм²/м</t>
        </r>
        <r>
          <rPr>
            <sz val="10"/>
            <color rgb="FF000000"/>
            <rFont val="Calibri"/>
            <family val="2"/>
          </rPr>
          <t xml:space="preserve">
</t>
        </r>
      </text>
    </comment>
    <comment ref="D106" authorId="0" shapeId="0" xr:uid="{4214E2B0-13EE-1342-B206-EE9503353E74}">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rPr>
          <t>Типовое значение удельного электрического сопротивления (УЭС) коксовой засыпки, применяемой для катодной защиты, лежит в диапазоне от 0.5 до 5.0 Ом·м.</t>
        </r>
        <r>
          <rPr>
            <sz val="10"/>
            <color rgb="FF000000"/>
            <rFont val="Calibri"/>
            <family val="2"/>
          </rPr>
          <t xml:space="preserve">
</t>
        </r>
      </text>
    </comment>
    <comment ref="D110" authorId="0" shapeId="0" xr:uid="{AB63C761-975C-804F-A70C-45A938BF270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коэффициент использования массы заземлителя (kи) принимают равным </t>
        </r>
        <r>
          <rPr>
            <b/>
            <sz val="10"/>
            <color rgb="FF000000"/>
            <rFont val="Calibri"/>
            <family val="2"/>
          </rPr>
          <t>0,77</t>
        </r>
        <r>
          <rPr>
            <sz val="10"/>
            <color rgb="FF000000"/>
            <rFont val="Calibri"/>
            <family val="2"/>
          </rPr>
          <t xml:space="preserve">.
</t>
        </r>
      </text>
    </comment>
    <comment ref="D113" authorId="0" shapeId="0" xr:uid="{2BCEB5A1-250D-B348-8EBB-3692488EC8A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D114" authorId="0" shapeId="0" xr:uid="{51708606-AC8B-3644-88A6-26CEF02F599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Начальное сопротивление растеканию тока АЗ не должно превышать величины Rз(t)  , Ом, вычисляемой, исходя из проектируемого срока службы анодных заземлителей</t>
        </r>
      </text>
    </comment>
    <comment ref="D121" authorId="0" shapeId="0" xr:uid="{6E9CD97D-5FB7-E64D-84F5-8250FF671EB7}">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Переходное сопротивление
</t>
        </r>
        <r>
          <rPr>
            <sz val="10"/>
            <color rgb="FF000000"/>
            <rFont val="Calibri"/>
            <family val="2"/>
          </rPr>
          <t xml:space="preserve">одного электрода заземления принимают равным величине его
</t>
        </r>
        <r>
          <rPr>
            <sz val="10"/>
            <color rgb="FF000000"/>
            <rFont val="Calibri"/>
            <family val="2"/>
          </rPr>
          <t xml:space="preserve">сопротивления растеканию тока. Переходное сопротивление протяженного
</t>
        </r>
        <r>
          <rPr>
            <sz val="10"/>
            <color rgb="FF000000"/>
            <rFont val="Calibri"/>
            <family val="2"/>
          </rPr>
          <t xml:space="preserve">анодного заземления принимают равным его входному сопротивлению
</t>
        </r>
      </text>
    </comment>
    <comment ref="D156" authorId="0" shapeId="0" xr:uid="{38C27070-6581-A049-9384-A147FC8E03CA}">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D157" authorId="0" shapeId="0" xr:uid="{AE4FFE74-D07B-BA4B-86A4-D2D70C14A1F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D158" authorId="0" shapeId="0" xr:uid="{7E1F36D4-7293-E74A-B860-54B7B4458351}">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D159" authorId="0" shapeId="0" xr:uid="{ADC4B538-DB14-C040-863D-F25BAF8346A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D160" authorId="0" shapeId="0" xr:uid="{1BDF4EDC-7A5E-1743-987C-D9A50B54B0C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D161" authorId="0" shapeId="0" xr:uid="{4A0B63F8-21B0-E040-8A21-7BE7D5C9AA56}">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D162" authorId="0" shapeId="0" xr:uid="{1E354F33-0188-4B40-8FAB-F9858FA3637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D163" authorId="0" shapeId="0" xr:uid="{E575760F-1E40-B34F-AE3F-B76E48C605F3}">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D164" authorId="0" shapeId="0" xr:uid="{BD9EC2AD-2648-4649-977F-55EF4BEF6DD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D165" authorId="0" shapeId="0" xr:uid="{93C98D66-C161-A94B-B41C-91900203102B}">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D166" authorId="0" shapeId="0" xr:uid="{A256984B-A6B8-2E40-A248-1B7CE8D55496}">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D167" authorId="0" shapeId="0" xr:uid="{5B7FA960-BA47-1849-A017-FDA3F1CE900D}">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D168" authorId="0" shapeId="0" xr:uid="{EB96EFD4-886D-CC44-B330-FE8A5DAD9D0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D171" authorId="0" shapeId="0" xr:uid="{90E3451B-1394-2D4B-BD01-6CEC62D86AC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D174" authorId="0" shapeId="0" xr:uid="{BF752DAD-90D8-E644-9028-312B975F37D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3" authorId="0" shapeId="0" xr:uid="{FD907787-617F-5642-B92A-5A776324EEB8}">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H3" authorId="0" shapeId="0" xr:uid="{AF2E1024-3390-4745-A0B4-B497CB33D39C}">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N3" authorId="0" shapeId="0" xr:uid="{ACA307BC-60CA-6844-A31E-77961CCCB97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T3" authorId="0" shapeId="0" xr:uid="{1C81BF49-37F6-FB42-9182-7018E9CD188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Z3" authorId="0" shapeId="0" xr:uid="{EFAAE163-FDBA-AE41-94A2-DBF627EEDC24}">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F3" authorId="0" shapeId="0" xr:uid="{81296F48-BB46-1041-9ED3-4A62173C4C09}">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L3" authorId="0" shapeId="0" xr:uid="{699A30BF-CAB3-B844-AF17-ABDEEC83A5B0}">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R3" authorId="0" shapeId="0" xr:uid="{DF4635EC-EA8B-A449-83F6-8041D82A4658}">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X3" authorId="0" shapeId="0" xr:uid="{7AEF3429-58F5-7E43-AAE2-B740C31DA13E}">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D3" authorId="0" shapeId="0" xr:uid="{4B0CF0EF-C7E6-8746-AED1-A130BAD7DF1F}">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J3" authorId="0" shapeId="0" xr:uid="{B06B2569-0B75-C64A-BA67-BB3D1C087630}">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Q5" authorId="0" shapeId="0" xr:uid="{FF6B9C1A-50EA-6843-BD56-FF35AA659848}">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BR5" authorId="0" shapeId="0" xr:uid="{6827989C-E6E1-4541-BF23-7C796080D930}">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BV5" authorId="0" shapeId="0" xr:uid="{A77BE7C5-1531-F040-90B9-4FF8E04FA14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BW5" authorId="0" shapeId="0" xr:uid="{C0CA5A6C-3C17-EB45-93C4-351E0E4004CE}">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BZ5" authorId="0" shapeId="0" xr:uid="{EF3945A5-5350-9445-96AD-95A15BD42E5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A5" authorId="0" shapeId="0" xr:uid="{5FB24287-FFF6-C84B-B51D-DE36E8B0ED9D}">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D5" authorId="0" shapeId="0" xr:uid="{26EFF780-F6DA-E24A-82C0-18970B55378D}">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E5" authorId="0" shapeId="0" xr:uid="{BD176D1B-C22D-9043-9BD3-8CFF26EB081D}">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H5" authorId="0" shapeId="0" xr:uid="{BB4E9AF2-E4CF-6C4B-B475-8E727F4FA844}">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I5" authorId="0" shapeId="0" xr:uid="{1AB788F7-CB3C-0844-AA5E-EE2BEA638C3B}">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L5" authorId="0" shapeId="0" xr:uid="{5D6D2E96-2B47-3F4C-A131-79342C03BC17}">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M5" authorId="0" shapeId="0" xr:uid="{2819FC57-899B-8A40-B71A-65F180F4491C}">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P5" authorId="0" shapeId="0" xr:uid="{9FF10655-7F9D-4944-9D59-AC6A1AE79659}">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Q5" authorId="0" shapeId="0" xr:uid="{1BE5BCA7-E3C9-7547-BAB6-03C3B4E47069}">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T5" authorId="0" shapeId="0" xr:uid="{39140504-B158-7B44-89F9-9204158EC8E3}">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U5" authorId="0" shapeId="0" xr:uid="{7B324F3B-A111-AF4F-B605-CE69329BCB4D}">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X5" authorId="0" shapeId="0" xr:uid="{B3846B09-9156-C14D-AA66-26BE0EDE7940}">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Y5" authorId="0" shapeId="0" xr:uid="{0E2D8EA6-AAB3-6748-9AAF-384BB1813D61}">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B5" authorId="0" shapeId="0" xr:uid="{DD71C392-8602-2F4E-B8DF-0A2FF25492EE}">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C5" authorId="0" shapeId="0" xr:uid="{CB695D96-1D5F-9043-9D38-804C481F6B8F}">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F5" authorId="0" shapeId="0" xr:uid="{6C0B43A9-46E6-C94B-9DF5-069733573B64}">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G5" authorId="0" shapeId="0" xr:uid="{BC0036F0-43FE-6D46-9647-9DEFFC1549EC}">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J5" authorId="0" shapeId="0" xr:uid="{7571084F-2D5C-D84E-AD1C-CCA4169D1161}">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T5" authorId="0" shapeId="0" xr:uid="{2779EF63-780A-2D4A-B9D3-6D12271F4712}">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4" authorId="0" shapeId="0" xr:uid="{BF835FC7-3618-5D44-AF93-A4C71D525A7D}">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D7" authorId="0" shapeId="0" xr:uid="{7D99CCB8-1CB5-C94C-B933-0B0929B99E44}">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Выбор диаметра из СТО Газпром 9.2-003-2020, Таблица Б
</t>
        </r>
        <r>
          <rPr>
            <sz val="10"/>
            <color rgb="FF000000"/>
            <rFont val="Calibri"/>
            <family val="2"/>
          </rPr>
          <t xml:space="preserve">
</t>
        </r>
        <r>
          <rPr>
            <sz val="10"/>
            <color rgb="FF000000"/>
            <rFont val="Tahoma"/>
            <family val="2"/>
            <charset val="204"/>
          </rPr>
          <t xml:space="preserve">
</t>
        </r>
      </text>
    </comment>
    <comment ref="D8" authorId="0" shapeId="0" xr:uid="{4325BABD-C856-F743-9108-44068FEE8F0A}">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Выбор толщины из СТО Газпром 9.2-003-2020</t>
        </r>
      </text>
    </comment>
    <comment ref="C13" authorId="0" shapeId="0" xr:uid="{A33ADB31-D0E5-9A4A-802D-C6AE08A1E1B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Коэффициент разных типов покрытий:
</t>
        </r>
        <r>
          <rPr>
            <sz val="10"/>
            <color rgb="FF000000"/>
            <rFont val="Tahoma"/>
            <family val="2"/>
            <charset val="204"/>
          </rPr>
          <t xml:space="preserve">трёх- и двухслойное полимерное на основе термореактивных смол и полиолефина, на основе термоусаживающихся материалов — 0.055;
</t>
        </r>
        <r>
          <rPr>
            <sz val="10"/>
            <color rgb="FF000000"/>
            <rFont val="Tahoma"/>
            <family val="2"/>
            <charset val="204"/>
          </rPr>
          <t xml:space="preserve">все остальные усиленного типа — 0.08;
</t>
        </r>
        <r>
          <rPr>
            <sz val="10"/>
            <color rgb="FF000000"/>
            <rFont val="Tahoma"/>
            <family val="2"/>
            <charset val="204"/>
          </rPr>
          <t xml:space="preserve">мастичные, полимерно-битумные и все нормального типа — 0.11.
</t>
        </r>
        <r>
          <rPr>
            <sz val="10"/>
            <color rgb="FF000000"/>
            <rFont val="Tahoma"/>
            <family val="2"/>
            <charset val="204"/>
          </rPr>
          <t xml:space="preserve">
</t>
        </r>
        <r>
          <rPr>
            <sz val="10"/>
            <color rgb="FF000000"/>
            <rFont val="Calibri"/>
            <family val="2"/>
          </rPr>
          <t>Коэффициент </t>
        </r>
        <r>
          <rPr>
            <i/>
            <sz val="10"/>
            <color rgb="FF000000"/>
            <rFont val="Calibri"/>
            <family val="2"/>
          </rPr>
          <t>γ</t>
        </r>
        <r>
          <rPr>
            <sz val="10"/>
            <color rgb="FF000000"/>
            <rFont val="Calibri"/>
            <family val="2"/>
          </rPr>
          <t> не универсален: для полимерных покрытий в слабоагрессивных грунтах он может быть 0,05–0,07 1/год, а для мастичных покрытий в агрессивных средах — до 0,12–0,15 1/год</t>
        </r>
      </text>
    </comment>
    <comment ref="C23" authorId="0" shapeId="0" xr:uid="{F89488D1-B9E7-0249-BCA4-8E82BC131A33}">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Для участков с неоднородным покрытием или разными грунтами расчёт ведут по зонам, а итоговую длину защитной зоны определяют по наихудшему (минимальному) Rп
</t>
        </r>
      </text>
    </comment>
    <comment ref="C25" authorId="0" shapeId="0" xr:uid="{EDF2F64A-4508-034D-9491-4F8CFE9BCF02}">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rPr>
          <t>Почему именно минимальное?</t>
        </r>
        <r>
          <rPr>
            <sz val="10"/>
            <color rgb="FF000000"/>
            <rFont val="Calibri"/>
            <family val="2"/>
          </rPr>
          <t> Потому что зона с наименьшим Rп</t>
        </r>
        <r>
          <rPr>
            <i/>
            <sz val="10"/>
            <color rgb="FF000000"/>
            <rFont val="Calibri"/>
            <family val="2"/>
          </rPr>
          <t>R</t>
        </r>
        <r>
          <rPr>
            <sz val="10"/>
            <color rgb="FF000000"/>
            <rFont val="Calibri"/>
            <family val="2"/>
          </rPr>
          <t>п​ — это «слабое звено»: в ней ток сильнее стекает в грунт, быстрее падает защитный потенциал, и именно она лимитирует длину защитной зоны. Если рассчитывать по среднему или по «лучшей» зоне, можно недооценить затухание тока и получить завышенную длину защитной зоны — а это риск недозащиты</t>
        </r>
      </text>
    </comment>
    <comment ref="B28" authorId="0" shapeId="0" xr:uid="{F7B182C7-4A92-D740-BDD7-B2EA4402EEEA}">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формула через проводимости</t>
        </r>
        <r>
          <rPr>
            <sz val="10"/>
            <color rgb="FF000000"/>
            <rFont val="Calibri"/>
            <family val="2"/>
            <scheme val="minor"/>
          </rPr>
          <t> при количестве плеч более двух: Это физически корректно и согласуется с формулами (6.14) и (6.16) СТО Газпром 9.2‑003‑2020</t>
        </r>
      </text>
    </comment>
    <comment ref="D29" authorId="0" shapeId="0" xr:uid="{E5D8A47A-FD05-C048-B41F-8575A4FF0A02}">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В </t>
        </r>
        <r>
          <rPr>
            <b/>
            <sz val="10"/>
            <color rgb="FF000000"/>
            <rFont val="Calibri"/>
            <family val="2"/>
          </rPr>
          <t>СТО Газпром 9.2-003-2020</t>
        </r>
        <r>
          <rPr>
            <sz val="10"/>
            <color rgb="FF000000"/>
            <rFont val="Calibri"/>
            <family val="2"/>
          </rPr>
          <t> формулы для Zвх (входного сопротивления трубопровода) нумеруются как </t>
        </r>
        <r>
          <rPr>
            <b/>
            <sz val="10"/>
            <color rgb="FF000000"/>
            <rFont val="Calibri"/>
            <family val="2"/>
          </rPr>
          <t>(6.14)</t>
        </r>
        <r>
          <rPr>
            <sz val="10"/>
            <color rgb="FF000000"/>
            <rFont val="Calibri"/>
            <family val="2"/>
          </rPr>
          <t> и </t>
        </r>
        <r>
          <rPr>
            <b/>
            <sz val="10"/>
            <color rgb="FF000000"/>
            <rFont val="Calibri"/>
            <family val="2"/>
          </rPr>
          <t>(6.16)</t>
        </r>
        <r>
          <rPr>
            <sz val="10"/>
            <color rgb="FF000000"/>
            <rFont val="Calibri"/>
            <family val="2"/>
          </rPr>
          <t xml:space="preserve">. Они не используют напрямую гиперболический котангенс (cth), а рассчитываются через параллельное соединение сопротивлений правого и левого плеча. </t>
        </r>
        <r>
          <rPr>
            <sz val="10"/>
            <color rgb="FF000000"/>
            <rFont val="Tahoma"/>
            <family val="2"/>
            <charset val="204"/>
          </rPr>
          <t>Результат используется на листе Anod Calculatic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1" authorId="0" shapeId="0" xr:uid="{C384B0AC-150D-C54D-A8FF-7626F5A8F24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
</t>
        </r>
        <r>
          <rPr>
            <sz val="10"/>
            <color rgb="FF000000"/>
            <rFont val="Tahoma"/>
            <family val="2"/>
            <charset val="204"/>
          </rPr>
          <t xml:space="preserve">6.2.1 На основании рассчитанных электрических параметров трубопровода определяют количество УКЗ, их электрические параметры, количество и тип анодных заземлителей, удаление АЗ от защищаемых объектов.
</t>
        </r>
        <r>
          <rPr>
            <sz val="10"/>
            <color rgb="FF000000"/>
            <rFont val="Tahoma"/>
            <family val="2"/>
            <charset val="204"/>
          </rPr>
          <t xml:space="preserve">6.2.2 Основными параметрами УКЗ являются сила тока и длина защитной зоны, создаваемая этой установкой. При расчете необходимо учитывать изменение переходного сопротивления во времени. Расчет выполняют на начальный и конечный срок службы УКЗ.
</t>
        </r>
        <r>
          <rPr>
            <sz val="10"/>
            <color rgb="FF000000"/>
            <rFont val="Tahoma"/>
            <family val="2"/>
            <charset val="204"/>
          </rPr>
          <t>6.2.3 Расчет параметров УКЗ сводится к определению их количества и мощности. Количество УКЗ определяется длиной защитной зоны, мощность УКЗ зависит, как правило, от требуемого защитного тока и сопротивления АЗ.</t>
        </r>
      </text>
    </comment>
    <comment ref="C2" authorId="0" shapeId="0" xr:uid="{23DEFC67-65FE-6445-BF2D-6998E9E92CD9}">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3" authorId="0" shapeId="0" xr:uid="{F83F040C-6B2A-D541-8C68-93BEAB96CD27}">
      <text>
        <r>
          <rPr>
            <b/>
            <sz val="10"/>
            <color rgb="FF000000"/>
            <rFont val="Tahoma"/>
            <family val="2"/>
            <charset val="204"/>
          </rPr>
          <t xml:space="preserve">Microsoft Office User:
</t>
        </r>
        <r>
          <rPr>
            <sz val="10"/>
            <color rgb="FF000000"/>
            <rFont val="Calibri"/>
            <family val="2"/>
          </rPr>
          <t xml:space="preserve">от -0.9 до -1.15 
</t>
        </r>
        <r>
          <rPr>
            <sz val="10"/>
            <color rgb="FF000000"/>
            <rFont val="Tahoma"/>
            <family val="2"/>
            <charset val="204"/>
          </rPr>
          <t xml:space="preserve">ГОСТ Р 51164-98 Трубопроводы стальные магистральные. Общие требования к защите от коррозии, </t>
        </r>
        <r>
          <rPr>
            <sz val="10"/>
            <color rgb="FF000000"/>
            <rFont val="Calibri"/>
            <family val="2"/>
          </rPr>
          <t>Таблица 4</t>
        </r>
        <r>
          <rPr>
            <sz val="10"/>
            <color rgb="FF000000"/>
            <rFont val="Tahoma"/>
            <family val="2"/>
            <charset val="204"/>
          </rPr>
          <t xml:space="preserve"> </t>
        </r>
      </text>
    </comment>
    <comment ref="C4" authorId="0" shapeId="0" xr:uid="{789ADB18-5963-9A41-836D-A2A58213AF11}">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от -1.1 до -3.5 
</t>
        </r>
        <r>
          <rPr>
            <sz val="10"/>
            <color rgb="FF000000"/>
            <rFont val="Tahoma"/>
            <family val="2"/>
            <charset val="204"/>
          </rPr>
          <t xml:space="preserve">ГОСТ Р 51164-98 Трубопроводы стальные магистральные. Общие требования к защите от коррозии, Таблица 5
</t>
        </r>
      </text>
    </comment>
    <comment ref="C5" authorId="0" shapeId="0" xr:uid="{9726532C-62E3-5149-B58B-0690D5D7611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Естественный потенциал трубопровода обычно находится в пределах </t>
        </r>
        <r>
          <rPr>
            <b/>
            <sz val="10"/>
            <color rgb="FF000000"/>
            <rFont val="Calibri"/>
            <family val="2"/>
          </rPr>
          <t>-0,23–0,72 В</t>
        </r>
        <r>
          <rPr>
            <sz val="10"/>
            <color rgb="FF000000"/>
            <rFont val="Calibri"/>
            <family val="2"/>
          </rPr>
          <t> по медно-сульфатному электроду сравнения. В расчётах параметров катодной защиты принимается равным </t>
        </r>
        <r>
          <rPr>
            <b/>
            <sz val="10"/>
            <color rgb="FF000000"/>
            <rFont val="Calibri"/>
            <family val="2"/>
          </rPr>
          <t>-0,55 В</t>
        </r>
      </text>
    </comment>
    <comment ref="C6" authorId="0" shapeId="0" xr:uid="{92784687-4E0F-2A4F-ADBF-EFCD3C4681D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вводим 0.5 при наличии соседней станции на трубопроводе для учета перекрытия защитных зон
</t>
        </r>
        <r>
          <rPr>
            <sz val="10"/>
            <color rgb="FF000000"/>
            <rFont val="Tahoma"/>
            <family val="2"/>
            <charset val="204"/>
          </rPr>
          <t xml:space="preserve"> </t>
        </r>
        <r>
          <rPr>
            <b/>
            <sz val="10"/>
            <color rgb="FF000000"/>
            <rFont val="Calibri"/>
            <family val="2"/>
          </rPr>
          <t>Коэффициент k</t>
        </r>
        <r>
          <rPr>
            <b/>
            <i/>
            <sz val="10"/>
            <color rgb="FF000000"/>
            <rFont val="Calibri"/>
            <family val="2"/>
          </rPr>
          <t xml:space="preserve"> 
</t>
        </r>
        <r>
          <rPr>
            <b/>
            <sz val="10"/>
            <color rgb="FF000000"/>
            <rFont val="Calibri"/>
            <family val="2"/>
          </rPr>
          <t>в знаменателе под логарифмом</t>
        </r>
        <r>
          <rPr>
            <sz val="10"/>
            <color rgb="FF000000"/>
            <rFont val="Calibri"/>
            <family val="2"/>
          </rPr>
          <t xml:space="preserve"> уменьшает аргумент логарифма и, соответственно, расчётную длину защитной зоны — это учитывает взаимное экранирование токов при работе УКЗ в группе.
</t>
        </r>
      </text>
    </comment>
    <comment ref="C9" authorId="0" shapeId="0" xr:uid="{B9EA5E62-6EC0-004A-91FE-B5DE3C93DEF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При выборе типа преобразователя необходимо увеличить в 1,5 раза требуемую максимальную силу тока при прокладке трубопровода в грунтах высокой коррозионной агрессивности. (&lt; 20 Ом)
</t>
        </r>
      </text>
    </comment>
    <comment ref="D10" authorId="0" shapeId="0" xr:uid="{DB5257B7-AB4A-D94B-9BAD-79B1A1D85631}">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Для меди округленно 0.000000018 Ом*м
</t>
        </r>
      </text>
    </comment>
    <comment ref="E10" authorId="0" shapeId="0" xr:uid="{2C896D56-1753-D749-B42F-B9EE2C86F512}">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Для меди округленно 0.000000018 Ом*м
</t>
        </r>
      </text>
    </comment>
    <comment ref="F10" authorId="0" shapeId="0" xr:uid="{B6DF248F-7725-9442-8E4D-F98D4B92F3C1}">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Для меди округленно 0.000000018 Ом*м
</t>
        </r>
      </text>
    </comment>
    <comment ref="G10" authorId="0" shapeId="0" xr:uid="{8781B98F-6B68-F044-B32F-EF370D3D633B}">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Для меди округленно 0.000000018 Ом*м
</t>
        </r>
      </text>
    </comment>
    <comment ref="H10" authorId="0" shapeId="0" xr:uid="{8ACAA894-C6DE-C447-8293-4207D0B358E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Для меди округленно 0.000000018 Ом*м
</t>
        </r>
      </text>
    </comment>
    <comment ref="I10" authorId="0" shapeId="0" xr:uid="{A88707B9-C3C6-E34A-A51B-DBEBB4CBA149}">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Для меди округленно 0.000000018 Ом*м
</t>
        </r>
      </text>
    </comment>
    <comment ref="J10" authorId="0" shapeId="0" xr:uid="{D99D881F-923F-C248-85E1-FC7F00AF5EA3}">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Для меди округленно 0.000000018 Ом*м
</t>
        </r>
      </text>
    </comment>
    <comment ref="K10" authorId="0" shapeId="0" xr:uid="{40D0F2C5-471F-A646-8257-35C2FBFEF55D}">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Для меди округленно 0.000000018 Ом*м
</t>
        </r>
      </text>
    </comment>
    <comment ref="L10" authorId="0" shapeId="0" xr:uid="{0C4FC756-CE2B-1E46-B0A0-3B9841F6D850}">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Для меди округленно 0.000000018 Ом</t>
        </r>
        <r>
          <rPr>
            <sz val="10"/>
            <color rgb="FF000000"/>
            <rFont val="Tahoma"/>
            <family val="2"/>
            <charset val="204"/>
          </rPr>
          <t>*</t>
        </r>
        <r>
          <rPr>
            <sz val="10"/>
            <color rgb="FF000000"/>
            <rFont val="Tahoma"/>
            <family val="2"/>
            <charset val="204"/>
          </rPr>
          <t xml:space="preserve">м
</t>
        </r>
      </text>
    </comment>
    <comment ref="M10" authorId="0" shapeId="0" xr:uid="{4FFEDFE6-7F8A-124F-B90C-3E2B0C6295F2}">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Для меди округленно 0.000000018 Ом</t>
        </r>
        <r>
          <rPr>
            <sz val="10"/>
            <color rgb="FF000000"/>
            <rFont val="Tahoma"/>
            <family val="2"/>
            <charset val="204"/>
          </rPr>
          <t>*</t>
        </r>
        <r>
          <rPr>
            <sz val="10"/>
            <color rgb="FF000000"/>
            <rFont val="Tahoma"/>
            <family val="2"/>
            <charset val="204"/>
          </rPr>
          <t xml:space="preserve">м
</t>
        </r>
      </text>
    </comment>
    <comment ref="C13" authorId="0" shapeId="0" xr:uid="{56414AEA-E3DF-1E41-A0A4-37F995C234EE}">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включая спуски провода с опор</t>
        </r>
      </text>
    </comment>
    <comment ref="C15" authorId="0" shapeId="0" xr:uid="{964707D4-EDF8-0646-AC51-9C2DA3296CF0}">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29" authorId="0" shapeId="0" xr:uid="{13DB9E7F-6DCC-3D4E-A40D-6D5279D4E30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Рекомендуется принимать номинальный ток защитной установки примерно вдвое большим, чем требуемый защитный ток по расчёту, чтобы обеспечить запас на возможное расширение системы. Это позволяет учесть возможное снижение сопротивления изоляции, увеличение блуждающих токов и другие изменения.
</t>
        </r>
      </text>
    </comment>
    <comment ref="C57" authorId="0" shapeId="0" xr:uid="{A966F94A-DB90-9048-89DD-EAC0FBFAE2AC}">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75" authorId="0" shapeId="0" xr:uid="{8883FD1D-4997-0B4F-A37E-34D370257EA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для исключения взаимного негативного влияния (т.н. экранирования), расстояние между электродами подповерхностных АЗ предусмотреть не менее трех длин электродов</t>
        </r>
      </text>
    </comment>
    <comment ref="C100" authorId="0" shapeId="0" xr:uid="{E86779C5-5A1B-9646-A88E-5E234DA1369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1" authorId="0" shapeId="0" xr:uid="{32C152A7-DBEC-684F-AE3E-1BFBCAE40BE1}">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2" authorId="0" shapeId="0" xr:uid="{7A30DFB4-1ABB-B841-96DD-60741A13F9F4}">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3" authorId="0" shapeId="0" xr:uid="{CECEE6E9-CDDE-F946-A914-D6E0FD632252}">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4" authorId="0" shapeId="0" xr:uid="{48738ADD-74D5-3748-A87D-09072D62F442}">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5" authorId="0" shapeId="0" xr:uid="{C41C66F2-B625-314C-B1DC-7EBC162A3EA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6" authorId="0" shapeId="0" xr:uid="{72ED3A72-286A-B940-9670-7321EE4312F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7" authorId="0" shapeId="0" xr:uid="{0657240A-2FB9-B247-B03A-DD93A8B5862F}">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8" authorId="0" shapeId="0" xr:uid="{90435D57-AE3A-D94E-A19C-E67A23192756}">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9" authorId="0" shapeId="0" xr:uid="{18F533E1-37CD-4148-B45D-15315BF824CB}">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10" authorId="0" shapeId="0" xr:uid="{68DFD850-E4AC-2049-95E7-3DA85788582B}">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1" authorId="0" shapeId="0" xr:uid="{95D1CF10-4C36-824E-ADF0-7F7551E91BB1}">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2" authorId="0" shapeId="0" xr:uid="{E2E2DD07-8562-324F-BD5C-EE6A4B032082}">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5" authorId="0" shapeId="0" xr:uid="{32DC3B3E-DBAD-484A-9FFB-1F84A709252A}">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8" authorId="0" shapeId="0" xr:uid="{77BCE37B-628D-D744-A309-9B26D6EB060F}">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User</author>
  </authors>
  <commentList>
    <comment ref="E2" authorId="0" shapeId="0" xr:uid="{0EE0A54B-9849-964F-99BA-445823147F08}">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(без электропроводящей засыпки, кабеля и герметизирующих/изолирующих материалов)</t>
        </r>
      </text>
    </comment>
    <comment ref="F2" authorId="0" shapeId="0" xr:uid="{9B056C06-1568-4F43-907B-1A18D343848B}">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 (с кабелем присоединения длиной 2 м),</t>
        </r>
      </text>
    </comment>
    <comment ref="AJ3" authorId="1" shapeId="0" xr:uid="{DA877C5A-CFDA-2D40-8F79-ED80E5BFF46A}">
      <text>
        <r>
          <rPr>
            <b/>
            <sz val="9"/>
            <color rgb="FF000000"/>
            <rFont val="Tahoma"/>
            <family val="2"/>
          </rPr>
          <t>Длина по заказу</t>
        </r>
      </text>
    </comment>
    <comment ref="AL3" authorId="1" shapeId="0" xr:uid="{D47B06B9-5102-C445-A5FA-DF31DC1214C9}">
      <text>
        <r>
          <rPr>
            <b/>
            <sz val="9"/>
            <color rgb="FF000000"/>
            <rFont val="Tahoma"/>
            <family val="2"/>
          </rPr>
          <t>Длина по заказу</t>
        </r>
      </text>
    </comment>
    <comment ref="AJ4" authorId="1" shapeId="0" xr:uid="{62B7E920-DB88-7B48-9870-B68E80A9E905}">
      <text>
        <r>
          <rPr>
            <b/>
            <sz val="9"/>
            <color rgb="FF000000"/>
            <rFont val="Tahoma"/>
            <family val="2"/>
          </rPr>
          <t>Длина по заказу</t>
        </r>
      </text>
    </comment>
    <comment ref="AL4" authorId="1" shapeId="0" xr:uid="{5E6F2A88-3EFC-2245-95FC-90223067117D}">
      <text>
        <r>
          <rPr>
            <b/>
            <sz val="9"/>
            <color rgb="FF000000"/>
            <rFont val="Tahoma"/>
            <family val="2"/>
          </rPr>
          <t>Длина по заказу</t>
        </r>
      </text>
    </comment>
    <comment ref="AQ4" authorId="0" shapeId="0" xr:uid="{F77E4B7E-E4C4-B042-8DD8-A2EB9BEA2DC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Взял из протокола испытаний</t>
        </r>
      </text>
    </comment>
    <comment ref="AW4" authorId="0" shapeId="0" xr:uid="{4A41FCB1-4DDC-3E4D-81DC-0599906DCBCF}">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Для протяжённого анодного заземлителя с титановой проволокой и ММО-покрытием </t>
        </r>
        <r>
          <rPr>
            <b/>
            <sz val="10"/>
            <color rgb="FF000000"/>
            <rFont val="Calibri"/>
            <family val="2"/>
          </rPr>
          <t>рабочая (номинальная) удельная токовая нагрузка обычно составляет 100–2000 А/м²</t>
        </r>
      </text>
    </comment>
    <comment ref="AJ5" authorId="1" shapeId="0" xr:uid="{C1C1A182-4F9D-7942-8A82-C3E2920E770C}">
      <text>
        <r>
          <rPr>
            <b/>
            <sz val="9"/>
            <color rgb="FF000000"/>
            <rFont val="Tahoma"/>
            <family val="2"/>
            <charset val="204"/>
          </rPr>
          <t>Длина по заказу</t>
        </r>
        <r>
          <rPr>
            <sz val="9"/>
            <color rgb="FF000000"/>
            <rFont val="Tahoma"/>
            <family val="2"/>
            <charset val="204"/>
          </rPr>
          <t xml:space="preserve">
</t>
        </r>
      </text>
    </comment>
    <comment ref="AL5" authorId="1" shapeId="0" xr:uid="{0D76B417-C684-5F42-AC8C-164C6C056CC9}">
      <text>
        <r>
          <rPr>
            <b/>
            <sz val="9"/>
            <color rgb="FF000000"/>
            <rFont val="Tahoma"/>
            <family val="2"/>
            <charset val="204"/>
          </rPr>
          <t xml:space="preserve">Длина по заказу
</t>
        </r>
      </text>
    </comment>
    <comment ref="AJ6" authorId="1" shapeId="0" xr:uid="{B5501A62-45D6-AC42-B566-041479279823}">
      <text>
        <r>
          <rPr>
            <b/>
            <sz val="9"/>
            <color rgb="FF000000"/>
            <rFont val="Tahoma"/>
            <family val="2"/>
            <charset val="204"/>
          </rPr>
          <t>Длина по заказу</t>
        </r>
      </text>
    </comment>
    <comment ref="AL6" authorId="1" shapeId="0" xr:uid="{76030000-E2B8-4A40-9749-312DF8B8CE67}">
      <text>
        <r>
          <rPr>
            <b/>
            <sz val="9"/>
            <color rgb="FF000000"/>
            <rFont val="Tahoma"/>
            <family val="2"/>
            <charset val="204"/>
          </rPr>
          <t xml:space="preserve">Длина по заказу
</t>
        </r>
        <r>
          <rPr>
            <sz val="9"/>
            <color rgb="FF000000"/>
            <rFont val="Tahoma"/>
            <family val="2"/>
            <charset val="204"/>
          </rPr>
          <t xml:space="preserve">
</t>
        </r>
      </text>
    </comment>
    <comment ref="AJ7" authorId="1" shapeId="0" xr:uid="{39E6F054-9775-734B-984E-1574841A4D29}">
      <text>
        <r>
          <rPr>
            <sz val="9"/>
            <color indexed="81"/>
            <rFont val="Tahoma"/>
            <family val="2"/>
            <charset val="204"/>
          </rPr>
          <t xml:space="preserve">Длина по заказу
</t>
        </r>
      </text>
    </comment>
    <comment ref="AL7" authorId="1" shapeId="0" xr:uid="{3B31859A-2617-584D-BFA9-041B9EC67FE1}">
      <text>
        <r>
          <rPr>
            <b/>
            <sz val="9"/>
            <color rgb="FF000000"/>
            <rFont val="Tahoma"/>
            <family val="2"/>
            <charset val="204"/>
          </rPr>
          <t xml:space="preserve">Длина по заказу
</t>
        </r>
        <r>
          <rPr>
            <sz val="9"/>
            <color rgb="FF000000"/>
            <rFont val="Tahoma"/>
            <family val="2"/>
            <charset val="204"/>
          </rPr>
          <t xml:space="preserve">
</t>
        </r>
      </text>
    </comment>
    <comment ref="AJ8" authorId="1" shapeId="0" xr:uid="{E52BDAF5-AB69-7240-8EDA-C9F23B8BC145}">
      <text>
        <r>
          <rPr>
            <b/>
            <sz val="9"/>
            <color rgb="FF000000"/>
            <rFont val="Tahoma"/>
            <family val="2"/>
            <charset val="204"/>
          </rPr>
          <t>Длина по заказу</t>
        </r>
        <r>
          <rPr>
            <sz val="9"/>
            <color rgb="FF000000"/>
            <rFont val="Tahoma"/>
            <family val="2"/>
            <charset val="204"/>
          </rPr>
          <t xml:space="preserve">
</t>
        </r>
      </text>
    </comment>
    <comment ref="AL8" authorId="1" shapeId="0" xr:uid="{DD176CFA-96B2-784A-87A9-238BB921FA94}">
      <text>
        <r>
          <rPr>
            <b/>
            <sz val="9"/>
            <color rgb="FF000000"/>
            <rFont val="Tahoma"/>
            <family val="2"/>
            <charset val="204"/>
          </rPr>
          <t xml:space="preserve">Длина по заказу
</t>
        </r>
        <r>
          <rPr>
            <sz val="9"/>
            <color rgb="FF000000"/>
            <rFont val="Tahoma"/>
            <family val="2"/>
            <charset val="204"/>
          </rPr>
          <t xml:space="preserve">
</t>
        </r>
      </text>
    </comment>
    <comment ref="AJ9" authorId="1" shapeId="0" xr:uid="{1FE8BE70-BDBD-B64B-B130-C46078DF1ADE}">
      <text>
        <r>
          <rPr>
            <b/>
            <sz val="9"/>
            <color rgb="FF000000"/>
            <rFont val="Tahoma"/>
            <family val="2"/>
            <charset val="204"/>
          </rPr>
          <t xml:space="preserve">Длина по заказу
</t>
        </r>
        <r>
          <rPr>
            <sz val="9"/>
            <color rgb="FF000000"/>
            <rFont val="Tahoma"/>
            <family val="2"/>
            <charset val="204"/>
          </rPr>
          <t xml:space="preserve">
</t>
        </r>
      </text>
    </comment>
    <comment ref="AL9" authorId="1" shapeId="0" xr:uid="{40394E1E-F5B6-4C43-A9C1-BE107025BD41}">
      <text>
        <r>
          <rPr>
            <b/>
            <sz val="9"/>
            <color rgb="FF000000"/>
            <rFont val="Tahoma"/>
            <family val="2"/>
            <charset val="204"/>
          </rPr>
          <t xml:space="preserve">Длина по заказу
</t>
        </r>
      </text>
    </comment>
    <comment ref="AJ10" authorId="1" shapeId="0" xr:uid="{8FE20C85-6F78-3A4B-8FFA-42B23D463BA5}">
      <text>
        <r>
          <rPr>
            <b/>
            <sz val="9"/>
            <color rgb="FF000000"/>
            <rFont val="Tahoma"/>
            <family val="2"/>
            <charset val="204"/>
          </rPr>
          <t>Длина по заказу</t>
        </r>
        <r>
          <rPr>
            <sz val="9"/>
            <color rgb="FF000000"/>
            <rFont val="Tahoma"/>
            <family val="2"/>
            <charset val="204"/>
          </rPr>
          <t xml:space="preserve">
</t>
        </r>
      </text>
    </comment>
    <comment ref="AL10" authorId="1" shapeId="0" xr:uid="{FC91C1DA-A143-BC4E-B1D9-FB42678426C9}">
      <text>
        <r>
          <rPr>
            <b/>
            <sz val="9"/>
            <color rgb="FF000000"/>
            <rFont val="Tahoma"/>
            <family val="2"/>
            <charset val="204"/>
          </rPr>
          <t xml:space="preserve">Длина по заказу
</t>
        </r>
      </text>
    </comment>
    <comment ref="AW19" authorId="0" shapeId="0" xr:uid="{A4F3D39C-5AC7-CC45-88E7-B6E4C0BE7DAB}">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rPr>
          <t>90–200 А/м²</t>
        </r>
        <r>
          <rPr>
            <sz val="10"/>
            <color rgb="FF000000"/>
            <rFont val="Calibri"/>
            <family val="2"/>
          </rPr>
          <t> как рабочая; предельная (кратковременная) может достигать </t>
        </r>
        <r>
          <rPr>
            <b/>
            <sz val="10"/>
            <color rgb="FF000000"/>
            <rFont val="Calibri"/>
            <family val="2"/>
          </rPr>
          <t>до 500 А/м²</t>
        </r>
        <r>
          <rPr>
            <sz val="10"/>
            <color rgb="FF000000"/>
            <rFont val="Calibri"/>
            <family val="2"/>
          </rPr>
          <t> dzen.ru +2.</t>
        </r>
      </text>
    </comment>
    <comment ref="AW20" authorId="0" shapeId="0" xr:uid="{24247601-33BB-1B41-949B-A53F9EC09117}">
      <text>
        <r>
          <rPr>
            <b/>
            <sz val="10"/>
            <color rgb="FF000000"/>
            <rFont val="Tahoma"/>
            <family val="2"/>
            <charset val="204"/>
          </rPr>
          <t>Microsoft Office User:</t>
        </r>
        <r>
          <rPr>
            <sz val="10"/>
            <color rgb="FF000000"/>
            <rFont val="Tahoma"/>
            <family val="2"/>
            <charset val="204"/>
          </rPr>
          <t xml:space="preserve">
</t>
        </r>
        <r>
          <rPr>
            <sz val="10"/>
            <color rgb="FF000000"/>
            <rFont val="Calibri"/>
            <family val="2"/>
            <scheme val="minor"/>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scheme val="minor"/>
          </rPr>
          <t>90–200 А/м²</t>
        </r>
        <r>
          <rPr>
            <sz val="10"/>
            <color rgb="FF000000"/>
            <rFont val="Calibri"/>
            <family val="2"/>
            <scheme val="minor"/>
          </rPr>
          <t> как рабочая; предельная (кратковременная) может достигать </t>
        </r>
        <r>
          <rPr>
            <b/>
            <sz val="10"/>
            <color rgb="FF000000"/>
            <rFont val="Calibri"/>
            <family val="2"/>
            <scheme val="minor"/>
          </rPr>
          <t>до 500 А/м²</t>
        </r>
        <r>
          <rPr>
            <sz val="10"/>
            <color rgb="FF000000"/>
            <rFont val="Calibri"/>
            <family val="2"/>
            <scheme val="minor"/>
          </rPr>
          <t> </t>
        </r>
        <r>
          <rPr>
            <sz val="10"/>
            <color rgb="FF000000"/>
            <rFont val="Calibri"/>
            <family val="2"/>
            <scheme val="minor"/>
          </rPr>
          <t>dzen.ru +2</t>
        </r>
        <r>
          <rPr>
            <sz val="10"/>
            <color rgb="FF000000"/>
            <rFont val="Calibri"/>
            <family val="2"/>
            <scheme val="minor"/>
          </rPr>
          <t>.</t>
        </r>
      </text>
    </comment>
    <comment ref="AW21" authorId="0" shapeId="0" xr:uid="{C72BF17C-1F55-7E46-8655-D96F1C7AF076}">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rPr>
          <t>90–200 А/м²</t>
        </r>
        <r>
          <rPr>
            <sz val="10"/>
            <color rgb="FF000000"/>
            <rFont val="Calibri"/>
            <family val="2"/>
          </rPr>
          <t> как рабочая; предельная (кратковременная) может достигать </t>
        </r>
        <r>
          <rPr>
            <b/>
            <sz val="10"/>
            <color rgb="FF000000"/>
            <rFont val="Calibri"/>
            <family val="2"/>
          </rPr>
          <t>до 500 А/м²</t>
        </r>
        <r>
          <rPr>
            <sz val="10"/>
            <color rgb="FF000000"/>
            <rFont val="Calibri"/>
            <family val="2"/>
          </rPr>
          <t> dzen.ru +2.</t>
        </r>
      </text>
    </comment>
    <comment ref="AW22" authorId="0" shapeId="0" xr:uid="{0EFBFA97-088A-B843-B4C4-4B80018817BB}">
      <text>
        <r>
          <rPr>
            <b/>
            <sz val="10"/>
            <color rgb="FF000000"/>
            <rFont val="Tahoma"/>
            <family val="2"/>
            <charset val="204"/>
          </rPr>
          <t>Microsoft Office User:</t>
        </r>
        <r>
          <rPr>
            <sz val="10"/>
            <color rgb="FF000000"/>
            <rFont val="Tahoma"/>
            <family val="2"/>
            <charset val="204"/>
          </rPr>
          <t xml:space="preserve">
</t>
        </r>
        <r>
          <rPr>
            <sz val="10"/>
            <color rgb="FF000000"/>
            <rFont val="Calibri"/>
            <family val="2"/>
            <scheme val="minor"/>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scheme val="minor"/>
          </rPr>
          <t>90–200 А/м²</t>
        </r>
        <r>
          <rPr>
            <sz val="10"/>
            <color rgb="FF000000"/>
            <rFont val="Calibri"/>
            <family val="2"/>
            <scheme val="minor"/>
          </rPr>
          <t> как рабочая; предельная (кратковременная) может достигать </t>
        </r>
        <r>
          <rPr>
            <b/>
            <sz val="10"/>
            <color rgb="FF000000"/>
            <rFont val="Calibri"/>
            <family val="2"/>
            <scheme val="minor"/>
          </rPr>
          <t>до 500 А/м²</t>
        </r>
        <r>
          <rPr>
            <sz val="10"/>
            <color rgb="FF000000"/>
            <rFont val="Calibri"/>
            <family val="2"/>
            <scheme val="minor"/>
          </rPr>
          <t> </t>
        </r>
        <r>
          <rPr>
            <sz val="10"/>
            <color rgb="FF000000"/>
            <rFont val="Calibri"/>
            <family val="2"/>
            <scheme val="minor"/>
          </rPr>
          <t>dzen.ru +2</t>
        </r>
        <r>
          <rPr>
            <sz val="10"/>
            <color rgb="FF000000"/>
            <rFont val="Calibri"/>
            <family val="2"/>
            <scheme val="minor"/>
          </rPr>
          <t>.</t>
        </r>
      </text>
    </comment>
    <comment ref="AW27" authorId="0" shapeId="0" xr:uid="{FA7D9FD1-2343-114F-90B4-5A596DF878DD}">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 ref="AW29" authorId="0" shapeId="0" xr:uid="{BF54AD4A-F608-5641-BF59-D717B43D403B}">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 ref="AW31" authorId="0" shapeId="0" xr:uid="{DBBDF011-4A4B-9941-B3C0-91381DDA5ECA}">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 ref="AW33" authorId="0" shapeId="0" xr:uid="{28A5392D-8DCF-BB4E-AF43-1115BCC0C73B}">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<sst xmlns="http://schemas.openxmlformats.org/spreadsheetml/2006/main" count="3287" uniqueCount="1432">
  <si>
    <t>Примечание</t>
  </si>
  <si>
    <t>№ п/п</t>
  </si>
  <si>
    <t>L</t>
  </si>
  <si>
    <t>y</t>
  </si>
  <si>
    <t>Наименование</t>
  </si>
  <si>
    <t xml:space="preserve">Таблица 6.1 - Сопротивление защитного покрытия строящихся и реконструируемых трубопроводов </t>
  </si>
  <si>
    <t>Тип защитного покрытия</t>
  </si>
  <si>
    <t>Наружные защитные покрытия трубопроводов заводского нанесения и покрытия трассового нанесения для изоляции монтажных стыков труб</t>
  </si>
  <si>
    <t>Все остальные покрытия трассового нанесения</t>
  </si>
  <si>
    <t xml:space="preserve">Таблица 6.2 - Удельное электрическое сопротивление различных марок трубной стали </t>
  </si>
  <si>
    <t>Марка трубной стали</t>
  </si>
  <si>
    <t>Удельное электрическое сопротивление трубной стали, Ом·м</t>
  </si>
  <si>
    <t>15ГСТЮ</t>
  </si>
  <si>
    <t>Данные о марке стали отсутствуют</t>
  </si>
  <si>
    <t>yc</t>
  </si>
  <si>
    <t>Sпр</t>
  </si>
  <si>
    <t>n</t>
  </si>
  <si>
    <t>kг</t>
  </si>
  <si>
    <t>ρкз</t>
  </si>
  <si>
    <t>dз</t>
  </si>
  <si>
    <t>li</t>
  </si>
  <si>
    <t>АВО - аппарат воздушного охлаждения;</t>
  </si>
  <si>
    <t>АЗ - анодное заземление;</t>
  </si>
  <si>
    <t xml:space="preserve">АПЭ - автоматический поляризующий элемент; </t>
  </si>
  <si>
    <t xml:space="preserve">ВКО - зона высокой коррозионной опасности; </t>
  </si>
  <si>
    <t>ВЛ - воздушная линия;</t>
  </si>
  <si>
    <t>ВЭИ - вставка электроизолирующая;</t>
  </si>
  <si>
    <t>ГАЗ - глубинное анодное заземление;</t>
  </si>
  <si>
    <t>ГИС - газоизмерительная станция;</t>
  </si>
  <si>
    <t>ГРП - газораспределительный пункт;</t>
  </si>
  <si>
    <t>ГРС - газораспределительная станция;</t>
  </si>
  <si>
    <t>ДКМ - дистанционный коррозионный мониторинг; ДКС - дожимная компрессорная станция;</t>
  </si>
  <si>
    <t>КИП - контрольно-измерительный пункт;</t>
  </si>
  <si>
    <t>КС - компрессорная станция;</t>
  </si>
  <si>
    <t>КЦ - компрессорный цех;</t>
  </si>
  <si>
    <t>ЛЭП - линия электропередачи;</t>
  </si>
  <si>
    <t>НС - насосная станция;</t>
  </si>
  <si>
    <t>ПУ - пылеуловитель;</t>
  </si>
  <si>
    <t>ПХГ - подземное хранилище газа;</t>
  </si>
  <si>
    <t>СКЗ - станция катодной защиты;</t>
  </si>
  <si>
    <t>СОГ - станция охлаждения газа;</t>
  </si>
  <si>
    <t>УДЗ - установка дренажной защиты;</t>
  </si>
  <si>
    <t>УЗТ - устройство защиты трубопровода;</t>
  </si>
  <si>
    <t>УКЗ - установка катодной защиты;</t>
  </si>
  <si>
    <t>УКПГ - установка комплексной подготовки газа; УКПН - установка комплексной подготовки нефти; УКСК - устройство контроля скорости коррозии;</t>
  </si>
  <si>
    <t>УПЗ - установка протекторной защиты;</t>
  </si>
  <si>
    <t>УППГ - установка предварительной подготовки газа; ШРП - шкафной распределительный пункт;</t>
  </si>
  <si>
    <t>ЭДС - электродвижущая сила;</t>
  </si>
  <si>
    <t xml:space="preserve">ЭХЗ - электрохимическая защита. </t>
  </si>
  <si>
    <t xml:space="preserve">сокращения: </t>
  </si>
  <si>
    <t>Расстояние, м</t>
  </si>
  <si>
    <t>До 500</t>
  </si>
  <si>
    <t>0,90</t>
  </si>
  <si>
    <t>От 500 до 1000</t>
  </si>
  <si>
    <t>0,70</t>
  </si>
  <si>
    <t>0,60</t>
  </si>
  <si>
    <t>Количество параллельных трубопроводов</t>
  </si>
  <si>
    <t xml:space="preserve">Величина коэффициента </t>
  </si>
  <si>
    <t>0,75</t>
  </si>
  <si>
    <t>0,85</t>
  </si>
  <si>
    <t>0,93</t>
  </si>
  <si>
    <t>0,97</t>
  </si>
  <si>
    <t>Более 4</t>
  </si>
  <si>
    <t>1,00</t>
  </si>
  <si>
    <t>Таблица 6.3 - Значение коэффициентов К1 и К2</t>
  </si>
  <si>
    <t>К1</t>
  </si>
  <si>
    <t>К2</t>
  </si>
  <si>
    <t>Таблица 6.4 - Значение коэффициента К3</t>
  </si>
  <si>
    <t>Длина кабеля, м</t>
  </si>
  <si>
    <t>200 В</t>
  </si>
  <si>
    <t>500 В</t>
  </si>
  <si>
    <t>1000 В</t>
  </si>
  <si>
    <t>2000 В</t>
  </si>
  <si>
    <t>Между отсасывающим пунктом железной дороги и трубопроводом при подключении к минусовой шине тяговой подстанции</t>
  </si>
  <si>
    <t>Между трубопроводом и электрифицированной железной дорогой при подключении к средней точке путевого дросселя</t>
  </si>
  <si>
    <t>-</t>
  </si>
  <si>
    <t>Таблица 6.5 - Допустимые значения падения напряжения в дренажном кабеле</t>
  </si>
  <si>
    <t>Наименование защищаемого объекта</t>
  </si>
  <si>
    <t>Удельное электрическое сопротивление грунта, Ом·м</t>
  </si>
  <si>
    <t>Наличие блуждающих токов</t>
  </si>
  <si>
    <t>Защитная плотность тока, мА/м</t>
  </si>
  <si>
    <t>&lt;300</t>
  </si>
  <si>
    <t>Имеются</t>
  </si>
  <si>
    <t>Не имеются</t>
  </si>
  <si>
    <t>&gt;300</t>
  </si>
  <si>
    <t>Не влияет</t>
  </si>
  <si>
    <t>Подземный трубопровод (стальная емкость)</t>
  </si>
  <si>
    <t>&lt;301</t>
  </si>
  <si>
    <t>&gt;301</t>
  </si>
  <si>
    <t>Опорная конструкция (стальная свая)</t>
  </si>
  <si>
    <t>Фундаментное основание (железобетон)</t>
  </si>
  <si>
    <t>Таблица 7.1 - Защитная плотность тока подземных сооружений промышленных площадок</t>
  </si>
  <si>
    <t>Таблица Б.1 - Значения продольного сопротивления трубопровода Rт при толщине стенки трубы от 4 до 9.5 мм при условии, что  2.454E-7  Ом·м, t=20°C</t>
  </si>
  <si>
    <t>Таблица Б.2 - Значения продольного сопротивления трубопровода Rт при толщине стенки трубы от 10 до 20 мм при условии, что  2.454E-7  Ом·м, t=20°C</t>
  </si>
  <si>
    <t>17ГС</t>
  </si>
  <si>
    <t>17Г2СФ</t>
  </si>
  <si>
    <t>08Г2СФ</t>
  </si>
  <si>
    <t>18Г2</t>
  </si>
  <si>
    <t>18Г2САФ</t>
  </si>
  <si>
    <t>18ХГ2САФ</t>
  </si>
  <si>
    <t>Диаметр трубы Dт, м / Толщина стенки трубы 𝛿т , м</t>
  </si>
  <si>
    <t>СТ3</t>
  </si>
  <si>
    <t>𝛿тi</t>
  </si>
  <si>
    <t>#</t>
  </si>
  <si>
    <t xml:space="preserve">6.1.3.1 </t>
  </si>
  <si>
    <t>6.1.3.4</t>
  </si>
  <si>
    <t>6.1.3.3</t>
  </si>
  <si>
    <t>6.1.3.5</t>
  </si>
  <si>
    <t>6.1.3.6</t>
  </si>
  <si>
    <t>6.1.4</t>
  </si>
  <si>
    <t>Начальное сопротивление защитного покрытия уложенного в траншею и засыпанного трубопровода Rиз0  , Ом·м2</t>
  </si>
  <si>
    <t>6.1.6</t>
  </si>
  <si>
    <t>6.1.7</t>
  </si>
  <si>
    <t>Координата измерения, км</t>
  </si>
  <si>
    <t>Удельное сопротивление грунта, Ом·м</t>
  </si>
  <si>
    <t>Пример придумал сам</t>
  </si>
  <si>
    <t>Длина участка, м</t>
  </si>
  <si>
    <t>Импорт из 2 Приложение 20 (грунты) ГОТОВО, лист:  Приложение Грунты</t>
  </si>
  <si>
    <t>Импорт из 2 Приложение 20 (грунты) ГОТОВО, лист:  Приложение Грунты (2)</t>
  </si>
  <si>
    <t>Кол. Замеров</t>
  </si>
  <si>
    <t>Uo</t>
  </si>
  <si>
    <t>Uм</t>
  </si>
  <si>
    <t>Uе</t>
  </si>
  <si>
    <t>6.2.8</t>
  </si>
  <si>
    <t>ρ</t>
  </si>
  <si>
    <t>6.2.5</t>
  </si>
  <si>
    <t>6.2.4</t>
  </si>
  <si>
    <t xml:space="preserve">Определение параметров установок катодной защиты </t>
  </si>
  <si>
    <t>6.2.6</t>
  </si>
  <si>
    <t>6.2.7</t>
  </si>
  <si>
    <t>6.2.9</t>
  </si>
  <si>
    <t>6.2.10</t>
  </si>
  <si>
    <t xml:space="preserve">6.3.2	</t>
  </si>
  <si>
    <t>ГАЗ</t>
  </si>
  <si>
    <t>6.3.4</t>
  </si>
  <si>
    <t>6.3.5</t>
  </si>
  <si>
    <t>6.3.7.1</t>
  </si>
  <si>
    <t>lэ</t>
  </si>
  <si>
    <t>lа</t>
  </si>
  <si>
    <t>Средняя толщина стенки левого плеча трубы 𝛿т.ср, м</t>
  </si>
  <si>
    <t>Средняя толщина стенки правого плеча трубы 𝛿т.ср, м</t>
  </si>
  <si>
    <t>6.2</t>
  </si>
  <si>
    <t>Импорт из 2 Приложение 20 (грунты) ГОТОВО, лист:  Приложение Грунты плюс Приложение Грунты (2)</t>
  </si>
  <si>
    <t>СТО Газпром 9.2-003-2020</t>
  </si>
  <si>
    <t>Количество установок катодной защиты необходимое для защиты трубы длиной L</t>
  </si>
  <si>
    <t>Сила тока  катодной установки на заданный срок эксплуатации t (год)</t>
  </si>
  <si>
    <t>Напряжение на выходе катодной установки на заданный срок эксплуатации t (год)</t>
  </si>
  <si>
    <t>Мощность катодной установки на заданный срок эксплуатации t (год)</t>
  </si>
  <si>
    <t xml:space="preserve">Увеличить силу тока при прокладке трубопровода в грунтах высокой коррозионной агрессивности. </t>
  </si>
  <si>
    <t>Сопротивление дренажной линии соединяющей катодную станцию с трубопроводом и анодным заземлением</t>
  </si>
  <si>
    <t>Входное сопротивление трубопровода прогноз изменения за срок эксплуатации t</t>
  </si>
  <si>
    <t>Uукз</t>
  </si>
  <si>
    <t>Iукз</t>
  </si>
  <si>
    <t>ПДВ-0,6 кВт.</t>
  </si>
  <si>
    <t>ПДВ-1,2 кВт.</t>
  </si>
  <si>
    <t>ПДВ-3,0 кВт.</t>
  </si>
  <si>
    <t>В-ОПЕ-3-25-24-У1 (0,6 кВт.)</t>
  </si>
  <si>
    <t>В-ОПЕ-3-42-24-У1 (1,0 кВт.)</t>
  </si>
  <si>
    <t>В-ОПЕ-3-42-48-У1 (2,0 кВт.)</t>
  </si>
  <si>
    <t>В-ОПЕ-3-63-48-У1 (3,0 кВт.)</t>
  </si>
  <si>
    <t>ПКЗ-АР-0,6</t>
  </si>
  <si>
    <t>ПКЗ-АР-1</t>
  </si>
  <si>
    <t>ПКЗ-АР-2</t>
  </si>
  <si>
    <t>ПКЗ-АР-3</t>
  </si>
  <si>
    <t>ПКЗ-АР-4</t>
  </si>
  <si>
    <t>ПКЗ-АР-5</t>
  </si>
  <si>
    <t>ПКЗ-АР-Т-0,3-У1</t>
  </si>
  <si>
    <t>ПКЗ-АР-Т-0,6-У1</t>
  </si>
  <si>
    <t>ПКЗ-АР-Т-1-У1</t>
  </si>
  <si>
    <t>ПКЗ-АР-Т-2-У1</t>
  </si>
  <si>
    <t>ПКЗ-АР-Т-3-У1</t>
  </si>
  <si>
    <t>ПКЗ-АР-Т-4-У1</t>
  </si>
  <si>
    <t>ПКЗ-АР-Т-5-У1</t>
  </si>
  <si>
    <t>ПКЗ-АР-Е-0.3-У1</t>
  </si>
  <si>
    <t>ПКЗ-АР-Е-0.6-У1</t>
  </si>
  <si>
    <t>ПКЗ-АР-Е-1-У1</t>
  </si>
  <si>
    <t>ПКЗ-АР-Е-2-У1</t>
  </si>
  <si>
    <t>ПКЗ-АР-Е-3-У1</t>
  </si>
  <si>
    <t>ПКЗ-АР-Е-4-У1</t>
  </si>
  <si>
    <t>ПКЗ-АР-Е-5-У1(БМ-1.25)</t>
  </si>
  <si>
    <t>ПКЗ-АР-Е-Т-0.3-У1</t>
  </si>
  <si>
    <t>ПКЗ-АР-Е-Т-0.6-У1</t>
  </si>
  <si>
    <t>ПКЗ-АР-Е-Т-1-У1</t>
  </si>
  <si>
    <t>ПКЗ-АР-Е-Т-2-У1</t>
  </si>
  <si>
    <t>ПКЗ-АР-Е-Т-3-У1</t>
  </si>
  <si>
    <t>ПКЗ-АР-Е-Т-4-У1</t>
  </si>
  <si>
    <t>ПКЗ-АР-Е-Т-5-У1(БМ-1.25)</t>
  </si>
  <si>
    <t>ПКЗ-АР-Е-Р-0.3-У1</t>
  </si>
  <si>
    <t>ПКЗ-АР-Е-Р-0.6-У1</t>
  </si>
  <si>
    <t>ПКЗ-АР-Е-Р-1-У1</t>
  </si>
  <si>
    <t>ПКЗ-АР-Е-Р-2-У1</t>
  </si>
  <si>
    <t>ПКЗ-АР-Е-Р-3-У1</t>
  </si>
  <si>
    <t>ПКЗ-АР-Е-Р-4-У1</t>
  </si>
  <si>
    <t>ПКЗ-АР-Е-Р-5-У1(БМ-1.25)</t>
  </si>
  <si>
    <t>ПКЗ-АР-Е-Р-Т-0.3-У1</t>
  </si>
  <si>
    <t>ПКЗ-АР-Е-Р-Т-0.6-У1</t>
  </si>
  <si>
    <t>ПКЗ-АР-Е-Р-Т-1-У1</t>
  </si>
  <si>
    <t>ПКЗ-АР-Е-Р-Т-2-У1</t>
  </si>
  <si>
    <t>ПКЗ-АР-Е-Р-Т-3-У1</t>
  </si>
  <si>
    <t>ПКЗ-АР-Е-Р-Т-4-У1</t>
  </si>
  <si>
    <t>ПКЗ-АР-Е-Р-Т-5-У1(БМ-1.25)</t>
  </si>
  <si>
    <t>ПКЗ-АР-Е2-0,3-У1</t>
  </si>
  <si>
    <t>ПКЗ-АР-Е2-0,6-У1</t>
  </si>
  <si>
    <t>ПКЗ-АР-Е2-1-У1</t>
  </si>
  <si>
    <t>ПКЗ-АР-Е2-2-У1</t>
  </si>
  <si>
    <t>ПКЗ-АР-Е2-3-У1</t>
  </si>
  <si>
    <t>ПКЗ-АР-Е2-4-У1</t>
  </si>
  <si>
    <t>ПКЗ-АР-Е2-5-У1(БМ-1.25)</t>
  </si>
  <si>
    <t>ПКЗ-АР-Е2-5-У1(БМ-1.0)</t>
  </si>
  <si>
    <t>ПКЗ-АР-Е2-Т-0,3-У1</t>
  </si>
  <si>
    <t>ПКЗ-АР-Е2-Т-0,6-У1</t>
  </si>
  <si>
    <t>ПКЗ-АР-Е2-Т-1-У1</t>
  </si>
  <si>
    <t>ПКЗ-АР-Е2-Т-2-У1</t>
  </si>
  <si>
    <t>ПКЗ-АР-Е2-Т-3-У1</t>
  </si>
  <si>
    <t>ПКЗ-АР-Е2-Т-4-У1</t>
  </si>
  <si>
    <t>ПКЗ-АР-Е2-Т-5-У1(БМ-1.25)</t>
  </si>
  <si>
    <t>ПКЗ-АР-Е2-Р-0.3-У1</t>
  </si>
  <si>
    <t>ПКЗ-АР-Е2-Р-0.6-У1</t>
  </si>
  <si>
    <t>ПКЗ-АР-Е2-Р-1-У1</t>
  </si>
  <si>
    <t>ПКЗ-АР-Е2-Р-2-У1</t>
  </si>
  <si>
    <t>ПКЗ-АР-Е2-Р-4-У1</t>
  </si>
  <si>
    <t>ПКЗ-АР-Е2-Р-5-У1(БМ-1.25)</t>
  </si>
  <si>
    <t>ПКЗ-АР-Е2-Р-5-У1(БМ-1.0)</t>
  </si>
  <si>
    <t>ПКЗ-АР-Е2-Р-Т-0.3-У1</t>
  </si>
  <si>
    <t>ПКЗ-АР-Е2-Р-Т-0.6-У1</t>
  </si>
  <si>
    <t>ПКЗ-АР-Е2-Р-Т-1-У1</t>
  </si>
  <si>
    <t>ПКЗ-АР-Е2-Р-Т-2-У1</t>
  </si>
  <si>
    <t>ПКЗ-АР-Е2-Р-Т-3-У1</t>
  </si>
  <si>
    <t>ПКЗ-АР-Е2-Р-Т-4-У1</t>
  </si>
  <si>
    <t>ПКЗ-АР-Е2-Р-Т-5-У1(БМ-1.25)</t>
  </si>
  <si>
    <t>ПКЗ-АР-Е2-Р-Т-5-У1(БМ-1.0)</t>
  </si>
  <si>
    <t>КСЭР-02Т-0,6</t>
  </si>
  <si>
    <t>КСЭР-02Т-1,2</t>
  </si>
  <si>
    <t>КСЭР-02Т-1,6</t>
  </si>
  <si>
    <t>КСЭР-02Т-2,0</t>
  </si>
  <si>
    <t>КСЭР-02Т-3,0</t>
  </si>
  <si>
    <t>КСЭР-02Т-4,0</t>
  </si>
  <si>
    <t>КСЭР-02Т-5,0</t>
  </si>
  <si>
    <t>КСЭР-ВТ-0,6</t>
  </si>
  <si>
    <t>КСЭР-ВТ-1,2</t>
  </si>
  <si>
    <t>КСЭР-ВТ-1,6</t>
  </si>
  <si>
    <t>КСЭР-ВТ-2,0</t>
  </si>
  <si>
    <t>КСЭР-ВТ-3,0</t>
  </si>
  <si>
    <t>КСЭР-ВТ-4,0</t>
  </si>
  <si>
    <t>КСЭР-ВТ-5,0</t>
  </si>
  <si>
    <t>КСЭР-02ВС-0,6</t>
  </si>
  <si>
    <t>КСЭР-02ВС-1,2</t>
  </si>
  <si>
    <t>КСЭР-02ВС-1,6</t>
  </si>
  <si>
    <t>КСЭР-02ВС-2,0</t>
  </si>
  <si>
    <t>КСЭР-02ВС-3,0</t>
  </si>
  <si>
    <t>КСЭР-02ВС-4,0</t>
  </si>
  <si>
    <t>КСЭР-02ВС-5,0</t>
  </si>
  <si>
    <t>КСЭР-ВС-0,6</t>
  </si>
  <si>
    <t>КСЭР-ВС-1,2</t>
  </si>
  <si>
    <t>КСЭР-ВС-1,6</t>
  </si>
  <si>
    <t>КСЭР-ВС-2,0</t>
  </si>
  <si>
    <t>КСЭР-ВС-3,0</t>
  </si>
  <si>
    <t>КСЭР-ВС-4,0</t>
  </si>
  <si>
    <t>КСЭР-ВС-5,0</t>
  </si>
  <si>
    <t>КСЭР-ВЧ-1,2</t>
  </si>
  <si>
    <t>КСЭР-ВЧ-1,6</t>
  </si>
  <si>
    <t>КСЭР-ВЧ-2,0</t>
  </si>
  <si>
    <t>КСЭР-ВЧ-3,0</t>
  </si>
  <si>
    <t>КСЭР-02-ВЧ-1,2</t>
  </si>
  <si>
    <t>КСЭР-02-ВЧ-1,6</t>
  </si>
  <si>
    <t>КСЭР-02-ВЧ-2,0</t>
  </si>
  <si>
    <t>КСЭР-02-ВЧ-3,0</t>
  </si>
  <si>
    <t>КСЭР-(6-10),УКЗВ</t>
  </si>
  <si>
    <t>УКЗТ-1 ОПЕ 0,3У1 (0,3 кВт.)</t>
  </si>
  <si>
    <t>УКЗТ-1 ОПЕ 0,6У1 (0,6 кВт.)</t>
  </si>
  <si>
    <t>УКЗТ-1 ОПЕ 1,2У1 (1,2 кВт.)</t>
  </si>
  <si>
    <t>УКЗТ-1 ОПЕ 2,0У1 (2,0 кВт.)</t>
  </si>
  <si>
    <t>УКЗТ-1 ОПЕ 3,0У1 (3,0 кВт.)</t>
  </si>
  <si>
    <t>УКЗТ-1 ОПЕ 5,0У1 (5,0 кВт.)</t>
  </si>
  <si>
    <t>УКЗТ-1У ОПЕ 0,3 У1 (0,3 кВт.)</t>
  </si>
  <si>
    <t>УКЗТ-1У ОПЕ 0,6 У1 (0,6 кВт.)</t>
  </si>
  <si>
    <t>УКЗТ-1У ОПЕ 1,2 У1 (1,2 кВт.)</t>
  </si>
  <si>
    <t>УКЗТ-1У ОПЕ 2,0 У1 (2,0 кВт.)</t>
  </si>
  <si>
    <t>УКЗТ-1У ОПЕ 3,0 У1 (3,0 кВт.)</t>
  </si>
  <si>
    <t>УКЗТ-1У ОПЕ 5,0 У1 (5,0 кВт.)</t>
  </si>
  <si>
    <t>УКЗТ-А ОПЕ 0,3У1 (0,3 кВт.)</t>
  </si>
  <si>
    <t>УКЗТ-А ОПЕ 0,6У1 (0,6 кВт.)</t>
  </si>
  <si>
    <t>УКЗТ-А ОПЕ 1,2У1 (1,2 кВт.)</t>
  </si>
  <si>
    <t>УКЗТ-А ОПЕ 2,0У1 (2,0 кВт.)</t>
  </si>
  <si>
    <t>УКЗТ-А ОПЕ 3,0У1 (3,0 кВт.)</t>
  </si>
  <si>
    <t>УКЗТ-А ОПЕ 5,0У1 (5,0 кВт.)</t>
  </si>
  <si>
    <t>УКЗТ-АУ ОПЕ 0,3 У1 (0,3 кВт.)</t>
  </si>
  <si>
    <t>УКЗТ-АУ ОПЕ 0,6 У1 (0,6 кВт.)</t>
  </si>
  <si>
    <t>УКЗТ-АУ ОПЕ 1,2 У1 (1,2 кВт.)</t>
  </si>
  <si>
    <t>УКЗТ-АУ ОПЕ 2,0 У1 (2,0 кВт.)</t>
  </si>
  <si>
    <t>УКЗТ-АУ ОПЕ 3,0 У1 (3,0 кВт.)</t>
  </si>
  <si>
    <t>УКЗТ-АУ ОПЕ 5,0 У1 (5,0 кВт.)</t>
  </si>
  <si>
    <t>УКЗТ-АУ ОПЕ ТМ-GSM 0,3 У1 (0,3 кВА)</t>
  </si>
  <si>
    <t>УКЗТ-АУ ОПЕ ТМ-GSM 0,6 У1 (0,6 кВА)</t>
  </si>
  <si>
    <t>УКЗТ-АУ ОПЕ ТМ -GSM 1,2 У1 (1,2 кВА)</t>
  </si>
  <si>
    <t>УКЗТ-АУ ОПЕ ТМ -GSM 2,0 У1 (2,0 кВА)</t>
  </si>
  <si>
    <t>УКЗТ-АУ ОПЕ ТМ -GSM 3,0 У1 (3,0 кВА)</t>
  </si>
  <si>
    <t>УКЗТ-АУ ОПЕ ТМ-GSM 5,0 У1 (5,0 кВА)</t>
  </si>
  <si>
    <t>УКЗТ-А ОПЕ ТМ-GSM 0,3 У1 (0,3 кВА)</t>
  </si>
  <si>
    <t>УКЗТ-А ОПЕ ТМ-GSM 0,6 У1 (0,6 кВА)</t>
  </si>
  <si>
    <t>УКЗТ-А ОПЕ ТМ-GSM 1,2 У1 (1,2 кВА)</t>
  </si>
  <si>
    <t>УКЗТ-А ОПЕ ТМ-GSM 2,0 У1 (2,0 кВА)</t>
  </si>
  <si>
    <t>УКЗТ-А ОПЕ ТМ-GSM 3,0 У1 (3,0 кВА)</t>
  </si>
  <si>
    <t>УКЗТ-А ОПЕ ТМ-GSM 5,0 У1 (5,0 кВА)</t>
  </si>
  <si>
    <t>УКЗТ-АУ ОПЕ ТМ-GSM 0.3 У1 "ПС" "ПТ"</t>
  </si>
  <si>
    <t>УКЗТ-АУ ОПЕ ТМ-GSM 0.6 У1 "ПС" "ПТ"</t>
  </si>
  <si>
    <t>УКЗТ-АУ ОПЕ ТМ-GSM 1.2 У1 "ПС" "ПТ"</t>
  </si>
  <si>
    <t>УКЗТ-АУ ОПЕ ТМ-GSM 2.0 У1 "ПС" "ПТ"</t>
  </si>
  <si>
    <t>УКЗТ-АУ ОПЕ ТМ-GSM 3.0 У1 "ПС" "ПТ"</t>
  </si>
  <si>
    <t>УКЗТ-АУ ОПЕ ТМ-GSM 5.0 У1 "ПС" "ПТ"</t>
  </si>
  <si>
    <t>УКЗТ-АУ ОПЕ ТМ-GSM 0.3 У1 "Гибрид"</t>
  </si>
  <si>
    <t>УКЗТ-АУ ОПЕ ТМ-GSM 0.6 У1 "Гибрид"</t>
  </si>
  <si>
    <t>УКЗТ-АУ ОПЕ ТМ-GSM 1.2 У1 "Гибрид"</t>
  </si>
  <si>
    <t>УКЗТ-АУ ОПЕ ТМ-GSM 2.0 У1 "Гибрид"</t>
  </si>
  <si>
    <t>УКЗТ-АУ ОПЕ ТМ-GSM 3.0 У1 "Гибрид"</t>
  </si>
  <si>
    <t>УКЗТ-АУ ОПЕ ТМ-GSM 5.0 У1 "Гибрид"</t>
  </si>
  <si>
    <t>УКЗТ-АУ ОПЕ МК 0.6х2 У1 (2х0.6кВа)</t>
  </si>
  <si>
    <t>УКЗТ-АУ ОПЕ МК 0.6х3 У1 (3х0.6кВа)</t>
  </si>
  <si>
    <t>УКЗТ-АУ ОПЕ МК 0.6х4 У1 (4х0.6кВа)</t>
  </si>
  <si>
    <t>УКЗТ-АУ ОПЕ МК 0.6х5 У1 (5х0.6кВа)</t>
  </si>
  <si>
    <t>УКЗТ-АУ ОПЕ МК 1.2х2 У1 (2х1.2кВа)</t>
  </si>
  <si>
    <t>УКЗТ-АУ ОПЕ МК 1.2х3 У1 (3х1.2кВа)</t>
  </si>
  <si>
    <t>УКЗТ-АС ОПЕ 0.3 У1</t>
  </si>
  <si>
    <t>УКЗТ-АИ ОПЕ ТМ-GSM 1.2 У1</t>
  </si>
  <si>
    <t>УКЗВ-1-6/0,23-10 С1 У1-А (для умеренного климата)</t>
  </si>
  <si>
    <t>УКЗВ-1-6/0,23-10 С1 УХЛ1-А (для умеренного и холодного климата)</t>
  </si>
  <si>
    <t>УКЗВ-1-10/0,23-10 С1 У1-А (для умеренного климата)</t>
  </si>
  <si>
    <t>УКЗВ-1-10/0,23-10 С1 УХЛ1-А (для умеренного и холодного климата климата)</t>
  </si>
  <si>
    <t>УКЗВ-1-6/0,23-10 С3 У1-А (для умеренного климата)</t>
  </si>
  <si>
    <t>УКЗВ-1-6/0,23-10 С3 УХЛ1-А (для умеренного и холодного климата)</t>
  </si>
  <si>
    <t>УКЗВ-1-10/0,23-10 С3 У1-А (для умеренного климата)</t>
  </si>
  <si>
    <t>УКЗВ-1-10/0,23-10 С3 УХЛ1-А (для умеренного и холодного климата климата)</t>
  </si>
  <si>
    <t>УКЗН-1К 0,23 СО У1-А (для умеренного климата)</t>
  </si>
  <si>
    <t>УКЗН-1К 0,23 СО УХЛ1-А (для умеренного и холодного климата климата)</t>
  </si>
  <si>
    <t>УКЗН-1В 0,23 СО У1-А (для умеренного климата)</t>
  </si>
  <si>
    <t>УКЗН-1В 0,23 СО УХЛ1-А (для умеренного и холодного климата климата)</t>
  </si>
  <si>
    <t>УКЗН-1К 0,23 С1 У1-А (для умеренного климата)</t>
  </si>
  <si>
    <t>УКЗН-1К 0,23 С1 УХЛ1-А (для умеренного и холодного климата климата)</t>
  </si>
  <si>
    <t>УКЗН-1В 0,23 С1 У1-А (для умеренного климата)</t>
  </si>
  <si>
    <t>УКЗН-1В 0,23 С1 УХЛ1-А (для умеренного и холодного климата климата)</t>
  </si>
  <si>
    <t>УКЗН-1К 0,23 С3 У1-А (для умеренного климата)</t>
  </si>
  <si>
    <t>УКЗН-1К 0,23 С3 УХЛ1-А (для умеренного и холодного климата климата)</t>
  </si>
  <si>
    <t>УКЗН-1В 0,23 С3 У1-А (для умеренного климата)</t>
  </si>
  <si>
    <t>УКЗН-1В 0,23 С3 УХЛ1-А (для умеренного и холодного климата климата)</t>
  </si>
  <si>
    <t>НГК-ИПКЗ-1 кВт</t>
  </si>
  <si>
    <t>НГК-ИПКЗ-2 кВт</t>
  </si>
  <si>
    <t>НГК-ИПКЗ-3 кВт</t>
  </si>
  <si>
    <t>НГК-ИПКЗ-4 кВт</t>
  </si>
  <si>
    <t>НГК-ИПКЗ-5 кВт</t>
  </si>
  <si>
    <t>НГК-ИПКЗ-Евро-1 кВт</t>
  </si>
  <si>
    <t>НГК-ИПКЗ-Евро-2 кВт</t>
  </si>
  <si>
    <t>НГК-ИПКЗ-Евро-3 кВт</t>
  </si>
  <si>
    <t>НГК-ИПКЗ-Евро-4 кВт</t>
  </si>
  <si>
    <t>НГК-ИПКЗ-Евро-5квт</t>
  </si>
  <si>
    <t>НГК-ИПКЗ-Евро (24H)</t>
  </si>
  <si>
    <t>НГК-ИПКЗ-Евро (3H)</t>
  </si>
  <si>
    <t>НГК-ИПКЗ-Евро (6H)</t>
  </si>
  <si>
    <t>Номинальный ток,  А</t>
  </si>
  <si>
    <t>Номинальное выходное напряжение,  В</t>
  </si>
  <si>
    <t>Рукз</t>
  </si>
  <si>
    <t>http://www.signalrp.ru/catalog/skzip-mr2/</t>
  </si>
  <si>
    <t>СКЗ-ИП-М1-0.75-1-У1-А-GSM-ХХ</t>
  </si>
  <si>
    <t>СКЗ-ИП-М1-1.5-2-У1-А-GSM-ХХ</t>
  </si>
  <si>
    <t>СКЗ-ИП-М1-2.25-3-У1-А-GSM-ХХ</t>
  </si>
  <si>
    <t>СКЗ-ИП-М1-3.0-4-У1-А-GSM-ХХ</t>
  </si>
  <si>
    <t>СКЗ-ИП-М1-1.0-1-У1-А-GSM-ХХ</t>
  </si>
  <si>
    <t>СКЗ-ИП-М1-2.0-2-У1-А-GSM-ХХ</t>
  </si>
  <si>
    <t>СКЗ-ИП-М1-3.0-3-У1-А-GSM-ХХ</t>
  </si>
  <si>
    <t>СКЗ-ИП-М1-4.0-4-У1-А-GSМ-ХХ</t>
  </si>
  <si>
    <t>СКЗ-ИП-М1-1.2-1-У1-А-GSM-ХХ</t>
  </si>
  <si>
    <t>СКЗ-ИП-М1-2.4-2-У1-А-GSM-ХХ</t>
  </si>
  <si>
    <t>СКЗ-ИП-М1-3.6-3-У1-А-GSM-ХХ</t>
  </si>
  <si>
    <t>СКЗ-ИП-М1-4.8-4-У1-А-GSM-ХХ</t>
  </si>
  <si>
    <t>СКЗ-ИП-М1-1.2-1-У1-А1-GSM-ХХ</t>
  </si>
  <si>
    <t>СКЗ-ИП-М1-2.4-2-У1-А1-GSM-ХХ</t>
  </si>
  <si>
    <t>СКЗ-ИП-М1-3.6-3-У1-А1-GSM-ХХ</t>
  </si>
  <si>
    <t>СКЗ-ИП-М1-4.8-4-У1-А1-GSM-ХХ</t>
  </si>
  <si>
    <t>СКЗ-ИП-М1-2.4-2-У1-А-УКВ</t>
  </si>
  <si>
    <t>СКЗ-ИП-М1-3.6-3-У1-А-УКВ</t>
  </si>
  <si>
    <t>СКЗ-ИП-М1-4.8-4-У1-А-УКВ</t>
  </si>
  <si>
    <t>СКЗ-ИП-М1-1.2-1-У1-А1-УКВ</t>
  </si>
  <si>
    <t>СКЗ-ИП-М1-2.4-2-У1-А1-УКВ</t>
  </si>
  <si>
    <t>СКЗ-ИП-М1-3.6-3-У1-А1-УКВ</t>
  </si>
  <si>
    <t>СКЗ-ИП-М1-4.8-4-У1-А1-УКВ</t>
  </si>
  <si>
    <t>http://www.signalrp.ru/catalog/skzip-m1/</t>
  </si>
  <si>
    <t>В-ОПЕ-ТМ-1(2)-20-12-У1 (У2)</t>
  </si>
  <si>
    <t>В-ОПЕ-ТМ-1(2)-25-24-У1 (У2)</t>
  </si>
  <si>
    <t>В-ОПЕ-ТМ-1(2)-40-24-У1 (У2)</t>
  </si>
  <si>
    <t>В-ОПЕ-ТМ-1(2)-40-48-У1 (У2)</t>
  </si>
  <si>
    <t>В-ОПЕ-ТМ-1(2)-63-48-У1 (У2)</t>
  </si>
  <si>
    <t>В-ОПЕ-ТМ-1(2)-80-48-У1 (У2)</t>
  </si>
  <si>
    <t>В-ОПЕ-ТМ-1(2)-100- 48-У1 (У2)</t>
  </si>
  <si>
    <t>В-ОПЕ-М2-С(0,1,3)-15-24-У1-В</t>
  </si>
  <si>
    <t>В-ОПЕ-М2-С(0,1,3)-25-24-У1-В</t>
  </si>
  <si>
    <t>В-ОПЕ-М2-С(0,1,3)-25-48-У1-В</t>
  </si>
  <si>
    <t>В-ОПЕ-М2-С(0,1,3)-42-24-У1-В</t>
  </si>
  <si>
    <t>В-ОПЕ-М2-С(0,1,3)-42-48-У1-В</t>
  </si>
  <si>
    <t>В-ОПЕ-М2-С(0,1,3)-63-48-У1-В</t>
  </si>
  <si>
    <t>В-ОПЕ-М2-С(0,1,3)-84-48-У1-В</t>
  </si>
  <si>
    <t>В-ОПЕ-М2-С(0,1,3)-104-48-У1-В</t>
  </si>
  <si>
    <t>В-ОПЕ-М3-С(0,1,3)-15-24-У1*-В</t>
  </si>
  <si>
    <t>В-ОПЕ-М3-С(0,1,3)-25-24-У1*-В</t>
  </si>
  <si>
    <t>В-ОПЕ-М3-С(0,1,3)-25-48-У1*-В</t>
  </si>
  <si>
    <t>В-ОПЕ-М3-С(0,1,3)-42-24-У1*-В</t>
  </si>
  <si>
    <t>В-ОПЕ-М3-С(0,1,3)-42-48-У1*-В</t>
  </si>
  <si>
    <t>В-ОПЕ-М3-С(0,1,3)-63-48-У1*-В</t>
  </si>
  <si>
    <t>В-ОПЕ-М3-С(0,1,3)-84-48-У1*-В</t>
  </si>
  <si>
    <t>В-ОПЕ-М3-С(0,1,3)-104-48-У1*-В</t>
  </si>
  <si>
    <t>В-ОПЕ-М6-С(0,1,3)-15-24-У2-В</t>
  </si>
  <si>
    <t>В-ОПЕ-М6-С(0,1,3)-25-24-У2-В</t>
  </si>
  <si>
    <t>В-ОПЕ-М6-С(0,1,3)-25-48-У2-В</t>
  </si>
  <si>
    <t>В-ОПЕ-М6-С(0,1,3)-42-24-У2-В</t>
  </si>
  <si>
    <t>В-ОПЕ-М6-С(0,1,3)-42-48-У2-В</t>
  </si>
  <si>
    <t>В-ОПЕ-М6-С(0,1,3)-63-48-У2-В</t>
  </si>
  <si>
    <t>В-ОПЕ-М6-С(0,1,3)-84-48-У2-В</t>
  </si>
  <si>
    <t>В-ОПЕ-М6-С(0,1,3)-104-48-У2-В</t>
  </si>
  <si>
    <t>В-ОПЕ-М7-С(0,1,3)-15-24-У2-В</t>
  </si>
  <si>
    <t>В-ОПЕ-М7-С(0,1,3)-25-24-У2-В</t>
  </si>
  <si>
    <t>В-ОПЕ-М7-С(0,1,3)-25-48-У2-В</t>
  </si>
  <si>
    <t>В-ОПЕ-М7-С(0,1,3)-42-24-У2-В</t>
  </si>
  <si>
    <t>В-ОПЕ-М7-С(0,1,3)-42-48-У2-В</t>
  </si>
  <si>
    <t>В-ОПЕ-М7-С(0,1,3)-63-48-У2-В</t>
  </si>
  <si>
    <t>В-ОПЕ-М7-С(0,1,3)-84-48-У2-В</t>
  </si>
  <si>
    <t>В-ОПЕ-М7-С(0,1,3)-104-48-У2-В</t>
  </si>
  <si>
    <t>ПНКЗ-ППЧ-М10-12.5-48-У2-В</t>
  </si>
  <si>
    <t>ПНКЗ-ППЧ-М10-20-48-У2-В</t>
  </si>
  <si>
    <t>ПНКЗ-ППЧ-М10-25-48-У2-В</t>
  </si>
  <si>
    <t>ПНКЗ-ППЧ-М10-40-48-У2-В</t>
  </si>
  <si>
    <t>ПН-ОПЕ-М11-С(0,1,4)-12,5-48-У1-А.2</t>
  </si>
  <si>
    <t>ПН-ОПЕ-М11-С(0,1,4)-20-48-У1-А.2</t>
  </si>
  <si>
    <t>ПН-ОПЕ-М11-С(0,1,4)-25-48-У1-А.2</t>
  </si>
  <si>
    <t>ПН-ОПЕ-М11-С(0,1,4)-40-48-У1-А.2</t>
  </si>
  <si>
    <t>ПН-ОПЕ-М11-С(0,1,4)-40-96-У1-А.2</t>
  </si>
  <si>
    <t>ПН-ОПЕ-М11-С(0,1,4)-60-48-У1-А.2</t>
  </si>
  <si>
    <t>ПН-ОПЕ-М11-С(0,1,4)-80-48-У1-А.2</t>
  </si>
  <si>
    <t>МПН-ОПЕ-М14-1/С0-6/1,0-3/20-48-У1А.2Т485</t>
  </si>
  <si>
    <t>МПН-ОПЕ-М14-1/С1-1/1,0-1/20-48-У1-А485</t>
  </si>
  <si>
    <t>МПН-ОПЕ-М14-1/С1-1/1,0-1/20-48-У1А.2Т485</t>
  </si>
  <si>
    <t>МПН-ОПЕ-М14-1/С1-1/1,0-1/20-48-У2-А485</t>
  </si>
  <si>
    <t>МПН-ОПЕ-М14-1/С1-2/1,0-1/20-48-У1А.2Т485</t>
  </si>
  <si>
    <t>МПН-ОПЕ-М14-1/С1-2/1,0-1/20-96-У1А.2Т485</t>
  </si>
  <si>
    <t>МПН-ОПЕ-М14-1/С1-2/1,0-1/40-48-У1-А485</t>
  </si>
  <si>
    <t>МПН-ОПЕ-М14-1/С1-2/1,0-1/40-48-У1А.2Т485</t>
  </si>
  <si>
    <t>МПН-ОПЕ-М14-1/С1-2/1,0-1/40-48-У2-А485</t>
  </si>
  <si>
    <t>МПН-ОПЕ-М14-1/С1-2/1,0-2/20-48-У1-А485</t>
  </si>
  <si>
    <t>МПН-ОПЕ-М14-1/С1-2/1,0-2/20-48-У2-А485</t>
  </si>
  <si>
    <t>МПН-ОПЕ-М14-1/С1-3/1,0-1/60-48-У1-А485</t>
  </si>
  <si>
    <t>МПН-ОПЕ-М14-1/С1-3/1,0-1/60-48-У1А.2Т485</t>
  </si>
  <si>
    <t>МПН-ОПЕ-М14-1/С1-3/1,0-1/60-48-У2-А485</t>
  </si>
  <si>
    <t>МПН-ОПЕ-М14-1/С1-4/0,6-2/25-48-У1-А485</t>
  </si>
  <si>
    <t>МПН-ОПЕ-М14-1/С1-4/1,0-1/40-96-У2-А485</t>
  </si>
  <si>
    <t>МПН-ОПЕ-М14-1/С1-4/1,0-1/80-48-У1-А485</t>
  </si>
  <si>
    <t>МПН-ОПЕ-М14-1/С1-4/1,0-1/80-48-У1А.2Т485</t>
  </si>
  <si>
    <t>МПН-ОПЕ-М14-1/С1-4/1,0-2/20-96-У1-А.2М-G</t>
  </si>
  <si>
    <t>МПН-ОПЕ-М14-1/С1-4/1,0-2/40-48-У1-А485</t>
  </si>
  <si>
    <t>МПН-ОПЕ-М14-1/С1-6/1,0-3/20-48-У1А.2Т485</t>
  </si>
  <si>
    <t>МПН-ОПЕ-М14-1/С4-1/0,6-1/12,5-48-У1-А485</t>
  </si>
  <si>
    <t>МПН-ОПЕ-М14-1/С4-1/1,0-1/20-48-У1-А485</t>
  </si>
  <si>
    <t>МПН-ОПЕ-М14-1/С4-2/1,0-1/20-96-У1-А485</t>
  </si>
  <si>
    <t>МПН-ОПЕ-М14-1/С4-2/1,0-1/40-48-У1-А485</t>
  </si>
  <si>
    <t>МПН-ОПЕ-М14-1/С4-3/1,0-1/60-48-У1-А485</t>
  </si>
  <si>
    <t>МПН-ОПЕ-М14-1/С4-4/1,0-1/40-96-У1-А485</t>
  </si>
  <si>
    <t>МПН-ОПЕ-М14-1/С4-4/1,0-1/80-48-У1-А485</t>
  </si>
  <si>
    <t>МПН-ОПЕ-М14-1/С4-4/1,0-2/40-48-У2-А485</t>
  </si>
  <si>
    <t>МПН-ОПЕ-М14-1/С4-6/1,0-3/20-48-У1-В-485</t>
  </si>
  <si>
    <t>МПН-ОПЕ-М14-2/С1-4/1,0-1/40-48-У1-А485</t>
  </si>
  <si>
    <t>МПН-ОПЕ-М14-2/С1-4/1,0-2/20-48-У1-А2-485</t>
  </si>
  <si>
    <t>МПН-ОПЕ-М14-2/С4-4/1,0-1/40-48-У1-А485</t>
  </si>
  <si>
    <t>МПН-ОПЕ-М14-2/С4-4/1,0-2/20-48-У1-А485</t>
  </si>
  <si>
    <t>МПН-ОПЕ-М14-1/С1-5/1,0-1/10-96-У1-А2</t>
  </si>
  <si>
    <t>МПН-ОПЕ-М14-1/С1-6/1,0-1/10-48У1А.2Т485</t>
  </si>
  <si>
    <t>МСКЗ Тверца-СМ-04-1-48-1</t>
  </si>
  <si>
    <t>МСКЗ Тверца-СМ-04-2-48-2</t>
  </si>
  <si>
    <t>МСКЗ Тверца-СМ-04-3-48-3</t>
  </si>
  <si>
    <t>СКЗ Тверца-900 ШМ1-0.6</t>
  </si>
  <si>
    <t>СКЗ Тверца-900 ШМ1-0.9</t>
  </si>
  <si>
    <t>СКЗ Тверца-900 ШМ2-1.2</t>
  </si>
  <si>
    <t>СКЗ Тверца-900 ШМ2-1.8</t>
  </si>
  <si>
    <t>СКЗ Тверца-900 ШМ3-2.7</t>
  </si>
  <si>
    <t>СКЗ Тверца-900 ШМ4-4.5</t>
  </si>
  <si>
    <t>https://tp-s.ru/catalog/pdv-06-pdv-12-pdv-30-preobrazovatel/</t>
  </si>
  <si>
    <t>http://www.signalrp.ru/catalog/vope-3/</t>
  </si>
  <si>
    <t>https://pss.ru/product/ekhz-katodnaya-zashchita/stantsii-katodnoy-zashchity-skz-vypryamiteli/avtomaticheskiy-vypryamitel-v-ope/</t>
  </si>
  <si>
    <t>https://www.energomera.ru/ru/products/ehz/v-ope-m2-v</t>
  </si>
  <si>
    <t>https://www.energomera.ru/ru/products/ehz/v-ope-m3-v</t>
  </si>
  <si>
    <t>https://www.energomera.ru/ru/products/ehz/v-ope-m6-v</t>
  </si>
  <si>
    <t>https://www.energomera.ru/ru/products/ehz/v-ope-m7-v</t>
  </si>
  <si>
    <t>https://www.energomera.ru/ru/products/ehz/v-ope-m10-v</t>
  </si>
  <si>
    <t>https://www.energomera.ru/ru/products/ehz/pn-ope-m11</t>
  </si>
  <si>
    <t>https://www.energomera.ru/ru/products/ehz/mpn-ope-m14</t>
  </si>
  <si>
    <t>http://www.eltech.tver.ru/catalog/elhim/elhim_17.html</t>
  </si>
  <si>
    <t>http://www.eltech.tver.ru/catalog/elhim/elhim_54.html</t>
  </si>
  <si>
    <t>https://cit-es.ru/catalog/skz-pkzr/pkz-ar-b/</t>
  </si>
  <si>
    <t>В коксовой засыпке или в др. наполнителе с выходом торца заземлителя на поверхность земли</t>
  </si>
  <si>
    <t>В коксовой засыпке или в др. наполнителе без выхода торца заземлителя на поверхность земли</t>
  </si>
  <si>
    <t xml:space="preserve">6.3.9.1 </t>
  </si>
  <si>
    <t>qз</t>
  </si>
  <si>
    <t>kи</t>
  </si>
  <si>
    <t>Gэ</t>
  </si>
  <si>
    <t xml:space="preserve">
6.3.9.4</t>
  </si>
  <si>
    <t>Длина участка трубы, м</t>
  </si>
  <si>
    <t>Исходные данные для определения электрических характеристик трубопровода</t>
  </si>
  <si>
    <t>Продольное сопротивление трубопровода на единицу длины</t>
  </si>
  <si>
    <t>Сопротивление растеканию тока трубопровода</t>
  </si>
  <si>
    <t>Переходное сопротивление трубопровода на единицу длины</t>
  </si>
  <si>
    <t>Сопротивление растеканию тока трубопровода на единицу длины</t>
  </si>
  <si>
    <t>Начальное сопротивление защитного покрытия трубопровода (на единицу длины)</t>
  </si>
  <si>
    <t>Переходное сопротивление трубопровода на единицу длины прогноз изменения за срок эксплуатации t</t>
  </si>
  <si>
    <t>Постоянная распространения тока вдоль трубопровода</t>
  </si>
  <si>
    <t>Постоянная распространения тока вдоль трубопровода прогноз изменения за срок эксплуатации t</t>
  </si>
  <si>
    <t>Характеристическое сопротивление трубопровода</t>
  </si>
  <si>
    <t>Характеристическое сопротивление трубопровода  прогноз изменения за срок эксплуатации t</t>
  </si>
  <si>
    <t>Сила тока  катодной установки на начальный срок эксплуатации</t>
  </si>
  <si>
    <t>Входное сопротивление трубопровода на начальный срок эксплуатации</t>
  </si>
  <si>
    <t>Переходное сопротивление растеканию тока АЗ, состоящего из N электродов на последний год эксплуатации</t>
  </si>
  <si>
    <t>вертикальное расположение электрода заземлителя</t>
  </si>
  <si>
    <t>горизонтальное расположение короткого электрода заземлителя, когда lэ&lt;h</t>
  </si>
  <si>
    <t>горизонтальное расположение электрода заземлителя в коксовой засыпке, когда  lэ&gt;h и  lэ&gt;&gt;dэ</t>
  </si>
  <si>
    <t>горизонтальное расположение электрода заземлителя в коксовой засыпке, когда lэ&gt;12h</t>
  </si>
  <si>
    <t>вертикальные электроды, соединенные горизонтальным электродом</t>
  </si>
  <si>
    <t>https://online-electric.ru/echpro/echpro.php</t>
  </si>
  <si>
    <t>https://www.caduser.ru/press/articles/cm_34_electrics_ecp.html</t>
  </si>
  <si>
    <t>https://snip.ruscable.ru/Data1/59/59750/index.htm#i3066764</t>
  </si>
  <si>
    <t>https://pss.ru/servisy-dlya-raschetov/raschet-ekhz/</t>
  </si>
  <si>
    <t>https://ozlib.com/851633/tehnika/primery_rascheta_anodnogo_zazemleniya</t>
  </si>
  <si>
    <t>https://www.химсервис.com/programma-rascheta-az.html</t>
  </si>
  <si>
    <t>Прототипы и примеры расчета ЭХЗ</t>
  </si>
  <si>
    <t>Номинальный выходной ток УКЗ</t>
  </si>
  <si>
    <t>Номинальное выходное напряжение УКЗ</t>
  </si>
  <si>
    <t>Номинальная выходная мощьность УКЗ</t>
  </si>
  <si>
    <t>Тип грунта</t>
  </si>
  <si>
    <t>Масса материала электрода заземления без коксовой засыпки</t>
  </si>
  <si>
    <t>Длина электрода заземлителя</t>
  </si>
  <si>
    <t xml:space="preserve">Скорость растворения материала электродов анодного заземления </t>
  </si>
  <si>
    <t>Толщина стенки трубопровода</t>
  </si>
  <si>
    <t>Ферросилид</t>
  </si>
  <si>
    <t>Масса изделия глубинной установки, кг, не более</t>
  </si>
  <si>
    <t>Номинальная токовая нагрузка, А</t>
  </si>
  <si>
    <t>Максимальная токовая нагрузка, А</t>
  </si>
  <si>
    <r>
      <t>Контактная площадь комплектного АЗ, м</t>
    </r>
    <r>
      <rPr>
        <vertAlign val="superscript"/>
        <sz val="12"/>
        <color rgb="FF000000"/>
        <rFont val="Times New Roman"/>
        <family val="1"/>
      </rPr>
      <t>2</t>
    </r>
  </si>
  <si>
    <t>Скорость анодного растворения рабочего элемента, кг/(А·год), не более</t>
  </si>
  <si>
    <t>Срок службы, лет, не менее</t>
  </si>
  <si>
    <t>Магнетит</t>
  </si>
  <si>
    <t xml:space="preserve">Переходное сопротивление, Ом, не более </t>
  </si>
  <si>
    <t>Удельное электрическое сопротивление коксовой засыпки</t>
  </si>
  <si>
    <t>Диаметр электрода заземлителя в коксовой засыпке</t>
  </si>
  <si>
    <t>Диаметр электрода заземлителя</t>
  </si>
  <si>
    <t>Длина электрода заземлителя в коксовой засыпке</t>
  </si>
  <si>
    <t>Тип  монтажа</t>
  </si>
  <si>
    <t>КМА</t>
  </si>
  <si>
    <t>Местный</t>
  </si>
  <si>
    <t>Варианты формул расчета</t>
  </si>
  <si>
    <t>Тип поставки</t>
  </si>
  <si>
    <t>Не комплектный</t>
  </si>
  <si>
    <t>Комплектный</t>
  </si>
  <si>
    <t>горизонтальное расположение электрода заземлителя, когда lэ&gt;12h (протяженного электрода)</t>
  </si>
  <si>
    <t>№</t>
  </si>
  <si>
    <t>Среды со средней коррозионной агрессивностью</t>
  </si>
  <si>
    <t>Среднее удельное электрическое сопротивление грунта трубопровода</t>
  </si>
  <si>
    <t>6.3.7.3</t>
  </si>
  <si>
    <t>6.3.9.1</t>
  </si>
  <si>
    <t>6.3.9.3</t>
  </si>
  <si>
    <t>Средняя сила тока стекающего с  анодного заземлителя за планируемый период эксплуатации</t>
  </si>
  <si>
    <t>ρг ρгс</t>
  </si>
  <si>
    <t>Длина рабочей части глубинного анодного заземления</t>
  </si>
  <si>
    <t>Удельное электрическое сопротивление материала электрода анодного заземления</t>
  </si>
  <si>
    <t>Коэффициент неоднородности грунта</t>
  </si>
  <si>
    <t>hп</t>
  </si>
  <si>
    <t>Удельное электрическое сопротивление грунта в месте подповерхностного анодного заземления</t>
  </si>
  <si>
    <t>Удельное электрическое сопротивление i -того слоя земли, в котором располагается глубинное анодное заземление</t>
  </si>
  <si>
    <t>pi Ом*м</t>
  </si>
  <si>
    <t>число слоев грунта, пересекаемых рабочей частью заземления</t>
  </si>
  <si>
    <t>коэффициент неоднородности грунта</t>
  </si>
  <si>
    <t>ρk=МИН(Таблица_pi[pi Ом*м])</t>
  </si>
  <si>
    <t>Выбор из списка</t>
  </si>
  <si>
    <t>Длина защитной зоны трубы от одной катодной установки на заданный срок эксплуатации t (год)</t>
  </si>
  <si>
    <t>ПАЗ</t>
  </si>
  <si>
    <t>Ссылка</t>
  </si>
  <si>
    <t>Производитель</t>
  </si>
  <si>
    <t>Модель</t>
  </si>
  <si>
    <t>Материал анода</t>
  </si>
  <si>
    <t>ООО НПК "ПромТехМастер"</t>
  </si>
  <si>
    <t>подповерхностный</t>
  </si>
  <si>
    <t>глубинный</t>
  </si>
  <si>
    <t>комплектный</t>
  </si>
  <si>
    <t>протяженный</t>
  </si>
  <si>
    <t>Титан</t>
  </si>
  <si>
    <t>ГАЗ.ПТМ.Т</t>
  </si>
  <si>
    <t>ПАЗ.ПТМ.М</t>
  </si>
  <si>
    <t>ПАЗ.ПТМ.Т</t>
  </si>
  <si>
    <t>Газовая промышленность. Интергазсерт.</t>
  </si>
  <si>
    <t>ГАЗ.ПТМ.М</t>
  </si>
  <si>
    <t>Токовая нагрузка, А, не более</t>
  </si>
  <si>
    <t>Активная площадь поверхности рабочего элемента (электрода), м2, не менее</t>
  </si>
  <si>
    <t>Документ</t>
  </si>
  <si>
    <t>Максимальное количество рабочих элементов (электродов) в аноде, не более шт</t>
  </si>
  <si>
    <t>Максимальное напряжение «анод-среда», В</t>
  </si>
  <si>
    <t>Активная площадь поверхности анода в коксовой засыпке, м2/пог.м, не менее:</t>
  </si>
  <si>
    <t>ТУ 27.12.31-008-19394148-2018</t>
  </si>
  <si>
    <t>ТУ 27.12.31-020-19394148-2019</t>
  </si>
  <si>
    <t>4,0</t>
  </si>
  <si>
    <t>5,0</t>
  </si>
  <si>
    <t>3,0</t>
  </si>
  <si>
    <r>
      <t>Контактная площадь рабочего элемента, м</t>
    </r>
    <r>
      <rPr>
        <vertAlign val="superscript"/>
        <sz val="12"/>
        <color rgb="FF000000"/>
        <rFont val="Times New Roman"/>
        <family val="1"/>
      </rPr>
      <t>2</t>
    </r>
  </si>
  <si>
    <t xml:space="preserve">Расстояние от АЗ до ближайшего защищаемого сооружения, не менее </t>
  </si>
  <si>
    <t>Сертификат</t>
  </si>
  <si>
    <t>Свойство</t>
  </si>
  <si>
    <t>Тип монтажа</t>
  </si>
  <si>
    <t>Глубина монтажа  анодного заземлителя (до середины заземлителя)</t>
  </si>
  <si>
    <t>kв</t>
  </si>
  <si>
    <t>Исходные данные для определения сопротивления растеканию тока заземлителя</t>
  </si>
  <si>
    <t>Коэффициент использования массы анодного заземления</t>
  </si>
  <si>
    <t>Описание</t>
  </si>
  <si>
    <t>Масса рабочего элемента , кг</t>
  </si>
  <si>
    <t xml:space="preserve">Масса комплектного поверхностной установки кг, не более </t>
  </si>
  <si>
    <t>Лит.</t>
  </si>
  <si>
    <t>Типовые значения для расчета</t>
  </si>
  <si>
    <t>Абр.</t>
  </si>
  <si>
    <t>Сылка</t>
  </si>
  <si>
    <t>Способ монтажа</t>
  </si>
  <si>
    <t>Газовая промышленность. Сертификат ГРО.</t>
  </si>
  <si>
    <t>6.1.3</t>
  </si>
  <si>
    <t>Средняя толщина стенки трубы 𝛿т.ср, м</t>
  </si>
  <si>
    <t>li1</t>
  </si>
  <si>
    <t>li2</t>
  </si>
  <si>
    <t>li3</t>
  </si>
  <si>
    <t>li4</t>
  </si>
  <si>
    <t>li5</t>
  </si>
  <si>
    <t>li6</t>
  </si>
  <si>
    <t>li7</t>
  </si>
  <si>
    <t>li8</t>
  </si>
  <si>
    <t>li9</t>
  </si>
  <si>
    <t>li10</t>
  </si>
  <si>
    <t>удельное электрическое сопротивление k-го слоя грунта, имеющего минимальное удельное электрическое сопротивление из всех n слоев, Ом•м</t>
  </si>
  <si>
    <t>Поле итоговых результатов</t>
  </si>
  <si>
    <t>Поле исходных данных УКЗ</t>
  </si>
  <si>
    <t>Поле промежуточных расчетов</t>
  </si>
  <si>
    <t>Поле исходных данных трубопровода</t>
  </si>
  <si>
    <t xml:space="preserve"> Расчет параметров установок катодной защиты </t>
  </si>
  <si>
    <t>Поле итоговых результатов для каждого АЗ</t>
  </si>
  <si>
    <t>pi Ом*м2</t>
  </si>
  <si>
    <t>pi Ом*м3</t>
  </si>
  <si>
    <t>pi Ом*м4</t>
  </si>
  <si>
    <t>pi Ом*м5</t>
  </si>
  <si>
    <t>pi Ом*м6</t>
  </si>
  <si>
    <t>pi Ом*м7</t>
  </si>
  <si>
    <t>pi Ом*м8</t>
  </si>
  <si>
    <t>pi Ом*м9</t>
  </si>
  <si>
    <t>pi Ом*м10</t>
  </si>
  <si>
    <t>Длина скважины изысканий для глубинного анодного заземления</t>
  </si>
  <si>
    <t>Ссылка на сайт производителя:</t>
  </si>
  <si>
    <t>Ссылка на сайт производителя</t>
  </si>
  <si>
    <t>Среднее удельное сопротивление грунта</t>
  </si>
  <si>
    <t>Определение электрических характеристик трубопровода</t>
  </si>
  <si>
    <t>Длина трубы</t>
  </si>
  <si>
    <t>Минимальное смещение потенциала трубы</t>
  </si>
  <si>
    <t>Смещение потенциала трубы в точке дренажа</t>
  </si>
  <si>
    <t>Коэффициент, учитывающий взаимовлияние соседних УКЗ</t>
  </si>
  <si>
    <t>Комплектация</t>
  </si>
  <si>
    <t>Суглинок с содержанием глины 10–30% имеет удельное сопротивление 80–150 Ом·м, что делает его универсальным грунтом для большинства применений заземления.</t>
  </si>
  <si>
    <t>Глинистые грунты обладают наименьшим удельным сопротивлением благодаря высокому содержанию влаги и растворённых солей. Влажная глина имеет удельное сопротивление 20–50 Ом·м, что делает её идеальной средой для устройства заземления.</t>
  </si>
  <si>
    <t>Песчаные грунты демонстрируют значительную зависимость удельного сопротивления от влажности. Влажный песок имеет сопротивление 60–130 Ом·м, умеренно влажный — 130–400 Ом·м, а сухой песок может достигать 1500 Ом·м.</t>
  </si>
  <si>
    <t>Скальные и щебенистые грунты характеризуются высоким удельным сопротивлением (3000–5000 Ом·м для щебня, до 22000 Ом·м для гранита).</t>
  </si>
  <si>
    <r>
      <t>Некоторые свойства грунтов и их удельное сопротивление</t>
    </r>
    <r>
      <rPr>
        <sz val="12"/>
        <color rgb="FF333333"/>
        <rFont val="Arial"/>
        <family val="2"/>
      </rPr>
      <t>:</t>
    </r>
  </si>
  <si>
    <t>подповерхностный вертикальный</t>
  </si>
  <si>
    <t>подповерхностный горизонтальный lэ&lt;h</t>
  </si>
  <si>
    <t>подповерхностный комбинированный</t>
  </si>
  <si>
    <t>подповерхностный протяженный lэ&gt;12h</t>
  </si>
  <si>
    <t>Коэффициент, учитывающий запас УКЗ по выходному напряжению</t>
  </si>
  <si>
    <t>Выберите установку катодной защиты:</t>
  </si>
  <si>
    <t>подповерхностный горизонтальный lэ&gt;h и lэ&gt;&gt;dэ c активатором</t>
  </si>
  <si>
    <t>глубинный без активатора</t>
  </si>
  <si>
    <t>глубинный с выходом торца на поверхность с активатором</t>
  </si>
  <si>
    <t>глубинный без выхода торца на поверхность с активатором</t>
  </si>
  <si>
    <t>сталь</t>
  </si>
  <si>
    <t>ферросилид</t>
  </si>
  <si>
    <t>магнетит</t>
  </si>
  <si>
    <t>графит</t>
  </si>
  <si>
    <t>графитопласт</t>
  </si>
  <si>
    <t>титан с ммо-покрытием</t>
  </si>
  <si>
    <t>титан-диоксидмарганцевые</t>
  </si>
  <si>
    <t>графитонаполненный полимер</t>
  </si>
  <si>
    <t>полимер протяженный</t>
  </si>
  <si>
    <t>№ пикета</t>
  </si>
  <si>
    <t xml:space="preserve">Глубинное АЗ (из трубных и свайных конструкций или последовательно соединённых одиночных заземлителей в скважине) </t>
  </si>
  <si>
    <t>Длина участка 1 плеча трубы, м</t>
  </si>
  <si>
    <t>Длина участка 2 плеча трубы, м</t>
  </si>
  <si>
    <t>Длина участка 3 плеча трубы, м</t>
  </si>
  <si>
    <t>Длина участка 4 плеча трубы, м</t>
  </si>
  <si>
    <t>Длина участка 5 плеча трубы, м</t>
  </si>
  <si>
    <t>Длина участка 6 плеча трубы, м</t>
  </si>
  <si>
    <t>Длина участка 7 плеча трубы, м</t>
  </si>
  <si>
    <t>Длина участка 8 плеча трубы, м</t>
  </si>
  <si>
    <t>Длина участка 9 плеча трубы, м</t>
  </si>
  <si>
    <t>Длина участка 10 плеча трубы, м</t>
  </si>
  <si>
    <t>Длина непрерывного участка трубы, м</t>
  </si>
  <si>
    <t>Диаметр</t>
  </si>
  <si>
    <t>soilAvgResistivityAlongPipe2</t>
  </si>
  <si>
    <t>Кол. Замеров - 1</t>
  </si>
  <si>
    <t>Кол. Замеров - 2</t>
  </si>
  <si>
    <t>Длина участка трубы 1, (м )</t>
  </si>
  <si>
    <t xml:space="preserve">Среднее удельное сопротивление грунта участка трубы 2, (м ) </t>
  </si>
  <si>
    <t xml:space="preserve">Среднее удельное сопротивление грунта участка трубы 1, (м ) </t>
  </si>
  <si>
    <t>Длина участка трубы 2, (м )</t>
  </si>
  <si>
    <t>Кол. Замеров - 3</t>
  </si>
  <si>
    <t>Длина участка трубы 3, (м )</t>
  </si>
  <si>
    <t xml:space="preserve">Среднее удельное сопротивление грунта участка трубы 3, (м ) </t>
  </si>
  <si>
    <t>Кол. Замеров - 4</t>
  </si>
  <si>
    <t>Длина участка трубы 4, (м )</t>
  </si>
  <si>
    <t xml:space="preserve">Среднее удельное сопротивление грунта участка трубы 4, (м ) </t>
  </si>
  <si>
    <t>Кол. Замеров - 5</t>
  </si>
  <si>
    <t>Кол. Замеров - 6</t>
  </si>
  <si>
    <t>Кол. Замеров - 7</t>
  </si>
  <si>
    <t>Кол. Замеров - 8</t>
  </si>
  <si>
    <t>Длина участка трубы 5, (м )</t>
  </si>
  <si>
    <t>Длина участка трубы 6, (м )</t>
  </si>
  <si>
    <t>Длина участка трубы 7, (м )</t>
  </si>
  <si>
    <t xml:space="preserve">Среднее удельное сопротивление грунта участка трубы 7, (м ) </t>
  </si>
  <si>
    <t>Длина участка трубы 8 (м )</t>
  </si>
  <si>
    <t xml:space="preserve">Среднее удельное сопротивление грунта участка трубы 8, (м ) </t>
  </si>
  <si>
    <t>Кол. Замеров - 9</t>
  </si>
  <si>
    <t>Длина участка трубы 9, (м )</t>
  </si>
  <si>
    <t xml:space="preserve">Среднее удельное сопротивление грунта участка трубы 9, (м ) </t>
  </si>
  <si>
    <t>Кол. Замеров - 10</t>
  </si>
  <si>
    <t>Длина участка трубы 10 (м )</t>
  </si>
  <si>
    <t xml:space="preserve">Среднее удельное сопротивление грунта участка трубы 10, (м ) </t>
  </si>
  <si>
    <t>Ё</t>
  </si>
  <si>
    <t>6.1.5
6.1.6</t>
  </si>
  <si>
    <t>СКЗ-ИП-Б1-0,75-48-1-У1</t>
  </si>
  <si>
    <t>СКЗ-ИП-Б1-1,5-48-2-У1</t>
  </si>
  <si>
    <t>1,5</t>
  </si>
  <si>
    <t>СКЗ-ИП-Б1-2,25-48-3-У1</t>
  </si>
  <si>
    <t>2,25</t>
  </si>
  <si>
    <t>СКЗ-ИП-Б1-3,0-48-4-У1</t>
  </si>
  <si>
    <t>СКЗ-ИП-Б1-0,75-96-1-У1</t>
  </si>
  <si>
    <t>СКЗ-ИП-Б1-1,5-96-2-У1</t>
  </si>
  <si>
    <t>СКЗ-ИП-Б1-2,25-96-3-У1</t>
  </si>
  <si>
    <t>СКЗ-ИП-Б1-3,0-96-4-У1</t>
  </si>
  <si>
    <t>СКЗ-ИП-Б2-0,75-48-1-У1</t>
  </si>
  <si>
    <t>СКЗ-ИП-Б2-1,5-48-2-У1</t>
  </si>
  <si>
    <t>СКЗ-ИП-Б2-2,25-48-3-У1</t>
  </si>
  <si>
    <t>СКЗ-ИП-Б2-3,0-48-4-У1</t>
  </si>
  <si>
    <t>СКЗ-ИП-Б2-1,2-48-1-У1</t>
  </si>
  <si>
    <t>1,2</t>
  </si>
  <si>
    <t>СКЗ-ИП-Б2-2,4-48-2-У1</t>
  </si>
  <si>
    <t>2,4</t>
  </si>
  <si>
    <t>СКЗ-ИП-Б2-3,6-48-3-У1</t>
  </si>
  <si>
    <t>3,6</t>
  </si>
  <si>
    <t>СКЗ-ИП-Б2-4,8-48-4-У1</t>
  </si>
  <si>
    <t>4,8</t>
  </si>
  <si>
    <t>СКЗ-ИП-Б3-1,0-48-1-У1</t>
  </si>
  <si>
    <t>1,0</t>
  </si>
  <si>
    <t>СКЗ-ИП-Б3-2,0-48-2-У1</t>
  </si>
  <si>
    <t>2,0</t>
  </si>
  <si>
    <t>СКЗ-ИП-Б3-3,0-48-3-У1</t>
  </si>
  <si>
    <t>СКЗ-ИП-Б3-4,0-48-4-У1</t>
  </si>
  <si>
    <t>СКЗ-ИП-Б3-5,0-48-5-У1</t>
  </si>
  <si>
    <t>RS-485</t>
  </si>
  <si>
    <t>ПКЗ-АР-0,3</t>
  </si>
  <si>
    <t>Номинальная м ощьность, Вт</t>
  </si>
  <si>
    <t>https://tp-s.ru/catalog/ctancii-katodnoj-zashhity-na-baze-invert/</t>
  </si>
  <si>
    <t>Количество электродов  АЗ
- подповерхностный вертикальный</t>
  </si>
  <si>
    <t>Сопротивление растеканию тока одного АЗ 
- подповерхностный вертикальный</t>
  </si>
  <si>
    <t>Коэффициент отклонения срока службы АЗ от проектного
 - подповерхностный вертикальный</t>
  </si>
  <si>
    <t>Сопротивление растеканию тока одного АЗ с откорректированным количеством электродов
- подповерхностный вертикальный</t>
  </si>
  <si>
    <t>Количество электродов  АЗ
 - подповерхностный горизонтальный lэ&lt;h</t>
  </si>
  <si>
    <t>Срок службы АЗ
 -  подповерхностный горизонтальный lэ&lt;h</t>
  </si>
  <si>
    <t>Коэффициент отклонения срока службы АЗ от проектного
 -  подповерхностный горизонтальный lэ&lt;h</t>
  </si>
  <si>
    <t>Сопротивление растеканию тока одного АЗ с откорректированным количеством электродов
- подповерхностный горизонтальный lэ&lt;h</t>
  </si>
  <si>
    <t>Сопротивление растеканию тока одного АЗ
- подповерхностный горизонтальный lэ&lt;h</t>
  </si>
  <si>
    <t>Количество электродов АЗ
- подповерхностный комбинированный</t>
  </si>
  <si>
    <t>Коэффициент отклонения срока службы АЗ от проектного
 - подповерхностный комбинированный</t>
  </si>
  <si>
    <t>Сопротивление растеканию тока одного АЗ с откорректированным количеством электродов
 - подповерхностный комбинированный</t>
  </si>
  <si>
    <t>Сопротивление растеканию тока одного АЗ: 
- подповерхностный горизонтальный lэ&gt;h и lэ&gt;&gt;dэ c активатором</t>
  </si>
  <si>
    <t>Количество электродов 
- подповерхностный горизонтальный lэ&gt;h и lэ&gt;&gt;dэ c активатором</t>
  </si>
  <si>
    <t>Срок службы АЗ
 - подповерхностный горизонтальный lэ&gt;h и lэ&gt;&gt;dэ c активатором</t>
  </si>
  <si>
    <t>Коэффициент отклонения срока службы АЗ от проектного
 - подповерхностный горизонтальный lэ&gt;h и lэ&gt;&gt;dэ c активатором</t>
  </si>
  <si>
    <t>Сопротивление растеканию тока одного АЗ с откорректированным количеством электродов
- подповерхностный горизонтальный lэ&gt;h и lэ&gt;&gt;dэ c активатором</t>
  </si>
  <si>
    <t>Сопротивление растеканию тока одного АЗ: 
- подповерхностный протяженный lэ&gt;12h</t>
  </si>
  <si>
    <t>Количество электродов 
- подповерхностный протяженный lэ&gt;12h</t>
  </si>
  <si>
    <t>Срок службы АЗ
- подповерхностный протяженный lэ&gt;12h</t>
  </si>
  <si>
    <t>Коэффициент отклонения срока службы АЗ от проектного
- подповерхностный протяженный lэ&gt;12h</t>
  </si>
  <si>
    <t>Сопротивление растеканию тока одного АЗ с откорректированным количеством электродов
 - подповерхностный протяженный lэ&gt;12h</t>
  </si>
  <si>
    <t>Сопротивление растеканию тока одного АЗ 
 - глубинный без активатора</t>
  </si>
  <si>
    <t>Количество электродов 
- глубинный без активатора</t>
  </si>
  <si>
    <t>Срок службы АЗ
 - глубинный без активатора</t>
  </si>
  <si>
    <t>Коэффициент отклонения срока службы АЗ от проектного
 - глубинный без активатора</t>
  </si>
  <si>
    <t>Сопротивление растеканию тока одного АЗ с откорректированным количеством электродов
 - глубинный без активатора</t>
  </si>
  <si>
    <t>Сопротивление растеканию тока одного АЗ:
 - глубинный с выходом торца на поверхность с активатором</t>
  </si>
  <si>
    <t>Количество электродов 
 - глубинный с выходом торца на поверхность с активатором</t>
  </si>
  <si>
    <t>Срок службы АЗ
 - глубинный с выходом торца на поверхность с активатором</t>
  </si>
  <si>
    <t>Коэффициент отклонения срока службы АЗ от проектного
 - глубинный с выходом торца на поверхность с активатором</t>
  </si>
  <si>
    <t>Сопротивление растеканию тока одного АЗ с откорректированным количеством электродов
 - глубинный с выходом торца на поверхность с активатором</t>
  </si>
  <si>
    <t>Сопротивление растеканию тока одного АЗ:
 - глубинный без выхода торца на поверхность с активатором</t>
  </si>
  <si>
    <t>Количество электродов 
 - глубинный без выхода торца на поверхность с активатором</t>
  </si>
  <si>
    <t>Срок службы АЗ
 - глубинный без выхода торца на поверхность с активатором</t>
  </si>
  <si>
    <t>Коэффициент отклонения срока службы АЗ от проектного
 - глубинный без выхода торца на поверхность с активатором</t>
  </si>
  <si>
    <t>Сопротивление растеканию тока одного АЗ с откорректированным количеством электродов
- глубинный без выхода торца на поверхность с активатором</t>
  </si>
  <si>
    <t>Количество электродов 
- подповерхностный протяженный с активатором lэ&gt;12h</t>
  </si>
  <si>
    <t>подповерхностный протяженный с активатором lэ&gt;12h</t>
  </si>
  <si>
    <t>Сопротивление растеканию тока одного АЗ
- подповерхностный протяженный с активатором lэ&gt;12h</t>
  </si>
  <si>
    <t>Срок службы АЗ
- подповерхностный протяженный с активатором lэ&gt;12h</t>
  </si>
  <si>
    <t>Коэффициент отклонения срока службы АЗ от проектного
- подповерхностный протяженный с активатором lэ&gt;12h</t>
  </si>
  <si>
    <t>Сопротивление растеканию тока одного АЗ с откорректированным количеством электродов
- подповерхностный протяженный с активатором lэ&gt;12h</t>
  </si>
  <si>
    <t>Масса материала электродов АЗ (без учета активатора)
  - глубинный с выходом торца на поверхность с активатором</t>
  </si>
  <si>
    <t>Масса материала электродов АЗ  (без учета активатора)
- подповерхностный вертикальный</t>
  </si>
  <si>
    <t>Масса материала электродов АЗ  (без учета активатора)
-  подповерхностный горизонтальный lэ&lt;h</t>
  </si>
  <si>
    <t>Масса материала электродов АЗ  (без учета активатора)
- подповерхностный комбинированный</t>
  </si>
  <si>
    <t>Масса материала электродов АЗ  (без учета активатора)
- подповерхностный горизонтальный lэ&gt;h и lэ&gt;&gt;dэ c активатором</t>
  </si>
  <si>
    <t>Масса материала электродов АЗ  (без учета активатора)
- подповерхностный протяженный lэ&gt;12h</t>
  </si>
  <si>
    <t>Масса материала электродов АЗ  (без учета активатора)
- подповерхностный протяженный с активатором lэ&gt;12h</t>
  </si>
  <si>
    <t>Масса материала электродов АЗ  (без учета активатора)
 - глубинный без активатора</t>
  </si>
  <si>
    <t>Масса материала электродов АЗ  (без учета активатора)
 - глубинный без выхода торца на поверхность с активатором</t>
  </si>
  <si>
    <t>Срок службы АЗ
- подповерхностный вертикальный</t>
  </si>
  <si>
    <t>Срок службы АЗ
 - подповерхностный комбинированный</t>
  </si>
  <si>
    <t>ТУ 27.12.31-041-19394148-2020</t>
  </si>
  <si>
    <t xml:space="preserve">Анод протяженный (АПр) с электродом (рабочим элементом) из электропроводящего полимера тип 1 </t>
  </si>
  <si>
    <t>АПр Тип 1</t>
  </si>
  <si>
    <t>Анод протяженный (АПр) с электродом (рабочим элементом)  на основе титана с покрытием из ММО  тип 2</t>
  </si>
  <si>
    <t>АПр Тип 2</t>
  </si>
  <si>
    <t>ПАО "ТрансНефть"</t>
  </si>
  <si>
    <t>АЗПр тип 1 (I)</t>
  </si>
  <si>
    <t>АЗПр тип 1 (II)</t>
  </si>
  <si>
    <t>АЗПр тип 1 (III)</t>
  </si>
  <si>
    <t>АЗПр тип 2 (I)</t>
  </si>
  <si>
    <t>АЗПр тип 2 (II)</t>
  </si>
  <si>
    <t>АЗПр тип 2 (III)</t>
  </si>
  <si>
    <t>некомплектный</t>
  </si>
  <si>
    <t>ПАЗ.ПТМ.Ф (24)</t>
  </si>
  <si>
    <t>Среды с высокой и средней коррозионной агрессивностью (грунт)</t>
  </si>
  <si>
    <t>Газовая промышленность. Транснефть</t>
  </si>
  <si>
    <t>ТУ 27.12.31-020-19394148-2019
ТУ 27.12.31-009-19394148-2018</t>
  </si>
  <si>
    <t>ПАЗ.ПТМ.Ф (43)</t>
  </si>
  <si>
    <t>ПАЗ.ПТМ.Ф.К (24)</t>
  </si>
  <si>
    <t>ПАЗ.ПТМ.Ф.К (43)</t>
  </si>
  <si>
    <t>ГАЗ.ПТМ.Ф (24)</t>
  </si>
  <si>
    <t>ГАЗ.ПТМ.Ф (43)</t>
  </si>
  <si>
    <t>ГАЗ.ПТМ.Ф.К (24)</t>
  </si>
  <si>
    <t>ГАЗ.ПТМ.Ф.К (43)</t>
  </si>
  <si>
    <t>Морская и пресная вода, низкоомные грунты, прочие среды с высокой коррозионной агрессивностью</t>
  </si>
  <si>
    <t>ПАЗ.ПТМ.М.К</t>
  </si>
  <si>
    <t>ГАЗ.ПТМ.М.К</t>
  </si>
  <si>
    <t>ПАЗ.ПТМ.Т.К</t>
  </si>
  <si>
    <t>ГАЗ.ПТМ.Т.К</t>
  </si>
  <si>
    <t>ПАЗ.ПТМ.П</t>
  </si>
  <si>
    <t>ПАЗ.ПТМ.П1</t>
  </si>
  <si>
    <t>ПАЗ.ПТМ.П.К</t>
  </si>
  <si>
    <t>ПАЗ.ПТМ.П1.К</t>
  </si>
  <si>
    <t>ГАЗ.ПТМ.П</t>
  </si>
  <si>
    <t>ГАЗ.ПТМ.П.К</t>
  </si>
  <si>
    <t>ГАЗ.ПТМ.П1.К</t>
  </si>
  <si>
    <t>ТаблицаАЗ</t>
  </si>
  <si>
    <t>Анод протяженный (АПр) с электродом (рабочим элементом) из электропроводящего полимера тип 2</t>
  </si>
  <si>
    <t>Анод протяженный (АПр) с электродом (рабочим элементом) из электропроводящего полимера тип 3</t>
  </si>
  <si>
    <t>Анод протяженный (АПр) с электродом (рабочим элементом) из электропроводящего полимера тип 4</t>
  </si>
  <si>
    <t>Анод протяженный (АПр) с электродом (рабочим элементом) из электропроводящего полимера тип 5</t>
  </si>
  <si>
    <t>Анод протяженный (АПр) с электродом (рабочим элементом) из электропроводящего полимера тип 6</t>
  </si>
  <si>
    <t>Углеродопласт</t>
  </si>
  <si>
    <t>ТУ 27.12.31-020-19394148-2019
У 27.12.31-009-19394148-2018</t>
  </si>
  <si>
    <t>Титан ММО</t>
  </si>
  <si>
    <t>Электропроводящий полимер</t>
  </si>
  <si>
    <t>СТО Газпром 9.2-003-2020 оценка обьема вычислений</t>
  </si>
  <si>
    <t>Выбор параметров анодных заземлителей</t>
  </si>
  <si>
    <t>Рассчет параметров анодных заземлителей</t>
  </si>
  <si>
    <t>Расчет параметров анодных заземлителей</t>
  </si>
  <si>
    <t>Шаг 1</t>
  </si>
  <si>
    <t>Шаг 2</t>
  </si>
  <si>
    <t>Шаг 3</t>
  </si>
  <si>
    <t>Шаг 4</t>
  </si>
  <si>
    <t>Шаг 5</t>
  </si>
  <si>
    <t>Экран электрические параметры</t>
  </si>
  <si>
    <t>Экран установки катодной защиты</t>
  </si>
  <si>
    <t>Экран Анодные заземлители</t>
  </si>
  <si>
    <t>Вставить или ввести вручную параметры анодного заземлителя из справочника</t>
  </si>
  <si>
    <t>Вычислить или ввести вручную Удельное электрическое сопротивление i -того слоя земли, в котором располагается глубинное анодное заземление</t>
  </si>
  <si>
    <t>Остальные параметры вводятся вручную</t>
  </si>
  <si>
    <t>Вычислить или ввести вручную Коэффициент неоднородности грунта</t>
  </si>
  <si>
    <t>Вычислить или ввести вручную требуемое количество электродов</t>
  </si>
  <si>
    <t>Результат: Сопротивление растеканию тока одного АЗ с откорректированным количеством электродов</t>
  </si>
  <si>
    <t>Нажать кнопку: Рассчитать параметры анодных заземлителей</t>
  </si>
  <si>
    <t>Макрос расчета и отображения параметров по типу монтажа</t>
  </si>
  <si>
    <t>Нажать кнопку:</t>
  </si>
  <si>
    <t>Для возможности ввести значение валюнтаристски :)</t>
  </si>
  <si>
    <t>Последовательность действий для расчета Сопротивления растеканию тока одного анодного заземлителя с корректировкой количесва анодов вручную</t>
  </si>
  <si>
    <t>Переходное сопротивление трубопровода на единицу длины на начало эксплуатации t=0</t>
  </si>
  <si>
    <t>Менделеевец ММ(43)</t>
  </si>
  <si>
    <t>ТУ 3435-001-24707490-99</t>
  </si>
  <si>
    <t>Таблица 6.2</t>
  </si>
  <si>
    <t>по марке стали</t>
  </si>
  <si>
    <t>Таблица Б.1-2</t>
  </si>
  <si>
    <t>Формула (6.2)</t>
  </si>
  <si>
    <t>Формула (6.6)</t>
  </si>
  <si>
    <t>Таблица 6.1</t>
  </si>
  <si>
    <t>Формула (6.1)</t>
  </si>
  <si>
    <t>Формула (6.4)</t>
  </si>
  <si>
    <t>Формула (6.5)</t>
  </si>
  <si>
    <t>Формула (6.8)</t>
  </si>
  <si>
    <t>Формула (6.9)</t>
  </si>
  <si>
    <t>Формула (6.10)</t>
  </si>
  <si>
    <t>Формула (6.11 - 6.13)</t>
  </si>
  <si>
    <t>Формула (6.7)</t>
  </si>
  <si>
    <t>Формула  (6.14)</t>
  </si>
  <si>
    <t>Формула  (6.16)</t>
  </si>
  <si>
    <t>И того оценка вариантов расчета: 9*17=</t>
  </si>
  <si>
    <t>СПОСОБ МОНТАЖА* ПАРАМЕТРЫ</t>
  </si>
  <si>
    <t>КОМПЛЕКТНОСТЬ</t>
  </si>
  <si>
    <t>МАТЕРИАЛОВ</t>
  </si>
  <si>
    <t>ИТОГО:</t>
  </si>
  <si>
    <t>В результате вариантов вычисления параметров:</t>
  </si>
  <si>
    <t>Формула (6.20)</t>
  </si>
  <si>
    <t>Формула (6.19)</t>
  </si>
  <si>
    <t>Формула (6.17)</t>
  </si>
  <si>
    <t>Формула (6.18)</t>
  </si>
  <si>
    <t>Формула (6.22)</t>
  </si>
  <si>
    <t>Формула (6.23)</t>
  </si>
  <si>
    <t>Формула (6.24)</t>
  </si>
  <si>
    <t>Формула (6.35)</t>
  </si>
  <si>
    <t>Формула (6.25)</t>
  </si>
  <si>
    <t>Формула (6.33)</t>
  </si>
  <si>
    <t>Формула (6.38)</t>
  </si>
  <si>
    <t>Формула (6.21)</t>
  </si>
  <si>
    <t>Формула (6.34)</t>
  </si>
  <si>
    <t>Формула (6.36)</t>
  </si>
  <si>
    <t>Gз=Gэ*Nэ Нет в СТО</t>
  </si>
  <si>
    <t>Rр1'=Nз*0.7*Rз(t) Пункт 6.2.</t>
  </si>
  <si>
    <t>Rр1'=Nз*0.7*Rз(t) Нет в СТО</t>
  </si>
  <si>
    <t>Толщина стенки трубопровода (𝛿т.ср, м)</t>
  </si>
  <si>
    <t>Переходное сопротивление трубопровода на единицу длины на начало эксплуатации t=0 (Rп, Ом·м)</t>
  </si>
  <si>
    <t>Переходное сопротивление трубопровода на единицу длины прогноз изменения за срок эксплуатации t (Rп(t), Ом·м)</t>
  </si>
  <si>
    <t>Постоянная распространения тока вдоль трубопровода прогноз изменения за срок эксплуатации t (𝜶(t), 1/м)</t>
  </si>
  <si>
    <t>Фильтр:</t>
  </si>
  <si>
    <t>Марка стали трубопровода (мСт)</t>
  </si>
  <si>
    <t>Удельное электрическое сопротивление трубопровода (𝜌т, Ом·м)</t>
  </si>
  <si>
    <t>Диаметр трубопровода (Dт,  м)</t>
  </si>
  <si>
    <t>Глубина укладки трубопровода (Hт, м)</t>
  </si>
  <si>
    <t>Срок эксплуатации трубопровода (проектируемой УКЗ) (T, год )</t>
  </si>
  <si>
    <t>Коэффициент, характеризующий скорость изменения сопротивления защитного покрытия во времени (kиз, 1/год)</t>
  </si>
  <si>
    <t>Продольное сопротивление трубопровода на единицу длины (Rт, Ом/м)</t>
  </si>
  <si>
    <t>Сопротивление растеканию тока трубопровода (Rр, Ом·м^2)</t>
  </si>
  <si>
    <t>Переходное сопротивление трубопровода на единицу длины (Rпер, Ом·м^2)</t>
  </si>
  <si>
    <t>Постоянная распространения тока вдоль трубопровода (𝜶, 1/м)</t>
  </si>
  <si>
    <t>Минимальный защитный потенциал (Uм, В)</t>
  </si>
  <si>
    <t>Максимальный защитный потенциал (Uo, В)</t>
  </si>
  <si>
    <t>Длина дренажной линии и спусков провода с опор катодной станции к трубе (y, м)</t>
  </si>
  <si>
    <t>Длина анодной линии и спусков провода с опор катодной станции к АЗ (yc, м)</t>
  </si>
  <si>
    <t>Начальное сопротивление защитного покрытия трубопровода на единицу длины (R'из0, Ом·м)</t>
  </si>
  <si>
    <t>Минимальное смещение потенциала трубы (Uтзм, В)</t>
  </si>
  <si>
    <t>Смещение потенциала трубы в точке дренажа (Uтзо, В)</t>
  </si>
  <si>
    <t>Количество установок катодной защиты необходимое для защиты трубы длиной L (Nукз, шт)</t>
  </si>
  <si>
    <t>Коэффициент, учитывающий взаимовлияние соседних УКЗ (kв, )</t>
  </si>
  <si>
    <t>Длина защитной зоны трубы от одной катодной установки на заданный срок эксплуатации t (год) (Lз, м)</t>
  </si>
  <si>
    <t>Сила тока  катодной установки на начальный срок эксплуатации (I, А)</t>
  </si>
  <si>
    <t>Сила тока  катодной установки на заданный срок эксплуатации t (год) (I(t), А)</t>
  </si>
  <si>
    <t>Напряжение на выходе катодной установки на заданный срок эксплуатации t (год) (U(t), В)</t>
  </si>
  <si>
    <t>Сопротивление дренажной линии соединяющей катодную станцию с трубопроводом и анодным заземлением (Rд, Ом)</t>
  </si>
  <si>
    <t>Мощность катодной установки на заданный срок эксплуатации t (год) (Р = I·U, Вт)</t>
  </si>
  <si>
    <t>Увеличить силу тока при прокладке трубопровода в грунтах высокой коррозионной агрессивности.  (kI, )</t>
  </si>
  <si>
    <t>Средняя сила тока стекающего с  анодного заземлителя за планируемый период эксплуатации (Iз.ср., А)</t>
  </si>
  <si>
    <t>Номинальный выходной ток УКЗ (Iукз, А)</t>
  </si>
  <si>
    <t>Номинальное выходное напряжение УКЗ (Uукз, В)</t>
  </si>
  <si>
    <t>Номинальная выходная мощьность УКЗ (Рукз, Вт)</t>
  </si>
  <si>
    <t>Глубина монтажа  анодного заземлителя (до середины заземлителя) (hп, м)</t>
  </si>
  <si>
    <t>Диаметр электрода заземлителя в коксовой засыпке (dз, м)</t>
  </si>
  <si>
    <t>Длина электрода заземлителя в коксовой засыпке (lа, м)</t>
  </si>
  <si>
    <t>Коэффициент неоднородности грунта (kг, )</t>
  </si>
  <si>
    <t>Входное сопротивление трубопровода на начальный срок эксплуатации (Zвт, Ом)</t>
  </si>
  <si>
    <t>Входное сопротивление трубопровода прогноз изменения за срок эксплуатации t (Zвт(t), Ом)</t>
  </si>
  <si>
    <t>Характеристическое сопротивление плеча трубопровода (Z, Oм)</t>
  </si>
  <si>
    <t>Характеристическое сопротивление плеча трубопровода прогноз изменения за срок эксплуатации t (Z(t), Ом)</t>
  </si>
  <si>
    <t>Переходное сопротивление растеканию тока АЗ, состоящего из N электродов на последний год эксплуатации (Rз(t), Ом)</t>
  </si>
  <si>
    <t>Длина рабочей части глубинного анодного заземления (lз, м)</t>
  </si>
  <si>
    <t>dэ</t>
  </si>
  <si>
    <t>Диаметр электрода заземлителя (dэ, м)</t>
  </si>
  <si>
    <t>Сопротивление растеканию тока одного АЗ (Rр1, Ом) 
- подповерхностный вертикальный</t>
  </si>
  <si>
    <t>Сопротивление растеканию тока одного АЗ (Rр1, Ом)
- подповерхностный горизонтальный lэ&lt;h</t>
  </si>
  <si>
    <t>Сопротивление растеканию тока одного АЗ (Rр1, Ом)
- подповерхностный протяженный с активатором lэ&gt;12h</t>
  </si>
  <si>
    <t>Сопротивление растеканию тока одного АЗ (Rр1, Ом)
- подповерхностный протяженный lэ&gt;12h</t>
  </si>
  <si>
    <t>Сопротивление растеканию тока одного АЗ (Rр1, Ом) 
- подповерхностный горизонтальный lэ&gt;h и lэ&gt;&gt;dэ c активатором</t>
  </si>
  <si>
    <t>Сопротивление растеканию тока одного АЗ (Rр1, Ом)
 - глубинный без активатора</t>
  </si>
  <si>
    <t>Сопротивление растеканию тока одного АЗ (Rр1, Ом)
 - глубинный с выходом торца на поверхность с активатором</t>
  </si>
  <si>
    <t>Сопротивление растеканию тока одного АЗ (Rр1, Ом)
 - глубинный без выхода торца на поверхность с активатором</t>
  </si>
  <si>
    <t>Количество электродов АЗ (Nз, шт)
- подповерхностный вертикальный</t>
  </si>
  <si>
    <t>Количество электродов АЗ (Nз, шт) (Nз, шт)
- подповерхностный комбинированный</t>
  </si>
  <si>
    <t>Количество электродов АЗ (Nз, шт)
- подповерхностный горизонтальный lэ&gt;h и lэ&gt;&gt;dэ c активатором</t>
  </si>
  <si>
    <t>Количество электродов АЗ (Nз, шт) 
- подповерхностный протяженный lэ&gt;12h</t>
  </si>
  <si>
    <t>Количество электродов АЗ (Nз, шт)
- подповерхностный протяженный с активатором lэ&gt;12h</t>
  </si>
  <si>
    <t>Количество электродов АЗ (Nз, шт)
- глубинный без активатора</t>
  </si>
  <si>
    <t>Масса материала электродов АЗ без учета активатора (Gз, кг)
- подповерхностный вертикальный</t>
  </si>
  <si>
    <t>Масса материала электродов АЗ без учета активатора (Gз, кг)
- подповерхностный комбинированный</t>
  </si>
  <si>
    <t>Масса материала электродов АЗ без учета активатора (Gз, кг)
- подповерхностный горизонтальный lэ&gt;h и lэ&gt;&gt;dэ c активатором</t>
  </si>
  <si>
    <t>Масса материала электродов АЗ без учета активатора (Gз, кг)
- подповерхностный протяженный lэ&gt;12h</t>
  </si>
  <si>
    <t>Срок службы АЗ (Tр, год)
- подповерхностный вертикальный</t>
  </si>
  <si>
    <t>Срок службы АЗ (Tр, год)
- подповерхностный протяженный lэ&gt;12h</t>
  </si>
  <si>
    <t>Срок службы АЗ (Tр, год)
- подповерхностный протяженный с активатором lэ&gt;12h</t>
  </si>
  <si>
    <t>Коэффициент отклонения срока службы АЗ от проектного (kт, )
- подповерхностный протяженный lэ&gt;12h</t>
  </si>
  <si>
    <t>Коэффициент отклонения срока службы АЗ от проектного (kт, )
- подповерхностный протяженный с активатором lэ&gt;12h</t>
  </si>
  <si>
    <t>Сопротивление растеканию тока одного АЗ с откорректированным количеством электродов (Rр1', Ом) 
- подповерхностный вертикальный</t>
  </si>
  <si>
    <t>Сопротивление растеканию тока одного АЗ с откорректированным количеством электродов (Rр1', Ом)
- подповерхностный горизонтальный lэ&lt;h</t>
  </si>
  <si>
    <t>Сопротивление растеканию тока одного АЗ с откорректированным количеством электродов (Rр1', Ом)
- подповерхностный горизонтальный lэ&gt;h и lэ&gt;&gt;dэ c активатором</t>
  </si>
  <si>
    <t>Сопротивление растеканию тока одного АЗ с откорректированным количеством электродов (Rр1', Ом)
- глубинный без выхода торца на поверхность с активатором</t>
  </si>
  <si>
    <t>Количество электродов АЗ (Nз, шт)
- глубинный с выходом торца на поверхность с активатором</t>
  </si>
  <si>
    <t>Количество электродов АЗ (Nз, шт)
- глубинный без выхода торца на поверхность с активатором</t>
  </si>
  <si>
    <t>Масса материала электродов АЗ без учета активатора (Gз, кг)
- подповерхностный горизонтальный lэ&lt;h</t>
  </si>
  <si>
    <t>Масса материала электродов АЗ без учета активатора (Gз, кг)
- глубинный без активатора</t>
  </si>
  <si>
    <t>Масса материала электродов АЗ без учета активатора (Gз, кг)
- глубинный с выходом торца на поверхность с активатором</t>
  </si>
  <si>
    <t>Масса материала электродов АЗ без учета активатора (Gз, кг)
- глубинный без выхода торца на поверхность с активатором</t>
  </si>
  <si>
    <t>Срок службы АЗ (Tр, год)
- подповерхностный горизонтальный lэ&lt;h</t>
  </si>
  <si>
    <t>Срок службы АЗ (Tр, год)
- подповерхностный комбинированный</t>
  </si>
  <si>
    <t>Срок службы АЗ (Tр, год)
- подповерхностный горизонтальный lэ&gt;h и lэ&gt;&gt;dэ c активатором</t>
  </si>
  <si>
    <t>Срок службы АЗ (Tр, год)
- глубинный без активатора</t>
  </si>
  <si>
    <t>Срок службы АЗ (Tр, год)
- глубинный с выходом торца на поверхность с активатором</t>
  </si>
  <si>
    <t>Срок службы АЗ (Tр, год)
- глубинный без выхода торца на поверхность с активатором</t>
  </si>
  <si>
    <t>Коэффициент отклонения срока службы АЗ от проектного (kт, )
- подповерхностный вертикальный</t>
  </si>
  <si>
    <t>Коэффициент отклонения срока службы АЗ от проектного (kт, )
- подповерхностный горизонтальный lэ&lt;h</t>
  </si>
  <si>
    <t>Коэффициент отклонения срока службы АЗ от проектного (kт, )
- подповерхностный комбинированный</t>
  </si>
  <si>
    <t>Коэффициент отклонения срока службы АЗ от проектного (kт, )
- подповерхностный горизонтальный lэ&gt;h и lэ&gt;&gt;dэ c активатором</t>
  </si>
  <si>
    <t>Коэффициент отклонения срока службы АЗ от проектного (kт, )
- глубинный без активатора</t>
  </si>
  <si>
    <t>Коэффициент отклонения срока службы АЗ от проектного (kт, )
- глубинный с выходом торца на поверхность с активатором</t>
  </si>
  <si>
    <t>Коэффициент отклонения срока службы АЗ от проектного (kт, )
- глубинный без выхода торца на поверхность с активатором</t>
  </si>
  <si>
    <t>Сопротивление растеканию тока одного АЗ с откорректированным количеством электродов (Rр1', Ом)
- подповерхностный комбинированный</t>
  </si>
  <si>
    <t>Сопротивление растеканию тока одного АЗ с откорректированным количеством электродов (Rр1', Ом)
- подповерхностный протяженный lэ&gt;12h</t>
  </si>
  <si>
    <t>Сопротивление растеканию тока одного АЗ с откорректированным количеством электродов (Rр1', Ом)
- глубинный без активатора</t>
  </si>
  <si>
    <t>Сопротивление растеканию тока одного АЗ с откорректированным количеством электродов (Rр1', Ом)
- глубинный с выходом торца на поверхность с активатором</t>
  </si>
  <si>
    <t>Данные для тестирования</t>
  </si>
  <si>
    <t>Нажать кнопку для вычисления</t>
  </si>
  <si>
    <t>Ручной ввод</t>
  </si>
  <si>
    <t>Выбор фильтра по материалу</t>
  </si>
  <si>
    <t>Выбор фильтра по типу монтажа</t>
  </si>
  <si>
    <t>Выбор фильтра по способу монтажа</t>
  </si>
  <si>
    <t>Выбор комплектации</t>
  </si>
  <si>
    <t>Выбор модели АЗ ПОСЛЕ ФИЛЬТРАЦИИ</t>
  </si>
  <si>
    <t>Вычисляемы параметр</t>
  </si>
  <si>
    <t>Результат вычисления</t>
  </si>
  <si>
    <t>Ручной ввод или вычисление по данным изысканий Research</t>
  </si>
  <si>
    <t xml:space="preserve"> Нет данных модели</t>
  </si>
  <si>
    <t>ПСС материал не указан</t>
  </si>
  <si>
    <t>МЕТОДИКА ТЕСТИРОВАНИЯ РАСЧЁТОВ АЗ В EXCEL</t>
  </si>
  <si>
    <t>Шаг 4. Ввод параметров анодов в справочник List AG</t>
  </si>
  <si>
    <t>Проверить, что в List AG для выбранной модели анода заполнены: материал, l_э, d_э, l_а, d_а, масса, скорость растворения, токовая нагрузка. Для сценария №10 (тестовый анод) временно ввести параметры: материал «Электропроводящий полимер», диаметр 0,013 м, длина 20 м, масса 10 кг, скорость растворения 0,35111 кг/(А·год), комплектация «некомплектный», тип монтажа «протяженный».</t>
  </si>
  <si>
    <t>УКЗ 1</t>
  </si>
  <si>
    <t>УКЗ 2</t>
  </si>
  <si>
    <t>УКЗ 3</t>
  </si>
  <si>
    <t>УКЗ 4</t>
  </si>
  <si>
    <t>УКЗ 5</t>
  </si>
  <si>
    <t>УКЗ 6</t>
  </si>
  <si>
    <t>УКЗ 7</t>
  </si>
  <si>
    <t>УКЗ 8</t>
  </si>
  <si>
    <t>УКЗ 9</t>
  </si>
  <si>
    <t>УКЗ 10</t>
  </si>
  <si>
    <t>АЗ 1</t>
  </si>
  <si>
    <t>АЗ 2</t>
  </si>
  <si>
    <t>АЗ 3</t>
  </si>
  <si>
    <t>АЗ 4</t>
  </si>
  <si>
    <t>АЗ 5</t>
  </si>
  <si>
    <t>АЗ 6</t>
  </si>
  <si>
    <t>АЗ 7</t>
  </si>
  <si>
    <t>АЗ 8</t>
  </si>
  <si>
    <t>АЗ 9</t>
  </si>
  <si>
    <t>АЗ 10</t>
  </si>
  <si>
    <t>АПр Тип 1 (тестовый, длина 20 м, без засыпки) (²,³)</t>
  </si>
  <si>
    <t xml:space="preserve"> N_3 = R_p1 / (0,7 · R_3) (6.26)</t>
  </si>
  <si>
    <t>Аналогично СТО  N_3 = R_p1 / (0,7 · R_3) (6.26)</t>
  </si>
  <si>
    <t>R_p1 = (ρ_г/(2π·l_э))·[ln(2·l_э/d_э) + 0,5·ln((4h+l_э)/(4h–l_э))] (6.28)</t>
  </si>
  <si>
    <t>R_p1 = (ρ_г/(2π·l_э))·ln(2·l_э/d_э) (6.29)</t>
  </si>
  <si>
    <t>R_p1 = (ρ_г/(π·l_э))·ln(l_э/√(d_э·h)) (6.30)</t>
  </si>
  <si>
    <t>R_p1 = (ρ_г/(2π·l_а))·[ln(2·l_а/d_а) + ln((l_а+√(l_а²+16h²))/(4h)) + (ρ_а/ρ_г)·ln(d_а/d_э)] (6.31)</t>
  </si>
  <si>
    <t>R_p1 = (ρ_г/(π·l_а))·[ln(l_а/√(d_а·h)) + (ρ_а/(2ρ_г))·ln(d_а/d_э)] (6.32)</t>
  </si>
  <si>
    <t>R_гл = (l_з·ρ_э)/(2S_э) + (ρ_н/(2π·l_з))·[ln(4l_з/d_а) + (ρ_а/ρ_н)·ln(d_а/d_э)] (6.13)</t>
  </si>
  <si>
    <t xml:space="preserve"> РД 153-39.4-039-99</t>
  </si>
  <si>
    <t>R_гл = (l_з·ρ_э)/(2S_э) + (ρ_н/(2π·l_з))·[ln(2l_з/d_а) + 0,5·ln((4h+l_з)/(4h–l_з)) + (ρ_а/ρ_н)·ln(d_а/d_э)] (6.14)</t>
  </si>
  <si>
    <t>ρа ρэ</t>
  </si>
  <si>
    <t>ρi</t>
  </si>
  <si>
    <t>ЕСЛИ(ЕЧИСЛО(ПОИСК(R[-30]C;RC[-1]));</t>
  </si>
  <si>
    <t>Сопротивление защитного покрытия трубопровода (Rиз0, Ом·м^2)</t>
  </si>
  <si>
    <t>Формула (6.3)</t>
  </si>
  <si>
    <t>Основной вычисляемый итеративно параметр</t>
  </si>
  <si>
    <t>первая станция</t>
  </si>
  <si>
    <t>вторая станция</t>
  </si>
  <si>
    <t>Надеждинская</t>
  </si>
  <si>
    <t>Первая станция Надеждинская</t>
  </si>
  <si>
    <t>Вторая станция Надеждинская</t>
  </si>
  <si>
    <t>Плечо 1</t>
  </si>
  <si>
    <t>Плечо 2</t>
  </si>
  <si>
    <t>Lукз</t>
  </si>
  <si>
    <t>Сопротивление растеканию тока трубопровода на единицу длины (R'р, Ом·м)</t>
  </si>
  <si>
    <t>Rп0=R'p+R'из0*e^0                        Формула (6.7)</t>
  </si>
  <si>
    <t>с форума Транснефть</t>
  </si>
  <si>
    <t>Подпочвенный анодный заземлитель</t>
  </si>
  <si>
    <t xml:space="preserve">ЭЛГАЗ-К </t>
  </si>
  <si>
    <t>Масса материала электрода АЗ без учета активатора (Gз, кг)
- подповерхностный протяженный с активатором lэ&gt;12h</t>
  </si>
  <si>
    <t>Сопротивление растеканию тока одного АЗ с откорректированной длиной электрода (Rр1', Ом)
- подповерхностный протяженный с активатором lэ&gt;12h</t>
  </si>
  <si>
    <t>Предельное допустимое значение удельной токовой нагрузки с одного метра рабочего элемента, А/м</t>
  </si>
  <si>
    <t>Количество электродов АЗ (Nз, шт)
- подповерхностный горизонтальный lэ&lt;h</t>
  </si>
  <si>
    <t>Iа</t>
  </si>
  <si>
    <t>N_3 = (1,2·R_в1·R_г1 – R_3·R_в1) / (R_3·R_г1)/0.7 (6.27)</t>
  </si>
  <si>
    <t>Вычисление по данным изысканий или ручной ввод</t>
  </si>
  <si>
    <t>Длина рабочей части электрода заземлителя (lэ, м)</t>
  </si>
  <si>
    <t>Сечение токопроводящей жилы рабочего элемента, м^2</t>
  </si>
  <si>
    <t xml:space="preserve">Расстояние от заземлителя до ближайшего защищаемого сооружения, не менее </t>
  </si>
  <si>
    <t>Удельное электрическое сопротивление материала рабочего элемента заземлителя (rа, Ом*м)</t>
  </si>
  <si>
    <t>Удельное электрическое сопротивление коксовой засыпки заземлителя (rкз, Ом*м)</t>
  </si>
  <si>
    <t>Коэффициент использования массы рабочего элемента заземлителя (kи, )</t>
  </si>
  <si>
    <t>Коэффициент, учитывающий запас по выходному напряжению УКЗ (kв, )</t>
  </si>
  <si>
    <t>Масса заземлителя в сборе (без учёта кабеля), кг/м</t>
  </si>
  <si>
    <t>ГАЗ.ПТМ.П1</t>
  </si>
  <si>
    <t>Iаз.н</t>
  </si>
  <si>
    <t>Удельное электрическое сопротивление грунта в месте подповерхностного заземлителя (rг, Ом*м)</t>
  </si>
  <si>
    <t>Удельное электрическое сопротивление i -того слоя земли, в котором располагается глубинный заземлитель (ri, Ом*м)</t>
  </si>
  <si>
    <t>Номинальная токовая нагрузка, А, не более (Iа.н, А)</t>
  </si>
  <si>
    <t>Удельная номинальная токовая нагрузка на погонный метр изделия (Iаз.н, А/м)</t>
  </si>
  <si>
    <t>Масса материала электрода заземлителя без коксовой засыпки (Gэ, кг)</t>
  </si>
  <si>
    <t>Номинальная токовая нагрузка (Iа.н, А)</t>
  </si>
  <si>
    <t>Скорость растворения материала заземлителя (qз, кг/(А*год))</t>
  </si>
  <si>
    <t>Удельная токовая нагрузка заземлителя, не более (Iа, А/м^2)</t>
  </si>
  <si>
    <t xml:space="preserve">Расчет электрических характеристик трубопровода </t>
  </si>
  <si>
    <t xml:space="preserve">Исходные данные для определения параметров установок катодной защиты </t>
  </si>
  <si>
    <t>Выберите установку катодной защиты</t>
  </si>
  <si>
    <t>Выбор из справочника ПТМ материалав для каждого АЗ</t>
  </si>
  <si>
    <t>Выбор из справочника ПТМ типа монтажа для каждого АЗ</t>
  </si>
  <si>
    <t>Выбор из справочника ПТМ способа монтажа для каждого АЗ</t>
  </si>
  <si>
    <t>Выбор из справочника ПТМ комплектный/не комплектный для каждого АЗ</t>
  </si>
  <si>
    <t>Выбор из справочника ПТМ Модели АЗ</t>
  </si>
  <si>
    <t>Вычисляется по данным изысканий или вводится вручную</t>
  </si>
  <si>
    <t>Вводится вручную</t>
  </si>
  <si>
    <t>Плечо 3</t>
  </si>
  <si>
    <t>Плечо 4</t>
  </si>
  <si>
    <t>Плечо 5</t>
  </si>
  <si>
    <t>Плечо 6</t>
  </si>
  <si>
    <t>Плечо 7</t>
  </si>
  <si>
    <t>Плечо 8</t>
  </si>
  <si>
    <t>Плечо 9</t>
  </si>
  <si>
    <t>Плечо 10</t>
  </si>
  <si>
    <t>SavedSeparator</t>
  </si>
  <si>
    <t>.</t>
  </si>
  <si>
    <t>0.0050</t>
  </si>
  <si>
    <t>0.0055</t>
  </si>
  <si>
    <t>0.0060</t>
  </si>
  <si>
    <t>0.0065</t>
  </si>
  <si>
    <t>0.0070</t>
  </si>
  <si>
    <t>0.0075</t>
  </si>
  <si>
    <t>0.0080</t>
  </si>
  <si>
    <t>0.0085</t>
  </si>
  <si>
    <t>0.0090</t>
  </si>
  <si>
    <t>0.0095</t>
  </si>
  <si>
    <t>0.0100</t>
  </si>
  <si>
    <t>0.0105</t>
  </si>
  <si>
    <t>0.0110</t>
  </si>
  <si>
    <t>0.0115</t>
  </si>
  <si>
    <t>0.0120</t>
  </si>
  <si>
    <t>0.0125</t>
  </si>
  <si>
    <t>0.0140</t>
  </si>
  <si>
    <t>0.0150</t>
  </si>
  <si>
    <t>0.0160</t>
  </si>
  <si>
    <t>0.0170</t>
  </si>
  <si>
    <t>0.0200</t>
  </si>
  <si>
    <t>0.0040</t>
  </si>
  <si>
    <t>Model</t>
  </si>
  <si>
    <t/>
  </si>
  <si>
    <t>Выберите марку стали,</t>
  </si>
  <si>
    <t>Выберите или введите диаметр</t>
  </si>
  <si>
    <t>Выберите из списка или введите в ручную</t>
  </si>
  <si>
    <t xml:space="preserve"> удельное сопротивление подставится из таблицы</t>
  </si>
  <si>
    <t>Выберите или введите вручную</t>
  </si>
  <si>
    <t>Gэ.пр</t>
  </si>
  <si>
    <t>Удельная масса рабочего элемента протяженного заземлителя (Gэ.пр, кг/м)</t>
  </si>
  <si>
    <t>Gз=Gэ.пр*lэ*Nэ* Нет в СТО</t>
  </si>
  <si>
    <t>Количество плеч трубопровода в точке дренажа УКЗ (n, шт)</t>
  </si>
  <si>
    <t>Удельное электрическое сопротивление дренаждного провода (ρ,  Ом*м)</t>
  </si>
  <si>
    <t>Сечение провода дренажной линии (Sпр, м^2)</t>
  </si>
  <si>
    <t>Среднее удельное сопротивление грунта трубопровода (𝜌г, Ом*м)</t>
  </si>
  <si>
    <t>Длина трубопровода (L, м)</t>
  </si>
  <si>
    <t>Естественный потенциал  (Uе, В)</t>
  </si>
  <si>
    <t>Установка катодной защиты</t>
  </si>
  <si>
    <t>СКЗ-ИП-МР2-0,6-2-У1-А-485</t>
  </si>
  <si>
    <t>СКЗ-ИП-МР2-1.2-4-У1-А-485</t>
  </si>
  <si>
    <t>СКЗ-ИП-МР2-1.8-6-У1-А-485</t>
  </si>
  <si>
    <t>СКЗ-ИП-МР2-2.4-8-У1-А-485</t>
  </si>
  <si>
    <t>СКЗ-ИП-МР2-0.75-2-У1-А-485</t>
  </si>
  <si>
    <t xml:space="preserve">Равномерное распределение УКЗ по дистанции или Ручной ввод </t>
  </si>
  <si>
    <t>Выбор УКЗ из справочника List CP TableCP</t>
  </si>
  <si>
    <t>Данные УКЗ подставляются из справочника TableCP</t>
  </si>
  <si>
    <t>Вычислямый параметр или ручной ввод</t>
  </si>
  <si>
    <t>Вычислямый параметр</t>
  </si>
  <si>
    <t>Параметры АЗ подставляются из справочника List CP</t>
  </si>
  <si>
    <t>Для справки в расчетах не используется</t>
  </si>
  <si>
    <t>Вычислить по данным изысканий или ввести вручную</t>
  </si>
  <si>
    <t>Результат расчета тубопровода или ручной ввод</t>
  </si>
  <si>
    <t>Gз=Gэ.пр*lэ*Nэ Нет в СТО</t>
  </si>
  <si>
    <t>𝛾</t>
  </si>
  <si>
    <r>
      <t>Для неоднородных участков </t>
    </r>
    <r>
      <rPr>
        <sz val="12"/>
        <color theme="1"/>
        <rFont val="Calibri"/>
        <family val="2"/>
        <charset val="204"/>
        <scheme val="minor"/>
      </rPr>
      <t>α(t)</t>
    </r>
    <r>
      <rPr>
        <b/>
        <i/>
        <sz val="16"/>
        <color rgb="FF000000"/>
        <rFont val="KaTeX_Math"/>
      </rPr>
      <t>α</t>
    </r>
    <r>
      <rPr>
        <sz val="12"/>
        <color theme="1"/>
        <rFont val="Calibri"/>
        <family val="2"/>
        <charset val="204"/>
        <scheme val="minor"/>
      </rPr>
      <t>(</t>
    </r>
    <r>
      <rPr>
        <b/>
        <i/>
        <sz val="16"/>
        <color rgb="FF000000"/>
        <rFont val="KaTeX_Math"/>
      </rPr>
      <t>t</t>
    </r>
    <r>
      <rPr>
        <sz val="12"/>
        <color theme="1"/>
        <rFont val="Calibri"/>
        <family val="2"/>
        <charset val="204"/>
        <scheme val="minor"/>
      </rPr>
      <t>)</t>
    </r>
    <r>
      <rPr>
        <b/>
        <sz val="16"/>
        <color rgb="FF000000"/>
        <rFont val="Arial"/>
        <family val="2"/>
      </rPr>
      <t> всегда определяют через </t>
    </r>
    <r>
      <rPr>
        <sz val="12"/>
        <color theme="1"/>
        <rFont val="Calibri"/>
        <family val="2"/>
        <charset val="204"/>
        <scheme val="minor"/>
      </rPr>
      <t>Rп,min⁡(t)</t>
    </r>
    <r>
      <rPr>
        <b/>
        <i/>
        <sz val="16"/>
        <color rgb="FF000000"/>
        <rFont val="KaTeX_Math"/>
      </rPr>
      <t>R</t>
    </r>
    <r>
      <rPr>
        <b/>
        <sz val="8.4"/>
        <color rgb="FF000000"/>
        <rFont val="Times New Roman"/>
        <family val="1"/>
      </rPr>
      <t>п,min</t>
    </r>
    <r>
      <rPr>
        <b/>
        <sz val="1"/>
        <color rgb="FF000000"/>
        <rFont val="Times New Roman"/>
        <family val="1"/>
      </rPr>
      <t>​</t>
    </r>
    <r>
      <rPr>
        <sz val="12"/>
        <color theme="1"/>
        <rFont val="Calibri"/>
        <family val="2"/>
        <charset val="204"/>
        <scheme val="minor"/>
      </rPr>
      <t>(</t>
    </r>
    <r>
      <rPr>
        <b/>
        <i/>
        <sz val="16"/>
        <color rgb="FF000000"/>
        <rFont val="KaTeX_Math"/>
      </rPr>
      <t>t</t>
    </r>
    <r>
      <rPr>
        <sz val="12"/>
        <color theme="1"/>
        <rFont val="Calibri"/>
        <family val="2"/>
        <charset val="204"/>
        <scheme val="minor"/>
      </rPr>
      <t>)</t>
    </r>
    <r>
      <rPr>
        <sz val="16"/>
        <color rgb="FF000000"/>
        <rFont val="Arial"/>
        <family val="2"/>
      </rPr>
      <t> — это консервативный и безопасный подход, соответствующий нормативам.</t>
    </r>
  </si>
  <si>
    <r>
      <t>Коэффициенты </t>
    </r>
    <r>
      <rPr>
        <sz val="12"/>
        <color theme="1"/>
        <rFont val="Calibri"/>
        <family val="2"/>
        <charset val="204"/>
        <scheme val="minor"/>
      </rPr>
      <t>γi</t>
    </r>
    <r>
      <rPr>
        <b/>
        <i/>
        <sz val="16"/>
        <color rgb="FF000000"/>
        <rFont val="KaTeX_Math"/>
      </rPr>
      <t>γ</t>
    </r>
    <r>
      <rPr>
        <b/>
        <i/>
        <sz val="8.4"/>
        <color rgb="FF000000"/>
        <rFont val="KaTeX_Math"/>
      </rPr>
      <t>i</t>
    </r>
    <r>
      <rPr>
        <b/>
        <sz val="1"/>
        <color rgb="FF000000"/>
        <rFont val="Times New Roman"/>
        <family val="1"/>
      </rPr>
      <t>​</t>
    </r>
    <r>
      <rPr>
        <b/>
        <sz val="16"/>
        <color rgb="FF000000"/>
        <rFont val="Arial"/>
        <family val="2"/>
      </rPr>
      <t> и начальные </t>
    </r>
    <r>
      <rPr>
        <sz val="12"/>
        <color theme="1"/>
        <rFont val="Calibri"/>
        <family val="2"/>
        <charset val="204"/>
        <scheme val="minor"/>
      </rPr>
      <t>Rп0,i</t>
    </r>
    <r>
      <rPr>
        <b/>
        <i/>
        <sz val="16"/>
        <color rgb="FF000000"/>
        <rFont val="KaTeX_Math"/>
      </rPr>
      <t>R</t>
    </r>
    <r>
      <rPr>
        <b/>
        <sz val="8.4"/>
        <color rgb="FF000000"/>
        <rFont val="Times New Roman"/>
        <family val="1"/>
      </rPr>
      <t>п0,</t>
    </r>
    <r>
      <rPr>
        <b/>
        <i/>
        <sz val="8.4"/>
        <color rgb="FF000000"/>
        <rFont val="KaTeX_Math"/>
      </rPr>
      <t>i</t>
    </r>
    <r>
      <rPr>
        <b/>
        <sz val="1"/>
        <color rgb="FF000000"/>
        <rFont val="Times New Roman"/>
        <family val="1"/>
      </rPr>
      <t>​</t>
    </r>
    <r>
      <rPr>
        <b/>
        <sz val="16"/>
        <color rgb="FF000000"/>
        <rFont val="Arial"/>
        <family val="2"/>
      </rPr>
      <t> должны быть обоснованы</t>
    </r>
    <r>
      <rPr>
        <sz val="16"/>
        <color rgb="FF000000"/>
        <rFont val="Arial"/>
        <family val="2"/>
      </rPr>
      <t>: по типу покрытия, данным изысканий, результатам измерений.</t>
    </r>
  </si>
  <si>
    <r>
      <t>Если на участке есть «аномальные» зоны</t>
    </r>
    <r>
      <rPr>
        <sz val="16"/>
        <color rgb="FF000000"/>
        <rFont val="Arial"/>
        <family val="2"/>
      </rPr>
      <t> (например, переход через дорогу, участок с повреждённой изоляцией), их нужно выделять в отдельные расчётные зоны и обязательно учитывать при определении </t>
    </r>
    <r>
      <rPr>
        <sz val="16"/>
        <color rgb="FF000000"/>
        <rFont val="Times New Roman"/>
        <family val="1"/>
      </rPr>
      <t>Rп,min⁡(t)</t>
    </r>
    <r>
      <rPr>
        <i/>
        <sz val="16"/>
        <color rgb="FF000000"/>
        <rFont val="KaTeX_Math"/>
      </rPr>
      <t>R</t>
    </r>
    <r>
      <rPr>
        <sz val="8.4"/>
        <color rgb="FF000000"/>
        <rFont val="Times New Roman"/>
        <family val="1"/>
      </rPr>
      <t>п,min</t>
    </r>
    <r>
      <rPr>
        <sz val="1"/>
        <color rgb="FF000000"/>
        <rFont val="Times New Roman"/>
        <family val="1"/>
      </rPr>
      <t>​</t>
    </r>
    <r>
      <rPr>
        <sz val="16"/>
        <color rgb="FF000000"/>
        <rFont val="Times New Roman"/>
        <family val="1"/>
      </rPr>
      <t>(</t>
    </r>
    <r>
      <rPr>
        <i/>
        <sz val="16"/>
        <color rgb="FF000000"/>
        <rFont val="KaTeX_Math"/>
      </rPr>
      <t>t</t>
    </r>
    <r>
      <rPr>
        <sz val="16"/>
        <color rgb="FF000000"/>
        <rFont val="Times New Roman"/>
        <family val="1"/>
      </rPr>
      <t>)</t>
    </r>
    <r>
      <rPr>
        <sz val="16"/>
        <color rgb="FF000000"/>
        <rFont val="Arial"/>
        <family val="2"/>
      </rPr>
      <t>.</t>
    </r>
  </si>
  <si>
    <r>
      <t>Длина защитной зоны обратно пропорциональна </t>
    </r>
    <r>
      <rPr>
        <sz val="12"/>
        <color theme="1"/>
        <rFont val="Calibri"/>
        <family val="2"/>
        <charset val="204"/>
        <scheme val="minor"/>
      </rPr>
      <t>α</t>
    </r>
    <r>
      <rPr>
        <b/>
        <i/>
        <sz val="16"/>
        <color rgb="FF000000"/>
        <rFont val="KaTeX_Math"/>
      </rPr>
      <t>α</t>
    </r>
    <r>
      <rPr>
        <sz val="16"/>
        <color rgb="FF000000"/>
        <rFont val="Arial"/>
        <family val="2"/>
      </rPr>
      <t>, поэтому рост </t>
    </r>
    <r>
      <rPr>
        <sz val="16"/>
        <color rgb="FF000000"/>
        <rFont val="Times New Roman"/>
        <family val="1"/>
      </rPr>
      <t>α</t>
    </r>
    <r>
      <rPr>
        <i/>
        <sz val="16"/>
        <color rgb="FF000000"/>
        <rFont val="KaTeX_Math"/>
      </rPr>
      <t>α</t>
    </r>
    <r>
      <rPr>
        <sz val="16"/>
        <color rgb="FF000000"/>
        <rFont val="Arial"/>
        <family val="2"/>
      </rPr>
      <t> из‑за снижения </t>
    </r>
    <r>
      <rPr>
        <sz val="16"/>
        <color rgb="FF000000"/>
        <rFont val="Times New Roman"/>
        <family val="1"/>
      </rPr>
      <t>Rп</t>
    </r>
    <r>
      <rPr>
        <i/>
        <sz val="16"/>
        <color rgb="FF000000"/>
        <rFont val="KaTeX_Math"/>
      </rPr>
      <t>R</t>
    </r>
    <r>
      <rPr>
        <sz val="8.4"/>
        <color rgb="FF000000"/>
        <rFont val="Times New Roman"/>
        <family val="1"/>
      </rPr>
      <t>п</t>
    </r>
    <r>
      <rPr>
        <sz val="1"/>
        <color rgb="FF000000"/>
        <rFont val="Times New Roman"/>
        <family val="1"/>
      </rPr>
      <t>​</t>
    </r>
    <r>
      <rPr>
        <sz val="16"/>
        <color rgb="FF000000"/>
        <rFont val="Arial"/>
        <family val="2"/>
      </rPr>
      <t> напрямую сокращает зону действия одной установки катодной защиты</t>
    </r>
  </si>
  <si>
    <t>Практические выводы и рекомендации по СТО Газпром 9.2‑003‑2020</t>
  </si>
  <si>
    <t>Зона 1</t>
  </si>
  <si>
    <t>specificMassOneElectrodeAG</t>
  </si>
  <si>
    <t>Имя</t>
  </si>
  <si>
    <t>Область</t>
  </si>
  <si>
    <t>Лист</t>
  </si>
  <si>
    <t>Значение</t>
  </si>
  <si>
    <t>Pipe calculation'!_FilterDatabase</t>
  </si>
  <si>
    <t>Pipe calculation</t>
  </si>
  <si>
    <t>_xlfn._xlws.FILTER</t>
  </si>
  <si>
    <t>Книга</t>
  </si>
  <si>
    <t>_xlfn.ANCHORARRAY</t>
  </si>
  <si>
    <t>_xlfn.IFERROR</t>
  </si>
  <si>
    <t>_xlfn.SINGLE</t>
  </si>
  <si>
    <t>_xlfn.UNIQUE</t>
  </si>
  <si>
    <t>_xlfn.XLOOKUP</t>
  </si>
  <si>
    <t>Anod calculation'!сokeBreezeDiameterAG</t>
  </si>
  <si>
    <t>Anod calculation</t>
  </si>
  <si>
    <t>$D$41:$M$41</t>
  </si>
  <si>
    <t>Anod calculation'!сokeBreezelengthElectrodeAG</t>
  </si>
  <si>
    <t>$D$42:$M$42</t>
  </si>
  <si>
    <t>Anod calculation'!сokeBreezeResistivityAG</t>
  </si>
  <si>
    <t>$D$47:$M$47</t>
  </si>
  <si>
    <t>Anod calculation'!avgProtectionCurrentCPOverLife</t>
  </si>
  <si>
    <t>$D$25:$M$25</t>
  </si>
  <si>
    <t>Anod calculation'!correctResistanceAG</t>
  </si>
  <si>
    <t>$D$110:$D$118</t>
  </si>
  <si>
    <t>Anod calculation'!currentCP</t>
  </si>
  <si>
    <t>$D$20:$M$20</t>
  </si>
  <si>
    <t>Anod calculation'!currentEndLifeCP</t>
  </si>
  <si>
    <t>$D$21:$M$21</t>
  </si>
  <si>
    <t>Anod calculation'!depthToMidAG</t>
  </si>
  <si>
    <t>$D$51:$M$51</t>
  </si>
  <si>
    <t>Anod calculation'!diameterAG</t>
  </si>
  <si>
    <t>$D$39:$M$39</t>
  </si>
  <si>
    <t>Anod calculation'!dissolutionRateAG</t>
  </si>
  <si>
    <t>$D$44:$M$44</t>
  </si>
  <si>
    <t>Anod calculation'!drainWireCrossSection</t>
  </si>
  <si>
    <t>$D$11:$M$11</t>
  </si>
  <si>
    <t>Anod calculation'!factorCurrent</t>
  </si>
  <si>
    <t>$D$9:$M$9</t>
  </si>
  <si>
    <t>Anod calculation'!factorMutualInfluence</t>
  </si>
  <si>
    <t>$D$6</t>
  </si>
  <si>
    <t>Pipe calculation'!factorPropagationCurrentAlongPipe</t>
  </si>
  <si>
    <t>$D$24:$M$24</t>
  </si>
  <si>
    <t>Pipe calculation'!factorPropagationCurrentAlongPipeEndLife</t>
  </si>
  <si>
    <t>Anod calculation'!factorSoilHeterogeneity</t>
  </si>
  <si>
    <t>$D$54:$M$54</t>
  </si>
  <si>
    <t>Research data'!factorSoilHeterogeneity</t>
  </si>
  <si>
    <t>Research data</t>
  </si>
  <si>
    <t>$DT$1:$EC$1</t>
  </si>
  <si>
    <t>Anod calculation'!factorUseMassAG</t>
  </si>
  <si>
    <t>$D$55:$M$55</t>
  </si>
  <si>
    <t>Anod calculation'!factorVoltageMarginCP</t>
  </si>
  <si>
    <t>$D$56:$M$56</t>
  </si>
  <si>
    <t>Anod calculation'!InstallCP</t>
  </si>
  <si>
    <t>$D$26:$M$26</t>
  </si>
  <si>
    <t>Anod calculation'!lengthElectrodeAG</t>
  </si>
  <si>
    <t>$D$40:$M$40</t>
  </si>
  <si>
    <t>Anod calculation'!lengthProtectiveZone</t>
  </si>
  <si>
    <t>$D$18</t>
  </si>
  <si>
    <t>Anod calculation'!lengthWireAGtoPipe</t>
  </si>
  <si>
    <t>$D$13:$M$13</t>
  </si>
  <si>
    <t>Anod calculation'!lengthWireCPtoPipe</t>
  </si>
  <si>
    <t>$D$12:$M$12</t>
  </si>
  <si>
    <t>Anod calculation'!lengthWorkPartDeepAG</t>
  </si>
  <si>
    <t>$D$59:$M$59</t>
  </si>
  <si>
    <t>Anod calculation'!massOneElectrodeAG</t>
  </si>
  <si>
    <t>$D$43:$M$43</t>
  </si>
  <si>
    <t>Anod calculation'!maxProtectPotential</t>
  </si>
  <si>
    <t>$D$4</t>
  </si>
  <si>
    <t>Anod calculation'!minDistancePipeToAG</t>
  </si>
  <si>
    <t>$D$50:$M$50</t>
  </si>
  <si>
    <t>Anod calculation'!minProtectPotential</t>
  </si>
  <si>
    <t>$D$3</t>
  </si>
  <si>
    <t>Anod calculation'!naturalPotential</t>
  </si>
  <si>
    <t>$D$5</t>
  </si>
  <si>
    <t>Anod calculation'!nominalOutputCurrenCP</t>
  </si>
  <si>
    <t>$D$29:$M$29</t>
  </si>
  <si>
    <t>Anod calculation'!nominalOutputPowerCP</t>
  </si>
  <si>
    <t>$D$31:$M$31</t>
  </si>
  <si>
    <t>Anod calculation'!nominalOutputVoltageCP</t>
  </si>
  <si>
    <t>$D$30:$M$30</t>
  </si>
  <si>
    <t>Anod calculation'!numElectrodesAG</t>
  </si>
  <si>
    <t>$D$70:$M$79</t>
  </si>
  <si>
    <t>Anod calculation'!oneElectrodeResistanceAG</t>
  </si>
  <si>
    <t>$D$60:$M$69</t>
  </si>
  <si>
    <t>Pipe calculation'!pipeAlongResistance</t>
  </si>
  <si>
    <t>$D$17:$M$17</t>
  </si>
  <si>
    <t>Anod calculation'!pipeCountCP</t>
  </si>
  <si>
    <t>$D$19</t>
  </si>
  <si>
    <t>Anod calculation'!pipeDiameter</t>
  </si>
  <si>
    <t>$D$7:$M$7</t>
  </si>
  <si>
    <t>Pipe calculation'!pipeDiameter</t>
  </si>
  <si>
    <t>Anod calculation'!pipeDifferentParametersNum</t>
  </si>
  <si>
    <t>Pipe calculation'!pipeDifferentParametersNum</t>
  </si>
  <si>
    <t>Pipe calculation'!pipeImpedance</t>
  </si>
  <si>
    <t>Pipe calculation'!pipeImpedanceEndLife</t>
  </si>
  <si>
    <t>$D$27:$M$27</t>
  </si>
  <si>
    <t>Pipe calculation'!pipeInputResistance</t>
  </si>
  <si>
    <t>$D$28</t>
  </si>
  <si>
    <t>Pipe calculation'!pipeInputResistanceEndLife</t>
  </si>
  <si>
    <t>$D$29</t>
  </si>
  <si>
    <t>Pipe calculation'!pipeInsulationResistanceStartLife</t>
  </si>
  <si>
    <t>Pipe calculation'!pipeInsulationResistivityStartLife</t>
  </si>
  <si>
    <t>Pipe calculation'!pipeLayingDepth</t>
  </si>
  <si>
    <t>$D$10:$M$10</t>
  </si>
  <si>
    <t>Anod calculation'!pipeLength</t>
  </si>
  <si>
    <t>$D$7</t>
  </si>
  <si>
    <t>Anod calculation'!pipeLengthCP</t>
  </si>
  <si>
    <t>$D$8:$M$8</t>
  </si>
  <si>
    <t>Pipe calculation'!pipeResistivityChangeFactor</t>
  </si>
  <si>
    <t>Anod calculation'!pipeShiftPotentialMin</t>
  </si>
  <si>
    <t>$D$16</t>
  </si>
  <si>
    <t>Anod calculation'!pipeShiftPotentialPoint</t>
  </si>
  <si>
    <t>$D$17</t>
  </si>
  <si>
    <t>Pipe calculation'!pipeSidesInputResistance</t>
  </si>
  <si>
    <t>Pipe calculation'!pipeSidesInputResistanceEndLife</t>
  </si>
  <si>
    <t>Pipe calculation'!pipeSteelResistivity</t>
  </si>
  <si>
    <t>$D$6:$M$6</t>
  </si>
  <si>
    <t>Pipe calculation'!pipeTransientResistance</t>
  </si>
  <si>
    <t>$D$22:$M$22</t>
  </si>
  <si>
    <t>Pipe calculation'!pipeTransientResistanceEndLife</t>
  </si>
  <si>
    <t>$D$23:$M$23</t>
  </si>
  <si>
    <t>Pipe calculation'!pipeWallThickness</t>
  </si>
  <si>
    <t>Pipe calculation'!pipeWallThicknessAvg1</t>
  </si>
  <si>
    <t>$BW$3</t>
  </si>
  <si>
    <t>Pipe calculation'!pipeWallThicknessAvg10</t>
  </si>
  <si>
    <t>$DG$3</t>
  </si>
  <si>
    <t>Pipe calculation'!pipeWallThicknessAvg2</t>
  </si>
  <si>
    <t>$CA$3</t>
  </si>
  <si>
    <t>Pipe calculation'!pipeWallThicknessAvg3</t>
  </si>
  <si>
    <t>$CE$3</t>
  </si>
  <si>
    <t>Pipe calculation'!pipeWallThicknessAvg4</t>
  </si>
  <si>
    <t>$CI$3</t>
  </si>
  <si>
    <t>Pipe calculation'!pipeWallThicknessAvg5</t>
  </si>
  <si>
    <t>$CM$3</t>
  </si>
  <si>
    <t>Pipe calculation'!pipeWallThicknessAvg6</t>
  </si>
  <si>
    <t>$CQ$3</t>
  </si>
  <si>
    <t>Pipe calculation'!pipeWallThicknessAvg7</t>
  </si>
  <si>
    <t>$CU$3</t>
  </si>
  <si>
    <t>Pipe calculation'!pipeWallThicknessAvg8</t>
  </si>
  <si>
    <t>$CY$3</t>
  </si>
  <si>
    <t>Pipe calculation'!pipeWallThicknessAvg9</t>
  </si>
  <si>
    <t>$DC$3</t>
  </si>
  <si>
    <t>Anod calculation'!powerEndLifeCP</t>
  </si>
  <si>
    <t>Anod calculation'!ratedCurrent</t>
  </si>
  <si>
    <t>$D$45:$M$45</t>
  </si>
  <si>
    <t>Anod calculation'!resistanceEndLifeAG</t>
  </si>
  <si>
    <t>$D$58:$M$58</t>
  </si>
  <si>
    <t>Anod calculation'!resistivity_i_layerDeepAG</t>
  </si>
  <si>
    <t>$D$53:$M$53</t>
  </si>
  <si>
    <t>Research data'!resistivity_ilayerDeepAG</t>
  </si>
  <si>
    <t>$DT$3:$EC$3</t>
  </si>
  <si>
    <t>Anod calculation'!resistivityMaterialAG</t>
  </si>
  <si>
    <t>$D$46:$M$46</t>
  </si>
  <si>
    <t>Anod calculation'!resistivitySoilAG</t>
  </si>
  <si>
    <t>$D$52:$M$52</t>
  </si>
  <si>
    <t>Anod calculation'!serviceLifeAG</t>
  </si>
  <si>
    <t>$D$90:$M$99</t>
  </si>
  <si>
    <t>Pipe calculation'!serviceLifeDesigned</t>
  </si>
  <si>
    <t>Anod calculation'!serviceLifeDeviation</t>
  </si>
  <si>
    <t>$D$100:$D$107</t>
  </si>
  <si>
    <t>Pipe calculation'!soilAvgResistivityAlongPipe1</t>
  </si>
  <si>
    <t>$I$3</t>
  </si>
  <si>
    <t>Pipe calculation'!soilAvgResistivityAlongPipe10</t>
  </si>
  <si>
    <t>$BK$3</t>
  </si>
  <si>
    <t>Pipe calculation'!soilAvgResistivityAlongPipe2</t>
  </si>
  <si>
    <t>$O$3</t>
  </si>
  <si>
    <t>Pipe calculation'!soilAvgResistivityAlongPipe3</t>
  </si>
  <si>
    <t>$U$3</t>
  </si>
  <si>
    <t>Pipe calculation'!soilAvgResistivityAlongPipe4</t>
  </si>
  <si>
    <t>$AA$3</t>
  </si>
  <si>
    <t>Pipe calculation'!soilAvgResistivityAlongPipe5</t>
  </si>
  <si>
    <t>$AG$3</t>
  </si>
  <si>
    <t>Pipe calculation'!soilAvgResistivityAlongPipe6</t>
  </si>
  <si>
    <t>$AM$3</t>
  </si>
  <si>
    <t>Pipe calculation'!soilAvgResistivityAlongPipe7</t>
  </si>
  <si>
    <t>$AS$3</t>
  </si>
  <si>
    <t>Pipe calculation'!soilAvgResistivityAlongPipe8</t>
  </si>
  <si>
    <t>$AY$3</t>
  </si>
  <si>
    <t>Pipe calculation'!soilAvgResistivityAlongPipe9</t>
  </si>
  <si>
    <t>$BE$3</t>
  </si>
  <si>
    <t>Pipe calculation'!soilResistanceAroundPipe</t>
  </si>
  <si>
    <t>$D$18:$M$18</t>
  </si>
  <si>
    <t>Anod calculation'!soilResistivityAG</t>
  </si>
  <si>
    <t>Pipe calculation'!soilResistivityAroundPipe</t>
  </si>
  <si>
    <t>Pipe calculation'!soilResistivityAvg</t>
  </si>
  <si>
    <t>Anod calculation'!specificMaccOneMetеrAG</t>
  </si>
  <si>
    <t>$D$49:$M$49</t>
  </si>
  <si>
    <t>Anod calculation'!specificRatedCurrent</t>
  </si>
  <si>
    <t>$D$48:$M$48</t>
  </si>
  <si>
    <t>Pipe calculation'!steelGradePipe</t>
  </si>
  <si>
    <t>$D$5:$M$5</t>
  </si>
  <si>
    <t>Pipe calculation'!t</t>
  </si>
  <si>
    <t>$D$12:$E$12</t>
  </si>
  <si>
    <t>Anod calculation'!typeAG</t>
  </si>
  <si>
    <t>$D$38:$M$38</t>
  </si>
  <si>
    <t>Anod calculation'!typeCP</t>
  </si>
  <si>
    <t>Anod calculation'!typeDeliveryAG</t>
  </si>
  <si>
    <t>$D$37:$M$37</t>
  </si>
  <si>
    <t>Anod calculation'!typeInstallationAG</t>
  </si>
  <si>
    <t>$D$36:$M$36</t>
  </si>
  <si>
    <t>Anod calculation'!typeMaterial</t>
  </si>
  <si>
    <t>$D$34:$M$34</t>
  </si>
  <si>
    <t>Anod calculation'!typeSoilAG</t>
  </si>
  <si>
    <t>Anod calculation'!voltageEndLifeCP</t>
  </si>
  <si>
    <t>Anod calculation'!webLinkCP</t>
  </si>
  <si>
    <t>Anod calculation'!weightWithoutFillingAG</t>
  </si>
  <si>
    <t>$D$80:$M$89</t>
  </si>
  <si>
    <t>Anod calculation'!wireResistivity</t>
  </si>
  <si>
    <t>Anod calculation'!wiresResistanceCPpipeAG</t>
  </si>
  <si>
    <t>Реальная область</t>
  </si>
  <si>
    <t>Тип</t>
  </si>
  <si>
    <t>Статус</t>
  </si>
  <si>
    <t>Ошибка</t>
  </si>
  <si>
    <t>ЛОКАЛЬНОЕ</t>
  </si>
  <si>
    <t>Локальное</t>
  </si>
  <si>
    <t>?? ОШИБКА</t>
  </si>
  <si>
    <t>Диапазон</t>
  </si>
  <si>
    <t>Диапазон (10 ячеек)</t>
  </si>
  <si>
    <t>? OK</t>
  </si>
  <si>
    <t>Диапазон (9 ячеек)</t>
  </si>
  <si>
    <t>Скалярное</t>
  </si>
  <si>
    <t>Диапазон (100 ячеек)</t>
  </si>
  <si>
    <t>Диапазон (8 ячеек)</t>
  </si>
  <si>
    <t>?? СТАТИСТИКА</t>
  </si>
  <si>
    <t>Всего имен в книге:</t>
  </si>
  <si>
    <t>Глобальных:</t>
  </si>
  <si>
    <t>Локальных:</t>
  </si>
  <si>
    <t>Отфильтровано:</t>
  </si>
  <si>
    <t>Тип фильтра:</t>
  </si>
  <si>
    <t>Sheet</t>
  </si>
  <si>
    <t>Порядок сортировки:</t>
  </si>
  <si>
    <t>1.Ошибки ? 2.Область ? 3.Лист ? 4.Имя</t>
  </si>
  <si>
    <t>Дата:</t>
  </si>
  <si>
    <t>Anod'!typeSoilAG</t>
  </si>
  <si>
    <t>Anod</t>
  </si>
  <si>
    <t>Anod'!avgProtectionCurrentCPOverLife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</si>
</sst>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000000"/>
    <numFmt numFmtId="167" formatCode="0.000000000000000000000000000000E+00"/>
    <numFmt numFmtId="168" formatCode="0.0000000"/>
    <numFmt numFmtId="169" formatCode="dd\.mm\.yyyy\ hh:mm:ss"/>
  </numFmts>
  <fonts count="169">
    <font>
      <sz val="12"/>
      <color theme="1"/>
      <name val="Calibri"/>
      <family val="2"/>
      <charset val="204"/>
      <scheme val="minor"/>
    </font>
    <font>
      <sz val="11"/>
      <color theme="1"/>
      <name val="Calibri"/>
      <family val="2"/>
    </font>
    <font>
      <sz val="11"/>
      <color indexed="64"/>
      <name val="Calibri"/>
      <family val="2"/>
    </font>
    <font>
      <sz val="12"/>
      <color theme="1"/>
      <name val="Calibri"/>
      <family val="2"/>
      <scheme val="minor"/>
    </font>
    <font>
      <sz val="10"/>
      <color rgb="FF000000"/>
      <name val="Calibri"/>
      <family val="2"/>
      <scheme val="minor"/>
    </font>
    <font>
      <sz val="8"/>
      <name val="Calibri"/>
      <family val="2"/>
      <charset val="204"/>
      <scheme val="minor"/>
    </font>
    <font>
      <sz val="10"/>
      <color theme="1"/>
      <name val="DejaVuSans"/>
    </font>
    <font>
      <u/>
      <sz val="12"/>
      <color theme="10"/>
      <name val="Calibri"/>
      <family val="2"/>
      <charset val="204"/>
      <scheme val="minor"/>
    </font>
    <font>
      <sz val="10"/>
      <color theme="1"/>
      <name val="Calibri"/>
      <family val="2"/>
      <scheme val="minor"/>
    </font>
    <font>
      <b/>
      <sz val="11"/>
      <color theme="1"/>
      <name val="Calibri"/>
      <family val="2"/>
      <scheme val="minor"/>
    </font>
    <font>
      <sz val="10"/>
      <color rgb="FF000000"/>
      <name val="Tahoma"/>
      <family val="2"/>
      <charset val="204"/>
    </font>
    <font>
      <b/>
      <sz val="10"/>
      <color rgb="FF000000"/>
      <name val="Tahoma"/>
      <family val="2"/>
      <charset val="204"/>
    </font>
    <font>
      <sz val="10"/>
      <color rgb="FF000000"/>
      <name val="Cambria Math"/>
      <family val="2"/>
      <charset val="204"/>
    </font>
    <font>
      <sz val="10"/>
      <color rgb="FF000000"/>
      <name val="Calibri"/>
      <family val="2"/>
    </font>
    <font>
      <sz val="10"/>
      <color rgb="FF000000"/>
      <name val="Cambria Math"/>
      <family val="1"/>
    </font>
    <font>
      <b/>
      <sz val="10"/>
      <color theme="1"/>
      <name val="Calibri"/>
      <family val="2"/>
      <scheme val="minor"/>
    </font>
    <font>
      <sz val="10"/>
      <name val="Calibri"/>
      <family val="2"/>
      <scheme val="minor"/>
    </font>
    <font>
      <b/>
      <sz val="12"/>
      <color theme="1"/>
      <name val="Calibri"/>
      <family val="2"/>
      <scheme val="minor"/>
    </font>
    <font>
      <i/>
      <sz val="10"/>
      <color rgb="FF000000"/>
      <name val="Calibri"/>
      <family val="2"/>
    </font>
    <font>
      <sz val="10"/>
      <name val="Helv"/>
      <charset val="204"/>
    </font>
    <font>
      <sz val="10"/>
      <name val="Times New Roman"/>
      <family val="1"/>
      <charset val="204"/>
    </font>
    <font>
      <sz val="10"/>
      <name val="Arial"/>
      <family val="2"/>
      <charset val="204"/>
    </font>
    <font>
      <sz val="14"/>
      <name val="Times New Roman"/>
      <family val="1"/>
      <charset val="204"/>
    </font>
    <font>
      <sz val="12"/>
      <name val="Calibri"/>
      <family val="2"/>
      <scheme val="minor"/>
    </font>
    <font>
      <sz val="12"/>
      <color rgb="FF000000"/>
      <name val="Calibri"/>
      <family val="2"/>
      <charset val="204"/>
      <scheme val="minor"/>
    </font>
    <font>
      <sz val="12"/>
      <color rgb="FF333333"/>
      <name val="Arial"/>
      <family val="2"/>
    </font>
    <font>
      <b/>
      <sz val="11"/>
      <color theme="1"/>
      <name val="DejaVuSans"/>
    </font>
    <font>
      <sz val="10"/>
      <color rgb="FF000000"/>
      <name val="+mn-lt"/>
      <charset val="1"/>
    </font>
    <font>
      <b/>
      <sz val="10"/>
      <color rgb="FF000000"/>
      <name val="Calibri"/>
      <family val="2"/>
    </font>
    <font>
      <b/>
      <sz val="12"/>
      <color rgb="FF000000"/>
      <name val="Times New Roman"/>
      <family val="1"/>
    </font>
    <font>
      <vertAlign val="superscript"/>
      <sz val="12"/>
      <color rgb="FF000000"/>
      <name val="Times New Roman"/>
      <family val="1"/>
    </font>
    <font>
      <sz val="16"/>
      <color theme="1"/>
      <name val="Arial"/>
      <family val="2"/>
    </font>
    <font>
      <b/>
      <sz val="16"/>
      <color theme="1"/>
      <name val="Arial"/>
      <family val="2"/>
    </font>
    <font>
      <b/>
      <sz val="20"/>
      <color rgb="FF333333"/>
      <name val="Arial"/>
      <family val="2"/>
    </font>
    <font>
      <b/>
      <sz val="12"/>
      <name val="Calibri"/>
      <family val="2"/>
      <scheme val="minor"/>
    </font>
    <font>
      <b/>
      <sz val="12"/>
      <name val="Calibri"/>
      <family val="2"/>
      <charset val="204"/>
      <scheme val="minor"/>
    </font>
    <font>
      <sz val="12"/>
      <color rgb="FFFF0000"/>
      <name val="Calibri"/>
      <family val="2"/>
      <charset val="204"/>
      <scheme val="minor"/>
    </font>
    <font>
      <b/>
      <sz val="12"/>
      <color theme="1"/>
      <name val="Calibri"/>
      <family val="2"/>
      <charset val="204"/>
      <scheme val="minor"/>
    </font>
    <font>
      <sz val="18"/>
      <color rgb="FF000000"/>
      <name val="Calibri"/>
      <family val="2"/>
    </font>
    <font>
      <b/>
      <sz val="18"/>
      <color rgb="FF000000"/>
      <name val="Calibri"/>
      <family val="2"/>
    </font>
    <font>
      <b/>
      <sz val="12"/>
      <color rgb="FF333333"/>
      <name val="Arial"/>
      <family val="2"/>
    </font>
    <font>
      <u/>
      <sz val="12"/>
      <color theme="1"/>
      <name val="Calibri"/>
      <family val="2"/>
      <charset val="204"/>
      <scheme val="minor"/>
    </font>
    <font>
      <b/>
      <sz val="11"/>
      <name val="Calibri"/>
      <family val="2"/>
      <scheme val="minor"/>
    </font>
    <font>
      <b/>
      <sz val="10"/>
      <name val="Calibri"/>
      <family val="2"/>
      <scheme val="minor"/>
    </font>
    <font>
      <sz val="10"/>
      <name val="Calibri"/>
      <family val="2"/>
      <charset val="204"/>
      <scheme val="minor"/>
    </font>
    <font>
      <sz val="10"/>
      <name val="Trebuchet MS"/>
      <family val="2"/>
    </font>
    <font>
      <u/>
      <sz val="10"/>
      <name val="Calibri"/>
      <family val="2"/>
      <charset val="204"/>
      <scheme val="minor"/>
    </font>
    <font>
      <sz val="10"/>
      <name val="Helvetica"/>
      <family val="2"/>
    </font>
    <font>
      <sz val="12"/>
      <name val="Calibri"/>
      <family val="2"/>
      <charset val="204"/>
      <scheme val="minor"/>
    </font>
    <font>
      <b/>
      <sz val="11"/>
      <name val="Calibri"/>
      <family val="2"/>
      <charset val="204"/>
      <scheme val="minor"/>
    </font>
    <font>
      <b/>
      <sz val="10"/>
      <name val="Calibri"/>
      <family val="2"/>
      <charset val="204"/>
      <scheme val="minor"/>
    </font>
    <font>
      <sz val="10"/>
      <name val="Calibri Light"/>
      <family val="2"/>
      <scheme val="major"/>
    </font>
    <font>
      <sz val="10"/>
      <name val="DejaVuSans"/>
    </font>
    <font>
      <sz val="20"/>
      <color theme="1"/>
      <name val="Calibri"/>
      <family val="2"/>
      <charset val="204"/>
      <scheme val="minor"/>
    </font>
    <font>
      <sz val="16"/>
      <color theme="1"/>
      <name val="Consolas"/>
      <family val="2"/>
    </font>
    <font>
      <b/>
      <sz val="12"/>
      <name val="Times New Roman"/>
      <family val="1"/>
      <charset val="204"/>
    </font>
    <font>
      <b/>
      <sz val="12"/>
      <color rgb="FFFF0000"/>
      <name val="Calibri"/>
      <family val="2"/>
      <scheme val="minor"/>
    </font>
    <font>
      <b/>
      <sz val="10"/>
      <name val="Times New Roman"/>
      <family val="1"/>
      <charset val="204"/>
    </font>
    <font>
      <sz val="9"/>
      <color indexed="81"/>
      <name val="Tahoma"/>
      <family val="2"/>
      <charset val="204"/>
    </font>
    <font>
      <b/>
      <sz val="9"/>
      <color rgb="FF000000"/>
      <name val="Tahoma"/>
      <family val="2"/>
      <charset val="204"/>
    </font>
    <font>
      <sz val="9"/>
      <color rgb="FF000000"/>
      <name val="Tahoma"/>
      <family val="2"/>
      <charset val="204"/>
    </font>
    <font>
      <b/>
      <sz val="9"/>
      <color rgb="FF000000"/>
      <name val="Tahoma"/>
      <family val="2"/>
    </font>
    <font>
      <sz val="10"/>
      <color rgb="FF808080"/>
      <name val="Calibri"/>
      <family val="2"/>
      <scheme val="minor"/>
    </font>
    <font>
      <sz val="10"/>
      <color rgb="FF808080"/>
      <name val="DejaVuSans"/>
    </font>
    <font>
      <sz val="10"/>
      <color rgb="FFFFA500"/>
      <name val="Calibri"/>
      <family val="2"/>
      <scheme val="minor"/>
    </font>
    <font>
      <sz val="10"/>
      <color rgb="FFFFA500"/>
      <name val="DejaVuSans"/>
    </font>
    <font>
      <sz val="10"/>
      <color rgb="FF800000"/>
      <name val="Calibri"/>
      <family val="2"/>
      <scheme val="minor"/>
    </font>
    <font>
      <sz val="10"/>
      <color rgb="FF800000"/>
      <name val="DejaVuSans"/>
    </font>
    <font>
      <sz val="10"/>
      <color rgb="FF8B4513"/>
      <name val="Calibri"/>
      <family val="2"/>
      <scheme val="minor"/>
    </font>
    <font>
      <sz val="10"/>
      <color rgb="FF8B4513"/>
      <name val="DejaVuSans"/>
    </font>
    <font>
      <sz val="10"/>
      <color rgb="FF46465A"/>
      <name val="Calibri"/>
      <family val="2"/>
      <scheme val="minor"/>
    </font>
    <font>
      <sz val="10"/>
      <color rgb="FF46465A"/>
      <name val="DejaVuSans"/>
    </font>
    <font>
      <sz val="10"/>
      <color rgb="FF32CD32"/>
      <name val="Calibri"/>
      <family val="2"/>
      <scheme val="minor"/>
    </font>
    <font>
      <sz val="10"/>
      <color rgb="FF32CD32"/>
      <name val="DejaVuSans"/>
    </font>
    <font>
      <sz val="10"/>
      <color rgb="FF8B0000"/>
      <name val="Calibri"/>
      <family val="2"/>
      <scheme val="minor"/>
    </font>
    <font>
      <sz val="10"/>
      <color rgb="FF8B0000"/>
      <name val="DejaVuSans"/>
    </font>
    <font>
      <sz val="10"/>
      <color rgb="FF008080"/>
      <name val="Calibri"/>
      <family val="2"/>
      <scheme val="minor"/>
    </font>
    <font>
      <sz val="10"/>
      <color rgb="FF008080"/>
      <name val="DejaVuSans"/>
    </font>
    <font>
      <sz val="10"/>
      <color rgb="FF00008B"/>
      <name val="Calibri"/>
      <family val="2"/>
      <scheme val="minor"/>
    </font>
    <font>
      <sz val="10"/>
      <color rgb="FF00008B"/>
      <name val="DejaVuSans"/>
    </font>
    <font>
      <u/>
      <sz val="12"/>
      <color rgb="FF8B4513"/>
      <name val="Calibri"/>
      <family val="2"/>
      <charset val="204"/>
      <scheme val="minor"/>
    </font>
    <font>
      <u/>
      <sz val="12"/>
      <color rgb="FF46465A"/>
      <name val="Calibri"/>
      <family val="2"/>
      <charset val="204"/>
      <scheme val="minor"/>
    </font>
    <font>
      <u/>
      <sz val="12"/>
      <color rgb="FF32CD32"/>
      <name val="Calibri"/>
      <family val="2"/>
      <charset val="204"/>
      <scheme val="minor"/>
    </font>
    <font>
      <u/>
      <sz val="12"/>
      <color rgb="FF800000"/>
      <name val="Calibri"/>
      <family val="2"/>
      <charset val="204"/>
      <scheme val="minor"/>
    </font>
    <font>
      <u/>
      <sz val="12"/>
      <color rgb="FFFFA500"/>
      <name val="Calibri"/>
      <family val="2"/>
      <charset val="204"/>
      <scheme val="minor"/>
    </font>
    <font>
      <u/>
      <sz val="12"/>
      <color rgb="FF8B0000"/>
      <name val="Calibri"/>
      <family val="2"/>
      <charset val="204"/>
      <scheme val="minor"/>
    </font>
    <font>
      <u/>
      <sz val="12"/>
      <color rgb="FF008080"/>
      <name val="Calibri"/>
      <family val="2"/>
      <charset val="204"/>
      <scheme val="minor"/>
    </font>
    <font>
      <u/>
      <sz val="12"/>
      <color rgb="FF00008B"/>
      <name val="Calibri"/>
      <family val="2"/>
      <charset val="204"/>
      <scheme val="minor"/>
    </font>
    <font>
      <sz val="15"/>
      <color rgb="FF0F1115"/>
      <name val="Helvetica Neue"/>
      <family val="2"/>
    </font>
    <font>
      <sz val="15"/>
      <color rgb="FF0F1115"/>
      <name val="Helvetica Neue"/>
      <family val="2"/>
    </font>
    <font>
      <sz val="15"/>
      <color rgb="FF0F1115"/>
      <name val="Helvetica Neue"/>
      <family val="2"/>
    </font>
    <font>
      <sz val="13"/>
      <color rgb="FF0F1115"/>
      <name val="Menlo"/>
      <family val="2"/>
    </font>
    <font>
      <b/>
      <sz val="20"/>
      <color rgb="FF0F1115"/>
      <name val="Helvetica Neue"/>
      <family val="2"/>
    </font>
    <font>
      <sz val="15"/>
      <color theme="1"/>
      <name val="Helvetica Neue"/>
      <family val="2"/>
    </font>
    <font>
      <sz val="15"/>
      <color theme="1"/>
      <name val="Helvetica Neue"/>
      <family val="2"/>
    </font>
    <font>
      <sz val="15"/>
      <color theme="1"/>
      <name val="Helvetica Neue"/>
      <family val="2"/>
    </font>
    <font>
      <sz val="13"/>
      <color theme="1"/>
      <name val="Menlo"/>
      <family val="2"/>
    </font>
    <font>
      <b/>
      <sz val="22"/>
      <color rgb="FF0F1115"/>
      <name val="Helvetica Neue"/>
      <family val="2"/>
    </font>
    <font>
      <b/>
      <sz val="18"/>
      <color theme="1"/>
      <name val="Calibri"/>
      <family val="2"/>
      <scheme val="minor"/>
    </font>
    <font>
      <sz val="12"/>
      <color rgb="FFFF0000"/>
      <name val="Calibri"/>
      <family val="2"/>
      <scheme val="minor"/>
    </font>
    <font>
      <sz val="10"/>
      <color theme="1"/>
      <name val="Calibri"/>
      <family val="2"/>
      <charset val="204"/>
      <scheme val="minor"/>
    </font>
    <font>
      <sz val="10"/>
      <color rgb="FFFF0000"/>
      <name val="Menlo"/>
      <family val="2"/>
      <charset val="204"/>
    </font>
    <font>
      <sz val="10"/>
      <color rgb="FF00B050"/>
      <name val="Menlo"/>
      <family val="2"/>
      <charset val="204"/>
    </font>
    <font>
      <sz val="10"/>
      <color rgb="FF0070C0"/>
      <name val="Menlo"/>
      <family val="2"/>
      <charset val="204"/>
    </font>
    <font>
      <sz val="10"/>
      <color rgb="FF7030A0"/>
      <name val="Menlo"/>
      <family val="2"/>
      <charset val="204"/>
    </font>
    <font>
      <sz val="8"/>
      <color theme="1"/>
      <name val="Calibri"/>
      <family val="2"/>
      <scheme val="minor"/>
    </font>
    <font>
      <b/>
      <sz val="8"/>
      <color theme="1"/>
      <name val="Calibri"/>
      <family val="2"/>
      <scheme val="minor"/>
    </font>
    <font>
      <u/>
      <sz val="8"/>
      <color theme="1"/>
      <name val="Calibri"/>
      <family val="2"/>
      <scheme val="minor"/>
    </font>
    <font>
      <sz val="12"/>
      <color rgb="FF000000"/>
      <name val="Calibri"/>
      <family val="2"/>
      <scheme val="minor"/>
    </font>
    <font>
      <b/>
      <sz val="11"/>
      <color rgb="FF000000"/>
      <name val="Calibri"/>
      <family val="2"/>
      <charset val="204"/>
      <scheme val="minor"/>
    </font>
    <font>
      <sz val="16"/>
      <color rgb="FF000000"/>
      <name val="Calibri"/>
      <family val="2"/>
      <scheme val="minor"/>
    </font>
    <font>
      <u/>
      <sz val="10"/>
      <color rgb="FF000000"/>
      <name val="Calibri"/>
      <family val="2"/>
      <charset val="204"/>
      <scheme val="minor"/>
    </font>
    <font>
      <sz val="10"/>
      <color rgb="FF000000"/>
      <name val="DejaVuSans"/>
    </font>
    <font>
      <b/>
      <sz val="10"/>
      <color rgb="FF000000"/>
      <name val="Calibri"/>
      <family val="2"/>
      <charset val="204"/>
      <scheme val="minor"/>
    </font>
    <font>
      <b/>
      <sz val="16"/>
      <color rgb="FF000000"/>
      <name val="Calibri"/>
      <family val="2"/>
      <scheme val="minor"/>
    </font>
    <font>
      <b/>
      <sz val="11"/>
      <color rgb="FF000000"/>
      <name val="Calibri"/>
      <family val="2"/>
      <scheme val="minor"/>
    </font>
    <font>
      <b/>
      <sz val="12"/>
      <color rgb="FF000000"/>
      <name val="Calibri"/>
      <family val="2"/>
      <scheme val="minor"/>
    </font>
    <font>
      <b/>
      <sz val="10"/>
      <color rgb="FF000000"/>
      <name val="Calibri"/>
      <family val="2"/>
      <scheme val="minor"/>
    </font>
    <font>
      <sz val="12"/>
      <color theme="1"/>
      <name val="Arial"/>
      <family val="2"/>
    </font>
    <font>
      <b/>
      <sz val="10"/>
      <color theme="1"/>
      <name val="Calibri Light"/>
      <family val="2"/>
    </font>
    <font>
      <b/>
      <u/>
      <sz val="10"/>
      <color theme="1"/>
      <name val="Calibri"/>
      <family val="2"/>
      <scheme val="minor"/>
    </font>
    <font>
      <b/>
      <sz val="12"/>
      <color rgb="FF000000"/>
      <name val="Calibri"/>
      <family val="2"/>
      <charset val="204"/>
      <scheme val="minor"/>
    </font>
    <font>
      <sz val="12"/>
      <color rgb="FF0F1115"/>
      <name val="Arial"/>
      <family val="2"/>
    </font>
    <font>
      <sz val="10"/>
      <name val="Arial Cyr"/>
      <charset val="204"/>
    </font>
    <font>
      <sz val="11"/>
      <color theme="1"/>
      <name val="Calibri"/>
      <family val="2"/>
      <scheme val="minor"/>
    </font>
    <font>
      <sz val="10"/>
      <name val="Arial Cyr"/>
    </font>
    <font>
      <sz val="10"/>
      <color theme="0" tint="-0.34998626667073579"/>
      <name val="Calibri"/>
      <family val="2"/>
      <scheme val="minor"/>
    </font>
    <font>
      <sz val="8"/>
      <color theme="0" tint="-0.34998626667073579"/>
      <name val="Calibri"/>
      <family val="2"/>
      <scheme val="minor"/>
    </font>
    <font>
      <sz val="12"/>
      <name val="Arial"/>
      <family val="2"/>
      <charset val="204"/>
    </font>
    <font>
      <sz val="12"/>
      <color rgb="FF8B4513"/>
      <name val="Calibri"/>
      <family val="2"/>
      <scheme val="minor"/>
    </font>
    <font>
      <b/>
      <sz val="11"/>
      <color rgb="FF8B4513"/>
      <name val="Calibri"/>
      <family val="2"/>
      <scheme val="minor"/>
    </font>
    <font>
      <b/>
      <sz val="10"/>
      <color rgb="FF8B4513"/>
      <name val="Calibri"/>
      <family val="2"/>
      <scheme val="minor"/>
    </font>
    <font>
      <b/>
      <sz val="16"/>
      <color rgb="FF8B4513"/>
      <name val="Calibri"/>
      <family val="2"/>
      <scheme val="minor"/>
    </font>
    <font>
      <b/>
      <sz val="12"/>
      <color rgb="FF8000FF"/>
      <name val="Calibri"/>
      <family val="2"/>
      <scheme val="minor"/>
    </font>
    <font>
      <b/>
      <sz val="10"/>
      <color rgb="FF8000FF"/>
      <name val="Calibri"/>
      <family val="2"/>
      <scheme val="minor"/>
    </font>
    <font>
      <sz val="10"/>
      <color rgb="FF000000"/>
      <name val="Calibri"/>
      <family val="2"/>
      <charset val="204"/>
      <scheme val="minor"/>
    </font>
    <font>
      <u/>
      <sz val="12"/>
      <color rgb="FF000000"/>
      <name val="Calibri"/>
      <family val="2"/>
      <charset val="204"/>
      <scheme val="minor"/>
    </font>
    <font>
      <sz val="12"/>
      <color rgb="FF000000"/>
      <name val="Calibri"/>
      <family val="2"/>
    </font>
    <font>
      <sz val="8"/>
      <color rgb="FF000000"/>
      <name val="Calibri"/>
      <family val="2"/>
    </font>
    <font>
      <u/>
      <sz val="12"/>
      <name val="Calibri"/>
      <family val="2"/>
      <charset val="204"/>
      <scheme val="minor"/>
    </font>
    <font>
      <sz val="12"/>
      <color theme="1"/>
      <name val="Arial"/>
      <family val="2"/>
      <charset val="204"/>
    </font>
    <font>
      <sz val="12"/>
      <color rgb="FF000000"/>
      <name val="Arial"/>
      <family val="2"/>
      <charset val="204"/>
    </font>
    <font>
      <sz val="10"/>
      <color rgb="FFC00000"/>
      <name val="Calibri"/>
      <family val="2"/>
      <scheme val="minor"/>
    </font>
    <font>
      <b/>
      <sz val="10"/>
      <color rgb="FFC00000"/>
      <name val="Calibri"/>
      <family val="2"/>
      <scheme val="minor"/>
    </font>
    <font>
      <sz val="12"/>
      <color rgb="FF000000"/>
      <name val="Arial"/>
      <family val="2"/>
    </font>
    <font>
      <sz val="16"/>
      <color rgb="FF2F5496"/>
      <name val="Calibri Light"/>
      <family val="2"/>
    </font>
    <font>
      <sz val="1"/>
      <color rgb="FF000000"/>
      <name val="Times New Roman"/>
      <family val="1"/>
    </font>
    <font>
      <sz val="10"/>
      <color theme="1" tint="0.499984740745262"/>
      <name val="Calibri"/>
      <family val="2"/>
      <scheme val="minor"/>
    </font>
    <font>
      <b/>
      <sz val="18"/>
      <color rgb="FF000000"/>
      <name val="Arial"/>
      <family val="2"/>
    </font>
    <font>
      <sz val="16"/>
      <color rgb="FF000000"/>
      <name val="Arial"/>
      <family val="2"/>
    </font>
    <font>
      <b/>
      <sz val="16"/>
      <color rgb="FF000000"/>
      <name val="Arial"/>
      <family val="2"/>
    </font>
    <font>
      <b/>
      <i/>
      <sz val="16"/>
      <color rgb="FF000000"/>
      <name val="KaTeX_Math"/>
    </font>
    <font>
      <b/>
      <sz val="8.4"/>
      <color rgb="FF000000"/>
      <name val="Times New Roman"/>
      <family val="1"/>
    </font>
    <font>
      <b/>
      <sz val="1"/>
      <color rgb="FF000000"/>
      <name val="Times New Roman"/>
      <family val="1"/>
    </font>
    <font>
      <b/>
      <i/>
      <sz val="8.4"/>
      <color rgb="FF000000"/>
      <name val="KaTeX_Math"/>
    </font>
    <font>
      <sz val="16"/>
      <color rgb="FF000000"/>
      <name val="Times New Roman"/>
      <family val="1"/>
    </font>
    <font>
      <i/>
      <sz val="16"/>
      <color rgb="FF000000"/>
      <name val="KaTeX_Math"/>
    </font>
    <font>
      <sz val="8.4"/>
      <color rgb="FF000000"/>
      <name val="Times New Roman"/>
      <family val="1"/>
    </font>
    <font>
      <b/>
      <i/>
      <sz val="10"/>
      <color rgb="FF000000"/>
      <name val="Calibri"/>
      <family val="2"/>
    </font>
    <font>
      <sz val="12"/>
      <color rgb="FFC80000"/>
      <name val="Calibri"/>
      <family val="2"/>
      <charset val="204"/>
      <scheme val="minor"/>
    </font>
    <font>
      <sz val="12"/>
      <color rgb="FF006400"/>
      <name val="Calibri"/>
      <family val="2"/>
      <charset val="204"/>
      <scheme val="minor"/>
    </font>
    <font>
      <b/>
      <sz val="14"/>
      <color theme="1"/>
      <name val="Calibri"/>
      <family val="2"/>
      <scheme val="minor"/>
    </font>
    <font>
      <b/>
      <sz val="12"/>
      <color rgb="FF0000FF"/>
      <name val="Calibri"/>
      <family val="2"/>
      <scheme val="minor"/>
    </font>
    <font>
      <b/>
      <sz val="12"/>
      <color rgb="FF006400"/>
      <name val="Calibri"/>
      <family val="2"/>
      <scheme val="minor"/>
    </font>
    <font>
      <b/>
      <sz val="12"/>
      <color rgb="FFC80000"/>
      <name val="Calibri"/>
      <family val="2"/>
      <scheme val="minor"/>
    </font>
    <font>
      <b/>
      <sz val="12"/>
      <color rgb="FFFFA500"/>
      <name val="Calibri"/>
      <family val="2"/>
      <scheme val="minor"/>
    </font>
    <font>
      <b/>
      <u/>
      <sz val="12"/>
      <color rgb="FF000000"/>
      <name val="Calibri"/>
      <family val="2"/>
      <scheme val="minor"/>
    </font>
    <font>
      <sz val="10"/>
      <color rgb="FF000000"/>
      <name val="Helvetica"/>
      <family val="2"/>
    </font>
    <font>
      <b/>
      <sz val="10"/>
      <color rgb="FFFF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tint="-0.14999847407452621"/>
        <bgColor theme="0" tint="-0.14999847407452621"/>
      </patternFill>
    </fill>
    <fill>
      <patternFill patternType="solid">
        <fgColor theme="8" tint="0.79998168889431442"/>
        <bgColor theme="0" tint="-0.14999847407452621"/>
      </patternFill>
    </fill>
    <fill>
      <patternFill patternType="solid">
        <fgColor theme="8"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theme="2" tint="-9.9978637043366805E-2"/>
        <bgColor indexed="64"/>
      </patternFill>
    </fill>
    <fill>
      <patternFill patternType="solid">
        <fgColor theme="2" tint="-9.9978637043366805E-2"/>
        <bgColor theme="0" tint="-0.14999847407452621"/>
      </patternFill>
    </fill>
    <fill>
      <patternFill patternType="solid">
        <fgColor theme="5" tint="0.79998168889431442"/>
        <bgColor theme="0" tint="-0.14999847407452621"/>
      </patternFill>
    </fill>
    <fill>
      <patternFill patternType="solid">
        <fgColor theme="5" tint="0.79998168889431442"/>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9" tint="0.79998168889431442"/>
        <bgColor indexed="64"/>
      </patternFill>
    </fill>
    <fill>
      <patternFill patternType="solid">
        <fgColor rgb="FFFFFF00"/>
        <bgColor theme="0" tint="-0.14999847407452621"/>
      </patternFill>
    </fill>
    <fill>
      <patternFill patternType="solid">
        <fgColor theme="0"/>
        <bgColor indexed="64"/>
      </patternFill>
    </fill>
    <fill>
      <patternFill patternType="solid">
        <fgColor rgb="FFC8C8C8"/>
        <bgColor indexed="64"/>
      </patternFill>
    </fill>
    <fill>
      <patternFill patternType="solid">
        <fgColor rgb="FFFFC8C8"/>
        <bgColor indexed="64"/>
      </patternFill>
    </fill>
    <fill>
      <patternFill patternType="solid">
        <fgColor rgb="FFC8FFC8"/>
        <bgColor indexed="64"/>
      </patternFill>
    </fill>
  </fills>
  <borders count="8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top style="thin">
        <color auto="1"/>
      </top>
      <bottom/>
      <diagonal/>
    </border>
    <border>
      <left style="thin">
        <color auto="1"/>
      </left>
      <right/>
      <top/>
      <bottom/>
      <diagonal/>
    </border>
    <border>
      <left/>
      <right style="thin">
        <color auto="1"/>
      </right>
      <top/>
      <bottom/>
      <diagonal/>
    </border>
    <border>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top/>
      <bottom style="medium">
        <color indexed="64"/>
      </bottom>
      <diagonal/>
    </border>
    <border>
      <left/>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style="medium">
        <color indexed="64"/>
      </top>
      <bottom/>
      <diagonal/>
    </border>
    <border>
      <left style="thin">
        <color auto="1"/>
      </left>
      <right style="thin">
        <color auto="1"/>
      </right>
      <top/>
      <bottom/>
      <diagonal/>
    </border>
    <border>
      <left/>
      <right/>
      <top style="thin">
        <color auto="1"/>
      </top>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style="thin">
        <color auto="1"/>
      </top>
      <bottom/>
      <diagonal/>
    </border>
    <border>
      <left style="medium">
        <color indexed="64"/>
      </left>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theme="1"/>
      </left>
      <right style="thin">
        <color theme="1"/>
      </right>
      <top style="thin">
        <color theme="1"/>
      </top>
      <bottom style="medium">
        <color theme="1"/>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theme="1"/>
      </left>
      <right style="thin">
        <color theme="1"/>
      </right>
      <top style="thin">
        <color theme="1"/>
      </top>
      <bottom style="thin">
        <color theme="1"/>
      </bottom>
      <diagonal/>
    </border>
    <border>
      <left style="medium">
        <color indexed="64"/>
      </left>
      <right style="medium">
        <color indexed="64"/>
      </right>
      <top/>
      <bottom style="thin">
        <color auto="1"/>
      </bottom>
      <diagonal/>
    </border>
    <border>
      <left style="medium">
        <color indexed="64"/>
      </left>
      <right style="medium">
        <color indexed="64"/>
      </right>
      <top/>
      <bottom/>
      <diagonal/>
    </border>
    <border>
      <left/>
      <right style="thin">
        <color auto="1"/>
      </right>
      <top style="medium">
        <color indexed="64"/>
      </top>
      <bottom style="medium">
        <color indexed="64"/>
      </bottom>
      <diagonal/>
    </border>
    <border>
      <left style="medium">
        <color indexed="64"/>
      </left>
      <right style="medium">
        <color indexed="64"/>
      </right>
      <top style="thin">
        <color auto="1"/>
      </top>
      <bottom/>
      <diagonal/>
    </border>
    <border>
      <left style="thin">
        <color auto="1"/>
      </left>
      <right/>
      <top style="thin">
        <color auto="1"/>
      </top>
      <bottom style="medium">
        <color indexed="64"/>
      </bottom>
      <diagonal/>
    </border>
    <border>
      <left style="thin">
        <color auto="1"/>
      </left>
      <right/>
      <top style="medium">
        <color theme="1"/>
      </top>
      <bottom/>
      <diagonal/>
    </border>
    <border>
      <left style="thin">
        <color auto="1"/>
      </left>
      <right/>
      <top style="thin">
        <color theme="1"/>
      </top>
      <bottom/>
      <diagonal/>
    </border>
    <border>
      <left style="thin">
        <color theme="1"/>
      </left>
      <right/>
      <top/>
      <bottom/>
      <diagonal/>
    </border>
    <border>
      <left style="thin">
        <color theme="1"/>
      </left>
      <right style="thin">
        <color theme="1"/>
      </right>
      <top style="thin">
        <color theme="1"/>
      </top>
      <bottom style="thin">
        <color auto="1"/>
      </bottom>
      <diagonal/>
    </border>
    <border>
      <left style="thin">
        <color theme="1"/>
      </left>
      <right style="thin">
        <color theme="1"/>
      </right>
      <top style="thin">
        <color theme="1"/>
      </top>
      <bottom/>
      <diagonal/>
    </border>
    <border>
      <left style="thin">
        <color theme="1"/>
      </left>
      <right/>
      <top style="thin">
        <color theme="1"/>
      </top>
      <bottom/>
      <diagonal/>
    </border>
    <border>
      <left/>
      <right style="thin">
        <color theme="1"/>
      </right>
      <top style="thin">
        <color theme="1"/>
      </top>
      <bottom/>
      <diagonal/>
    </border>
    <border>
      <left style="thin">
        <color theme="1"/>
      </left>
      <right/>
      <top style="thin">
        <color theme="1"/>
      </top>
      <bottom style="thin">
        <color theme="1"/>
      </bottom>
      <diagonal/>
    </border>
    <border>
      <left style="thin">
        <color theme="1"/>
      </left>
      <right/>
      <top style="thin">
        <color theme="1"/>
      </top>
      <bottom style="thin">
        <color auto="1"/>
      </bottom>
      <diagonal/>
    </border>
    <border>
      <left/>
      <right/>
      <top style="thin">
        <color theme="1"/>
      </top>
      <bottom/>
      <diagonal/>
    </border>
    <border>
      <left/>
      <right style="thin">
        <color theme="1"/>
      </right>
      <top style="thin">
        <color theme="1"/>
      </top>
      <bottom style="thin">
        <color theme="1"/>
      </bottom>
      <diagonal/>
    </border>
    <border>
      <left/>
      <right style="medium">
        <color indexed="64"/>
      </right>
      <top/>
      <bottom/>
      <diagonal/>
    </border>
    <border>
      <left style="thin">
        <color theme="1"/>
      </left>
      <right/>
      <top style="medium">
        <color theme="1"/>
      </top>
      <bottom/>
      <diagonal/>
    </border>
    <border>
      <left style="thin">
        <color theme="1"/>
      </left>
      <right style="thin">
        <color theme="1"/>
      </right>
      <top style="medium">
        <color theme="1"/>
      </top>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style="thin">
        <color auto="1"/>
      </top>
      <bottom/>
      <diagonal/>
    </border>
    <border>
      <left/>
      <right style="thin">
        <color auto="1"/>
      </right>
      <top style="medium">
        <color indexed="64"/>
      </top>
      <bottom/>
      <diagonal/>
    </border>
    <border>
      <left style="thin">
        <color auto="1"/>
      </left>
      <right style="medium">
        <color indexed="64"/>
      </right>
      <top style="thin">
        <color auto="1"/>
      </top>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bottom style="thin">
        <color auto="1"/>
      </bottom>
      <diagonal/>
    </border>
  </borders>
  <cellStyleXfs count="10">
    <xf numFmtId="0" fontId="0" fillId="0" borderId="0"/>
    <xf numFmtId="0" fontId="1" fillId="0" borderId="0"/>
    <xf numFmtId="0" fontId="2" fillId="0" borderId="0"/>
    <xf numFmtId="0" fontId="7" fillId="0" borderId="0" applyNumberFormat="0" applyFill="0" applyBorder="0" applyAlignment="0" applyProtection="0"/>
    <xf numFmtId="0" fontId="19" fillId="0" borderId="0"/>
    <xf numFmtId="0" fontId="21" fillId="0" borderId="0"/>
    <xf numFmtId="0" fontId="19" fillId="0" borderId="0"/>
    <xf numFmtId="0" fontId="123" fillId="0" borderId="0"/>
    <xf numFmtId="0" fontId="124" fillId="0" borderId="0"/>
    <xf numFmtId="0" fontId="125" fillId="0" borderId="0"/>
  </cellStyleXfs>
  <cellXfs count="808">
    <xf numFmtId="0" fontId="0" fillId="0" borderId="0" xfId="0"/>
    <xf numFmtId="0" fontId="0" fillId="0" borderId="0" xfId="0" applyAlignment="1">
      <alignment wrapText="1"/>
    </xf>
    <xf numFmtId="0" fontId="3" fillId="0" borderId="0" xfId="0" applyFont="1"/>
    <xf numFmtId="0" fontId="6" fillId="0" borderId="0" xfId="0" applyFont="1"/>
    <xf numFmtId="0" fontId="4" fillId="0" borderId="0" xfId="0" applyFont="1" applyAlignment="1">
      <alignment horizontal="justify" vertical="center"/>
    </xf>
    <xf numFmtId="0" fontId="4" fillId="0" borderId="5" xfId="0" applyFont="1" applyBorder="1" applyAlignment="1">
      <alignment horizontal="left" vertical="center" wrapText="1"/>
    </xf>
    <xf numFmtId="0" fontId="4" fillId="0" borderId="7" xfId="0" applyFont="1" applyBorder="1" applyAlignment="1">
      <alignment horizontal="center" vertical="center" wrapText="1"/>
    </xf>
    <xf numFmtId="0" fontId="4" fillId="0" borderId="9" xfId="0" applyFont="1" applyBorder="1" applyAlignment="1">
      <alignment horizontal="left" vertical="center" wrapText="1"/>
    </xf>
    <xf numFmtId="11" fontId="4" fillId="0" borderId="10" xfId="0" applyNumberFormat="1" applyFont="1" applyBorder="1" applyAlignment="1">
      <alignment horizontal="center" vertical="center" wrapText="1"/>
    </xf>
    <xf numFmtId="0" fontId="4" fillId="0" borderId="1" xfId="0" applyFont="1" applyBorder="1" applyAlignment="1">
      <alignment horizontal="center" vertical="center" wrapText="1"/>
    </xf>
    <xf numFmtId="0" fontId="4" fillId="0" borderId="3" xfId="0" applyFont="1" applyBorder="1" applyAlignment="1">
      <alignment horizontal="center" vertical="center" wrapText="1"/>
    </xf>
    <xf numFmtId="0" fontId="4" fillId="0" borderId="8" xfId="0" applyFont="1" applyBorder="1" applyAlignment="1">
      <alignment horizontal="center" vertical="center" wrapText="1"/>
    </xf>
    <xf numFmtId="0" fontId="4" fillId="0" borderId="13" xfId="0" applyFont="1" applyBorder="1" applyAlignment="1">
      <alignment horizontal="center" vertical="center"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4" fillId="0" borderId="9" xfId="0" applyFont="1" applyBorder="1" applyAlignment="1">
      <alignment horizontal="center" vertical="center" wrapText="1"/>
    </xf>
    <xf numFmtId="0" fontId="4" fillId="0" borderId="2"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7" xfId="0" applyFont="1" applyBorder="1" applyAlignment="1">
      <alignment horizontal="left" vertical="center" wrapText="1"/>
    </xf>
    <xf numFmtId="11" fontId="4" fillId="0" borderId="8" xfId="0" applyNumberFormat="1" applyFont="1" applyBorder="1" applyAlignment="1">
      <alignment horizontal="center" vertical="center" wrapText="1"/>
    </xf>
    <xf numFmtId="0" fontId="4" fillId="0" borderId="0" xfId="0" applyFont="1" applyAlignment="1">
      <alignment horizontal="left" vertical="center" wrapText="1"/>
    </xf>
    <xf numFmtId="11" fontId="4" fillId="0" borderId="0" xfId="0" applyNumberFormat="1" applyFont="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 xfId="0" applyFont="1" applyBorder="1" applyAlignment="1">
      <alignment horizontal="left" vertical="center" wrapText="1" indent="4"/>
    </xf>
    <xf numFmtId="0" fontId="4" fillId="0" borderId="12" xfId="0" applyFont="1" applyBorder="1" applyAlignment="1">
      <alignment horizontal="center" vertical="center" wrapText="1"/>
    </xf>
    <xf numFmtId="0" fontId="4" fillId="0" borderId="11" xfId="0" applyFont="1" applyBorder="1" applyAlignment="1">
      <alignment horizontal="left" vertical="center" wrapText="1" indent="4"/>
    </xf>
    <xf numFmtId="0" fontId="4" fillId="0" borderId="3" xfId="0" applyFont="1" applyBorder="1" applyAlignment="1">
      <alignment horizontal="left" vertical="center" wrapText="1"/>
    </xf>
    <xf numFmtId="0" fontId="4" fillId="0" borderId="8" xfId="0" applyFont="1" applyBorder="1" applyAlignment="1">
      <alignment horizontal="left" vertical="center" wrapText="1"/>
    </xf>
    <xf numFmtId="2" fontId="4" fillId="0" borderId="6" xfId="0" applyNumberFormat="1" applyFont="1" applyBorder="1" applyAlignment="1">
      <alignment horizontal="center" vertical="center" wrapText="1"/>
    </xf>
    <xf numFmtId="2" fontId="4" fillId="0" borderId="10" xfId="0" applyNumberFormat="1" applyFont="1" applyBorder="1" applyAlignment="1">
      <alignment horizontal="center" vertical="center" wrapText="1"/>
    </xf>
    <xf numFmtId="164" fontId="0" fillId="0" borderId="0" xfId="0" applyNumberFormat="1" applyAlignment="1">
      <alignment horizontal="right"/>
    </xf>
    <xf numFmtId="0" fontId="0" fillId="0" borderId="0" xfId="0" applyAlignment="1">
      <alignment horizontal="right"/>
    </xf>
    <xf numFmtId="0" fontId="8" fillId="0" borderId="0" xfId="0" applyFont="1"/>
    <xf numFmtId="0" fontId="8" fillId="0" borderId="0" xfId="0" applyFont="1" applyAlignment="1">
      <alignment shrinkToFit="1"/>
    </xf>
    <xf numFmtId="0" fontId="8" fillId="0" borderId="0" xfId="0" applyFont="1" applyAlignment="1">
      <alignment wrapText="1"/>
    </xf>
    <xf numFmtId="165" fontId="0" fillId="0" borderId="0" xfId="0" applyNumberFormat="1"/>
    <xf numFmtId="0" fontId="7" fillId="0" borderId="0" xfId="3"/>
    <xf numFmtId="0" fontId="3" fillId="0" borderId="0" xfId="0" applyFont="1" applyAlignment="1">
      <alignment wrapText="1"/>
    </xf>
    <xf numFmtId="0" fontId="8" fillId="0" borderId="0" xfId="0" applyFont="1" applyAlignment="1">
      <alignment vertical="center" shrinkToFit="1"/>
    </xf>
    <xf numFmtId="49" fontId="3" fillId="0" borderId="0" xfId="0" applyNumberFormat="1" applyFont="1"/>
    <xf numFmtId="49" fontId="8" fillId="0" borderId="0" xfId="0" applyNumberFormat="1" applyFont="1"/>
    <xf numFmtId="49" fontId="9" fillId="0" borderId="0" xfId="0" applyNumberFormat="1" applyFont="1"/>
    <xf numFmtId="0" fontId="7" fillId="0" borderId="0" xfId="3" applyAlignment="1">
      <alignment horizontal="center" vertical="center" wrapText="1"/>
    </xf>
    <xf numFmtId="0" fontId="7" fillId="0" borderId="15" xfId="3" applyBorder="1" applyAlignment="1">
      <alignment horizontal="justify" vertical="center" wrapText="1"/>
    </xf>
    <xf numFmtId="166" fontId="0" fillId="0" borderId="0" xfId="0" applyNumberFormat="1"/>
    <xf numFmtId="0" fontId="0" fillId="0" borderId="0" xfId="0" applyAlignment="1">
      <alignment shrinkToFit="1"/>
    </xf>
    <xf numFmtId="165" fontId="0" fillId="0" borderId="0" xfId="0" applyNumberFormat="1" applyAlignment="1">
      <alignment shrinkToFit="1"/>
    </xf>
    <xf numFmtId="0" fontId="17" fillId="0" borderId="0" xfId="0" applyFont="1"/>
    <xf numFmtId="164" fontId="20" fillId="0" borderId="1" xfId="4" applyNumberFormat="1" applyFont="1" applyBorder="1" applyAlignment="1" applyProtection="1">
      <alignment horizontal="center" vertical="center" wrapText="1"/>
      <protection locked="0"/>
    </xf>
    <xf numFmtId="0" fontId="20" fillId="0" borderId="1" xfId="5" applyFont="1" applyBorder="1" applyAlignment="1">
      <alignment horizontal="center"/>
    </xf>
    <xf numFmtId="0" fontId="20" fillId="0" borderId="6" xfId="4" applyFont="1" applyBorder="1" applyAlignment="1">
      <alignment horizontal="center" vertical="center" wrapText="1"/>
    </xf>
    <xf numFmtId="164" fontId="20" fillId="0" borderId="1" xfId="5" applyNumberFormat="1" applyFont="1" applyBorder="1" applyAlignment="1">
      <alignment horizontal="center" vertical="center"/>
    </xf>
    <xf numFmtId="0" fontId="20" fillId="0" borderId="10" xfId="4" applyFont="1" applyBorder="1" applyAlignment="1">
      <alignment horizontal="center" vertical="center" wrapText="1"/>
    </xf>
    <xf numFmtId="164" fontId="20" fillId="0" borderId="2" xfId="5" applyNumberFormat="1" applyFont="1" applyBorder="1" applyAlignment="1">
      <alignment horizontal="center" vertical="center"/>
    </xf>
    <xf numFmtId="0" fontId="20" fillId="0" borderId="16" xfId="4" applyFont="1" applyBorder="1" applyAlignment="1">
      <alignment horizontal="center" vertical="center" wrapText="1"/>
    </xf>
    <xf numFmtId="0" fontId="20" fillId="0" borderId="7" xfId="4" applyFont="1" applyBorder="1" applyAlignment="1">
      <alignment horizontal="center" vertical="center" wrapText="1"/>
    </xf>
    <xf numFmtId="0" fontId="20" fillId="0" borderId="3" xfId="4" applyFont="1" applyBorder="1" applyAlignment="1">
      <alignment horizontal="center" vertical="center" wrapText="1"/>
    </xf>
    <xf numFmtId="0" fontId="20" fillId="0" borderId="8" xfId="4" applyFont="1" applyBorder="1" applyAlignment="1">
      <alignment horizontal="center" vertical="center" wrapText="1"/>
    </xf>
    <xf numFmtId="0" fontId="22" fillId="0" borderId="0" xfId="6" applyFont="1" applyAlignment="1">
      <alignment horizontal="center" vertical="top"/>
    </xf>
    <xf numFmtId="0" fontId="20" fillId="0" borderId="0" xfId="6" applyFont="1" applyAlignment="1">
      <alignment horizontal="center" vertical="top"/>
    </xf>
    <xf numFmtId="0" fontId="20" fillId="0" borderId="0" xfId="5" applyFont="1"/>
    <xf numFmtId="164" fontId="20" fillId="0" borderId="0" xfId="5" applyNumberFormat="1" applyFont="1"/>
    <xf numFmtId="164" fontId="0" fillId="0" borderId="0" xfId="0" applyNumberFormat="1" applyAlignment="1">
      <alignment wrapText="1"/>
    </xf>
    <xf numFmtId="0" fontId="20" fillId="0" borderId="1" xfId="4" applyFont="1" applyBorder="1" applyAlignment="1">
      <alignment horizontal="center" vertical="center" wrapText="1"/>
    </xf>
    <xf numFmtId="0" fontId="20" fillId="0" borderId="1" xfId="4" applyFont="1" applyBorder="1" applyAlignment="1">
      <alignment horizontal="center"/>
    </xf>
    <xf numFmtId="0" fontId="20" fillId="0" borderId="0" xfId="6" applyFont="1" applyAlignment="1">
      <alignment horizontal="center" vertical="top" wrapText="1"/>
    </xf>
    <xf numFmtId="164" fontId="20" fillId="0" borderId="1" xfId="5" applyNumberFormat="1" applyFont="1" applyBorder="1" applyAlignment="1">
      <alignment horizontal="center"/>
    </xf>
    <xf numFmtId="0" fontId="23" fillId="0" borderId="0" xfId="0" applyFont="1"/>
    <xf numFmtId="0" fontId="7" fillId="0" borderId="0" xfId="3" applyAlignment="1">
      <alignment wrapText="1"/>
    </xf>
    <xf numFmtId="49" fontId="15" fillId="0" borderId="0" xfId="0" applyNumberFormat="1" applyFont="1"/>
    <xf numFmtId="0" fontId="8" fillId="0" borderId="0" xfId="0" applyFont="1" applyAlignment="1">
      <alignment horizontal="left"/>
    </xf>
    <xf numFmtId="0" fontId="3" fillId="0" borderId="0" xfId="0" applyFont="1" applyAlignment="1">
      <alignment shrinkToFit="1"/>
    </xf>
    <xf numFmtId="0" fontId="0" fillId="0" borderId="1" xfId="0" applyBorder="1"/>
    <xf numFmtId="0" fontId="7" fillId="0" borderId="0" xfId="3" applyAlignment="1">
      <alignment vertical="center"/>
    </xf>
    <xf numFmtId="0" fontId="25" fillId="0" borderId="0" xfId="0" applyFont="1"/>
    <xf numFmtId="0" fontId="20" fillId="2" borderId="0" xfId="5" applyFont="1" applyFill="1"/>
    <xf numFmtId="0" fontId="32" fillId="0" borderId="0" xfId="0" applyFont="1"/>
    <xf numFmtId="0" fontId="33" fillId="0" borderId="0" xfId="0" applyFont="1"/>
    <xf numFmtId="0" fontId="31" fillId="0" borderId="0" xfId="0" applyFont="1"/>
    <xf numFmtId="0" fontId="0" fillId="0" borderId="10" xfId="0" applyBorder="1"/>
    <xf numFmtId="0" fontId="0" fillId="0" borderId="9" xfId="0" applyBorder="1"/>
    <xf numFmtId="0" fontId="0" fillId="0" borderId="8" xfId="0" applyBorder="1"/>
    <xf numFmtId="0" fontId="0" fillId="0" borderId="7" xfId="0" applyBorder="1"/>
    <xf numFmtId="0" fontId="0" fillId="0" borderId="30" xfId="0" applyBorder="1"/>
    <xf numFmtId="0" fontId="0" fillId="0" borderId="4" xfId="0" applyBorder="1"/>
    <xf numFmtId="0" fontId="24" fillId="0" borderId="0" xfId="0" applyFont="1" applyAlignment="1">
      <alignment vertical="center"/>
    </xf>
    <xf numFmtId="0" fontId="0" fillId="0" borderId="0" xfId="0" applyAlignment="1">
      <alignment vertical="center"/>
    </xf>
    <xf numFmtId="0" fontId="0" fillId="0" borderId="6" xfId="0" applyBorder="1"/>
    <xf numFmtId="0" fontId="0" fillId="0" borderId="5" xfId="0" applyBorder="1"/>
    <xf numFmtId="0" fontId="24" fillId="0" borderId="1" xfId="0" applyFont="1" applyBorder="1" applyAlignment="1">
      <alignment vertical="center"/>
    </xf>
    <xf numFmtId="0" fontId="34" fillId="0" borderId="0" xfId="0" applyFont="1"/>
    <xf numFmtId="0" fontId="36" fillId="0" borderId="0" xfId="0" applyFont="1" applyAlignment="1">
      <alignment wrapText="1"/>
    </xf>
    <xf numFmtId="0" fontId="37" fillId="0" borderId="37" xfId="0" applyFont="1" applyBorder="1"/>
    <xf numFmtId="0" fontId="37" fillId="0" borderId="0" xfId="0" applyFont="1"/>
    <xf numFmtId="0" fontId="23" fillId="0" borderId="0" xfId="0" applyFont="1" applyAlignment="1">
      <alignment wrapText="1"/>
    </xf>
    <xf numFmtId="49" fontId="0" fillId="0" borderId="0" xfId="0" applyNumberFormat="1"/>
    <xf numFmtId="0" fontId="35" fillId="0" borderId="0" xfId="0" applyFont="1"/>
    <xf numFmtId="49" fontId="0" fillId="0" borderId="0" xfId="0" applyNumberFormat="1" applyAlignment="1">
      <alignment wrapText="1"/>
    </xf>
    <xf numFmtId="49" fontId="16" fillId="0" borderId="0" xfId="0" applyNumberFormat="1" applyFont="1" applyAlignment="1">
      <alignment horizontal="right" wrapText="1"/>
    </xf>
    <xf numFmtId="0" fontId="0" fillId="0" borderId="39" xfId="0" applyBorder="1"/>
    <xf numFmtId="0" fontId="0" fillId="0" borderId="40" xfId="0" applyBorder="1"/>
    <xf numFmtId="0" fontId="0" fillId="0" borderId="41" xfId="0" applyBorder="1"/>
    <xf numFmtId="2" fontId="0" fillId="0" borderId="33" xfId="0" applyNumberFormat="1" applyBorder="1"/>
    <xf numFmtId="0" fontId="7" fillId="0" borderId="0" xfId="3" applyNumberFormat="1"/>
    <xf numFmtId="0" fontId="8" fillId="3" borderId="40" xfId="0" applyFont="1" applyFill="1" applyBorder="1"/>
    <xf numFmtId="0" fontId="8" fillId="3" borderId="1" xfId="0" applyFont="1" applyFill="1" applyBorder="1"/>
    <xf numFmtId="0" fontId="8" fillId="3" borderId="24" xfId="0" applyFont="1" applyFill="1" applyBorder="1"/>
    <xf numFmtId="0" fontId="8" fillId="3" borderId="19" xfId="0" applyFont="1" applyFill="1" applyBorder="1"/>
    <xf numFmtId="0" fontId="7" fillId="0" borderId="0" xfId="3" applyNumberFormat="1" applyBorder="1"/>
    <xf numFmtId="0" fontId="7" fillId="3" borderId="43" xfId="3" applyNumberFormat="1" applyFill="1" applyBorder="1"/>
    <xf numFmtId="0" fontId="26" fillId="0" borderId="0" xfId="0" applyFont="1"/>
    <xf numFmtId="0" fontId="0" fillId="0" borderId="33" xfId="0" applyBorder="1" applyAlignment="1">
      <alignment vertical="center"/>
    </xf>
    <xf numFmtId="0" fontId="7" fillId="3" borderId="42" xfId="3" applyNumberFormat="1" applyFill="1" applyBorder="1"/>
    <xf numFmtId="0" fontId="7" fillId="3" borderId="44" xfId="3" applyNumberFormat="1" applyFill="1" applyBorder="1"/>
    <xf numFmtId="0" fontId="40" fillId="0" borderId="0" xfId="0" applyFont="1"/>
    <xf numFmtId="0" fontId="41" fillId="0" borderId="0" xfId="3" applyFont="1"/>
    <xf numFmtId="49" fontId="3" fillId="0" borderId="0" xfId="3" applyNumberFormat="1" applyFont="1" applyAlignment="1"/>
    <xf numFmtId="49" fontId="16" fillId="0" borderId="0" xfId="0" applyNumberFormat="1" applyFont="1" applyAlignment="1">
      <alignment horizontal="left" wrapText="1"/>
    </xf>
    <xf numFmtId="0" fontId="16" fillId="0" borderId="0" xfId="0" applyFont="1"/>
    <xf numFmtId="49" fontId="16" fillId="0" borderId="0" xfId="0" applyNumberFormat="1" applyFont="1"/>
    <xf numFmtId="0" fontId="16" fillId="0" borderId="0" xfId="0" applyFont="1" applyAlignment="1">
      <alignment vertical="center"/>
    </xf>
    <xf numFmtId="0" fontId="16" fillId="0" borderId="0" xfId="0" applyFont="1" applyAlignment="1">
      <alignment wrapText="1"/>
    </xf>
    <xf numFmtId="0" fontId="43" fillId="0" borderId="0" xfId="0" applyFont="1" applyAlignment="1">
      <alignment horizontal="left" wrapText="1"/>
    </xf>
    <xf numFmtId="0" fontId="16" fillId="3" borderId="1" xfId="0" applyFont="1" applyFill="1" applyBorder="1"/>
    <xf numFmtId="49" fontId="16" fillId="3" borderId="23" xfId="0" applyNumberFormat="1" applyFont="1" applyFill="1" applyBorder="1" applyAlignment="1">
      <alignment horizontal="left"/>
    </xf>
    <xf numFmtId="0" fontId="44" fillId="0" borderId="0" xfId="0" applyFont="1"/>
    <xf numFmtId="0" fontId="16" fillId="3" borderId="19" xfId="0" applyFont="1" applyFill="1" applyBorder="1"/>
    <xf numFmtId="49" fontId="16" fillId="0" borderId="0" xfId="0" applyNumberFormat="1" applyFont="1" applyAlignment="1">
      <alignment horizontal="left"/>
    </xf>
    <xf numFmtId="49" fontId="16" fillId="3" borderId="20" xfId="0" applyNumberFormat="1" applyFont="1" applyFill="1" applyBorder="1" applyAlignment="1">
      <alignment horizontal="left"/>
    </xf>
    <xf numFmtId="0" fontId="16" fillId="3" borderId="21" xfId="0" applyFont="1" applyFill="1" applyBorder="1"/>
    <xf numFmtId="49" fontId="44" fillId="3" borderId="23" xfId="0" applyNumberFormat="1" applyFont="1" applyFill="1" applyBorder="1" applyAlignment="1">
      <alignment horizontal="left"/>
    </xf>
    <xf numFmtId="49" fontId="16" fillId="3" borderId="23" xfId="0" applyNumberFormat="1" applyFont="1" applyFill="1" applyBorder="1" applyAlignment="1">
      <alignment horizontal="left" wrapText="1"/>
    </xf>
    <xf numFmtId="49" fontId="16" fillId="3" borderId="17" xfId="0" applyNumberFormat="1" applyFont="1" applyFill="1" applyBorder="1" applyAlignment="1">
      <alignment horizontal="left" vertical="center" wrapText="1"/>
    </xf>
    <xf numFmtId="0" fontId="48" fillId="0" borderId="0" xfId="0" applyFont="1"/>
    <xf numFmtId="49" fontId="16" fillId="3" borderId="23" xfId="0" applyNumberFormat="1" applyFont="1" applyFill="1" applyBorder="1" applyAlignment="1">
      <alignment horizontal="right"/>
    </xf>
    <xf numFmtId="49" fontId="16" fillId="3" borderId="17" xfId="0" applyNumberFormat="1" applyFont="1" applyFill="1" applyBorder="1" applyAlignment="1">
      <alignment horizontal="right"/>
    </xf>
    <xf numFmtId="49" fontId="16" fillId="3" borderId="45" xfId="0" applyNumberFormat="1" applyFont="1" applyFill="1" applyBorder="1" applyAlignment="1">
      <alignment horizontal="left" wrapText="1"/>
    </xf>
    <xf numFmtId="49" fontId="51" fillId="3" borderId="46" xfId="0" applyNumberFormat="1" applyFont="1" applyFill="1" applyBorder="1" applyAlignment="1">
      <alignment horizontal="left" wrapText="1"/>
    </xf>
    <xf numFmtId="49" fontId="16" fillId="3" borderId="46" xfId="0" applyNumberFormat="1" applyFont="1" applyFill="1" applyBorder="1" applyAlignment="1">
      <alignment horizontal="left" wrapText="1"/>
    </xf>
    <xf numFmtId="49" fontId="52" fillId="3" borderId="46" xfId="0" applyNumberFormat="1" applyFont="1" applyFill="1" applyBorder="1"/>
    <xf numFmtId="49" fontId="16" fillId="3" borderId="47" xfId="0" applyNumberFormat="1" applyFont="1" applyFill="1" applyBorder="1" applyAlignment="1">
      <alignment horizontal="left" wrapText="1"/>
    </xf>
    <xf numFmtId="49" fontId="44" fillId="0" borderId="0" xfId="0" applyNumberFormat="1" applyFont="1" applyAlignment="1">
      <alignment horizontal="left" wrapText="1"/>
    </xf>
    <xf numFmtId="49" fontId="16" fillId="3" borderId="20" xfId="0" applyNumberFormat="1" applyFont="1" applyFill="1" applyBorder="1" applyAlignment="1">
      <alignment horizontal="left" wrapText="1"/>
    </xf>
    <xf numFmtId="49" fontId="3" fillId="0" borderId="0" xfId="0" quotePrefix="1" applyNumberFormat="1" applyFont="1"/>
    <xf numFmtId="0" fontId="34" fillId="3" borderId="23" xfId="0" applyFont="1" applyFill="1" applyBorder="1" applyAlignment="1">
      <alignment horizontal="right" vertical="center"/>
    </xf>
    <xf numFmtId="49" fontId="34" fillId="3" borderId="23" xfId="0" applyNumberFormat="1" applyFont="1" applyFill="1" applyBorder="1" applyAlignment="1">
      <alignment horizontal="right" vertical="center"/>
    </xf>
    <xf numFmtId="0" fontId="0" fillId="4" borderId="48" xfId="0" applyFill="1" applyBorder="1"/>
    <xf numFmtId="0" fontId="0" fillId="0" borderId="48" xfId="0" applyBorder="1"/>
    <xf numFmtId="0" fontId="53" fillId="0" borderId="0" xfId="0" applyFont="1"/>
    <xf numFmtId="0" fontId="54" fillId="0" borderId="0" xfId="0" applyFont="1"/>
    <xf numFmtId="0" fontId="3" fillId="0" borderId="0" xfId="0" applyFont="1" applyAlignment="1">
      <alignment vertical="top"/>
    </xf>
    <xf numFmtId="49" fontId="9" fillId="0" borderId="0" xfId="0" applyNumberFormat="1" applyFont="1" applyAlignment="1">
      <alignment vertical="top"/>
    </xf>
    <xf numFmtId="0" fontId="8" fillId="0" borderId="0" xfId="0" applyFont="1" applyAlignment="1">
      <alignment vertical="top"/>
    </xf>
    <xf numFmtId="0" fontId="15" fillId="3" borderId="27" xfId="0" applyFont="1" applyFill="1" applyBorder="1" applyAlignment="1">
      <alignment vertical="top" wrapText="1"/>
    </xf>
    <xf numFmtId="1" fontId="37" fillId="0" borderId="0" xfId="0" applyNumberFormat="1" applyFont="1" applyAlignment="1">
      <alignment wrapText="1"/>
    </xf>
    <xf numFmtId="0" fontId="37" fillId="0" borderId="0" xfId="0" applyFont="1" applyAlignment="1">
      <alignment wrapText="1"/>
    </xf>
    <xf numFmtId="2" fontId="37" fillId="0" borderId="0" xfId="0" applyNumberFormat="1" applyFont="1" applyAlignment="1">
      <alignment wrapText="1"/>
    </xf>
    <xf numFmtId="0" fontId="55" fillId="0" borderId="0" xfId="6" applyFont="1" applyAlignment="1">
      <alignment horizontal="center"/>
    </xf>
    <xf numFmtId="0" fontId="55" fillId="0" borderId="0" xfId="5" applyFont="1"/>
    <xf numFmtId="1" fontId="37" fillId="0" borderId="0" xfId="0" applyNumberFormat="1" applyFont="1"/>
    <xf numFmtId="2" fontId="37" fillId="0" borderId="0" xfId="0" applyNumberFormat="1" applyFont="1"/>
    <xf numFmtId="0" fontId="7" fillId="3" borderId="31" xfId="3" applyFill="1" applyBorder="1" applyAlignment="1">
      <alignment horizontal="left" vertical="center" wrapText="1"/>
    </xf>
    <xf numFmtId="0" fontId="8" fillId="3" borderId="45" xfId="0" applyFont="1" applyFill="1" applyBorder="1" applyAlignment="1">
      <alignment horizontal="left"/>
    </xf>
    <xf numFmtId="0" fontId="8" fillId="3" borderId="46" xfId="0" applyFont="1" applyFill="1" applyBorder="1" applyAlignment="1">
      <alignment horizontal="left"/>
    </xf>
    <xf numFmtId="49" fontId="8" fillId="3" borderId="46" xfId="0" applyNumberFormat="1" applyFont="1" applyFill="1" applyBorder="1" applyAlignment="1">
      <alignment horizontal="left"/>
    </xf>
    <xf numFmtId="49" fontId="8" fillId="3" borderId="52" xfId="0" applyNumberFormat="1" applyFont="1" applyFill="1" applyBorder="1" applyAlignment="1">
      <alignment horizontal="left"/>
    </xf>
    <xf numFmtId="49" fontId="15" fillId="3" borderId="45" xfId="0" applyNumberFormat="1" applyFont="1" applyFill="1" applyBorder="1" applyAlignment="1">
      <alignment horizontal="left" wrapText="1"/>
    </xf>
    <xf numFmtId="0" fontId="15" fillId="3" borderId="51" xfId="0" applyFont="1" applyFill="1" applyBorder="1" applyAlignment="1">
      <alignment vertical="top" wrapText="1"/>
    </xf>
    <xf numFmtId="0" fontId="8" fillId="3" borderId="40" xfId="0" applyFont="1" applyFill="1" applyBorder="1" applyAlignment="1">
      <alignment horizontal="center" vertical="center"/>
    </xf>
    <xf numFmtId="0" fontId="8" fillId="3" borderId="22" xfId="0" applyFont="1" applyFill="1" applyBorder="1"/>
    <xf numFmtId="0" fontId="8" fillId="3" borderId="23" xfId="0" applyFont="1" applyFill="1" applyBorder="1"/>
    <xf numFmtId="1" fontId="15" fillId="3" borderId="31" xfId="0" applyNumberFormat="1" applyFont="1" applyFill="1" applyBorder="1" applyAlignment="1">
      <alignment horizontal="center" vertical="center"/>
    </xf>
    <xf numFmtId="0" fontId="16" fillId="0" borderId="0" xfId="0" applyFont="1" applyAlignment="1">
      <alignment horizontal="right" vertical="center"/>
    </xf>
    <xf numFmtId="49" fontId="3" fillId="2" borderId="0" xfId="0" quotePrefix="1" applyNumberFormat="1" applyFont="1" applyFill="1"/>
    <xf numFmtId="164" fontId="20" fillId="4" borderId="10" xfId="4" applyNumberFormat="1" applyFont="1" applyFill="1" applyBorder="1" applyAlignment="1">
      <alignment horizontal="center" vertical="center" wrapText="1"/>
    </xf>
    <xf numFmtId="0" fontId="20" fillId="4" borderId="10" xfId="4" applyFont="1" applyFill="1" applyBorder="1" applyAlignment="1">
      <alignment horizontal="center"/>
    </xf>
    <xf numFmtId="0" fontId="20" fillId="2" borderId="54" xfId="5" applyFont="1" applyFill="1" applyBorder="1"/>
    <xf numFmtId="164" fontId="20" fillId="0" borderId="10" xfId="4" applyNumberFormat="1" applyFont="1" applyBorder="1" applyAlignment="1">
      <alignment horizontal="center" vertical="center" wrapText="1"/>
    </xf>
    <xf numFmtId="0" fontId="20" fillId="0" borderId="10" xfId="4" applyFont="1" applyBorder="1" applyAlignment="1">
      <alignment horizontal="center"/>
    </xf>
    <xf numFmtId="0" fontId="20" fillId="0" borderId="55" xfId="5" applyFont="1" applyBorder="1"/>
    <xf numFmtId="0" fontId="20" fillId="4" borderId="55" xfId="5" applyFont="1" applyFill="1" applyBorder="1"/>
    <xf numFmtId="0" fontId="20" fillId="4" borderId="10" xfId="5" applyFont="1" applyFill="1" applyBorder="1" applyAlignment="1">
      <alignment horizontal="center"/>
    </xf>
    <xf numFmtId="0" fontId="20" fillId="0" borderId="10" xfId="5" applyFont="1" applyBorder="1" applyAlignment="1">
      <alignment horizontal="center"/>
    </xf>
    <xf numFmtId="164" fontId="20" fillId="4" borderId="10" xfId="5" applyNumberFormat="1" applyFont="1" applyFill="1" applyBorder="1" applyAlignment="1">
      <alignment horizontal="center" vertical="center"/>
    </xf>
    <xf numFmtId="164" fontId="20" fillId="0" borderId="10" xfId="5" applyNumberFormat="1" applyFont="1" applyBorder="1" applyAlignment="1">
      <alignment horizontal="center" vertical="center"/>
    </xf>
    <xf numFmtId="164" fontId="20" fillId="0" borderId="10" xfId="5" applyNumberFormat="1" applyFont="1" applyBorder="1" applyAlignment="1">
      <alignment horizontal="center"/>
    </xf>
    <xf numFmtId="164" fontId="20" fillId="4" borderId="10" xfId="5" applyNumberFormat="1" applyFont="1" applyFill="1" applyBorder="1" applyAlignment="1">
      <alignment horizontal="center"/>
    </xf>
    <xf numFmtId="0" fontId="20" fillId="4" borderId="30" xfId="4" applyFont="1" applyFill="1" applyBorder="1" applyAlignment="1">
      <alignment horizontal="center" vertical="center" wrapText="1"/>
    </xf>
    <xf numFmtId="0" fontId="20" fillId="0" borderId="30" xfId="4" applyFont="1" applyBorder="1" applyAlignment="1">
      <alignment horizontal="center" vertical="center" wrapText="1"/>
    </xf>
    <xf numFmtId="0" fontId="57" fillId="0" borderId="0" xfId="4" applyFont="1" applyAlignment="1">
      <alignment horizontal="center" vertical="center" wrapText="1"/>
    </xf>
    <xf numFmtId="0" fontId="57" fillId="0" borderId="11" xfId="4" applyFont="1" applyBorder="1" applyAlignment="1">
      <alignment horizontal="center" vertical="center" wrapText="1"/>
    </xf>
    <xf numFmtId="0" fontId="57" fillId="0" borderId="56" xfId="6" applyFont="1" applyBorder="1" applyAlignment="1">
      <alignment horizontal="center" vertical="top" wrapText="1"/>
    </xf>
    <xf numFmtId="0" fontId="0" fillId="5" borderId="48" xfId="0" applyFill="1" applyBorder="1" applyAlignment="1">
      <alignment vertical="center"/>
    </xf>
    <xf numFmtId="0" fontId="0" fillId="5" borderId="48" xfId="0" applyFill="1" applyBorder="1" applyAlignment="1">
      <alignment horizontal="center" vertical="center"/>
    </xf>
    <xf numFmtId="0" fontId="0" fillId="6" borderId="48" xfId="0" applyFill="1" applyBorder="1" applyAlignment="1">
      <alignment horizontal="center" vertical="center"/>
    </xf>
    <xf numFmtId="0" fontId="0" fillId="6" borderId="1" xfId="0" applyFill="1" applyBorder="1"/>
    <xf numFmtId="0" fontId="34" fillId="6" borderId="58" xfId="0" applyFont="1" applyFill="1" applyBorder="1" applyAlignment="1">
      <alignment horizontal="center" vertical="center"/>
    </xf>
    <xf numFmtId="0" fontId="0" fillId="5" borderId="61" xfId="0" applyFill="1" applyBorder="1" applyAlignment="1">
      <alignment vertical="center"/>
    </xf>
    <xf numFmtId="0" fontId="34" fillId="6" borderId="1" xfId="0" applyFont="1" applyFill="1" applyBorder="1" applyAlignment="1">
      <alignment horizontal="center" vertical="center"/>
    </xf>
    <xf numFmtId="0" fontId="35" fillId="6" borderId="1" xfId="0" applyFont="1" applyFill="1" applyBorder="1" applyAlignment="1">
      <alignment horizontal="center" vertical="center"/>
    </xf>
    <xf numFmtId="0" fontId="23" fillId="6" borderId="1" xfId="0" applyFont="1" applyFill="1" applyBorder="1" applyAlignment="1">
      <alignment horizontal="center" vertical="center"/>
    </xf>
    <xf numFmtId="0" fontId="0" fillId="7" borderId="1" xfId="0" applyFill="1" applyBorder="1" applyAlignment="1">
      <alignment vertical="center"/>
    </xf>
    <xf numFmtId="0" fontId="0" fillId="7" borderId="48" xfId="0" applyFill="1" applyBorder="1" applyAlignment="1">
      <alignment horizontal="center" vertical="center"/>
    </xf>
    <xf numFmtId="0" fontId="0" fillId="7" borderId="1" xfId="0" applyFill="1" applyBorder="1" applyAlignment="1">
      <alignment horizontal="center" vertical="center"/>
    </xf>
    <xf numFmtId="0" fontId="3" fillId="7" borderId="48" xfId="0" applyFont="1" applyFill="1" applyBorder="1" applyAlignment="1">
      <alignment horizontal="center" vertical="center"/>
    </xf>
    <xf numFmtId="0" fontId="34" fillId="7" borderId="48" xfId="0" applyFont="1" applyFill="1" applyBorder="1" applyAlignment="1">
      <alignment horizontal="center" vertical="center"/>
    </xf>
    <xf numFmtId="0" fontId="35" fillId="7" borderId="48" xfId="0" applyFont="1" applyFill="1" applyBorder="1" applyAlignment="1">
      <alignment horizontal="center" vertical="center"/>
    </xf>
    <xf numFmtId="0" fontId="23" fillId="7" borderId="48" xfId="0" applyFont="1" applyFill="1" applyBorder="1" applyAlignment="1">
      <alignment horizontal="center" vertical="center"/>
    </xf>
    <xf numFmtId="0" fontId="3" fillId="7" borderId="48" xfId="0" applyFont="1" applyFill="1" applyBorder="1" applyAlignment="1">
      <alignment vertical="center"/>
    </xf>
    <xf numFmtId="0" fontId="34" fillId="9" borderId="48" xfId="0" applyFont="1" applyFill="1" applyBorder="1" applyAlignment="1">
      <alignment horizontal="center" vertical="center"/>
    </xf>
    <xf numFmtId="0" fontId="23" fillId="7" borderId="48" xfId="0" applyFont="1" applyFill="1" applyBorder="1" applyAlignment="1">
      <alignment vertical="center"/>
    </xf>
    <xf numFmtId="0" fontId="23" fillId="7" borderId="58" xfId="0" applyFont="1" applyFill="1" applyBorder="1" applyAlignment="1">
      <alignment vertical="center"/>
    </xf>
    <xf numFmtId="0" fontId="3" fillId="7" borderId="58" xfId="0" applyFont="1" applyFill="1" applyBorder="1" applyAlignment="1">
      <alignment vertical="center"/>
    </xf>
    <xf numFmtId="0" fontId="23" fillId="7" borderId="58" xfId="0" applyFont="1" applyFill="1" applyBorder="1" applyAlignment="1">
      <alignment horizontal="center" vertical="center"/>
    </xf>
    <xf numFmtId="0" fontId="0" fillId="11" borderId="48" xfId="0" applyFill="1" applyBorder="1" applyAlignment="1">
      <alignment vertical="center"/>
    </xf>
    <xf numFmtId="0" fontId="0" fillId="11" borderId="48" xfId="0" applyFill="1" applyBorder="1" applyAlignment="1">
      <alignment horizontal="center" vertical="center"/>
    </xf>
    <xf numFmtId="0" fontId="3" fillId="11" borderId="57" xfId="0" applyFont="1" applyFill="1" applyBorder="1" applyAlignment="1">
      <alignment vertical="center"/>
    </xf>
    <xf numFmtId="0" fontId="34" fillId="12" borderId="48" xfId="0" applyFont="1" applyFill="1" applyBorder="1" applyAlignment="1">
      <alignment horizontal="center" vertical="center"/>
    </xf>
    <xf numFmtId="0" fontId="35" fillId="12" borderId="58" xfId="0" applyFont="1" applyFill="1" applyBorder="1" applyAlignment="1">
      <alignment horizontal="center" vertical="center"/>
    </xf>
    <xf numFmtId="0" fontId="23" fillId="12" borderId="58" xfId="0" applyFont="1" applyFill="1" applyBorder="1" applyAlignment="1">
      <alignment horizontal="center" vertical="center"/>
    </xf>
    <xf numFmtId="0" fontId="23" fillId="12" borderId="48" xfId="0" applyFont="1" applyFill="1" applyBorder="1" applyAlignment="1">
      <alignment horizontal="center" vertical="center"/>
    </xf>
    <xf numFmtId="0" fontId="23" fillId="12" borderId="58" xfId="0" applyFont="1" applyFill="1" applyBorder="1" applyAlignment="1">
      <alignment vertical="center"/>
    </xf>
    <xf numFmtId="0" fontId="23" fillId="12" borderId="59" xfId="0" applyFont="1" applyFill="1" applyBorder="1" applyAlignment="1">
      <alignment vertical="center"/>
    </xf>
    <xf numFmtId="0" fontId="3" fillId="12" borderId="1" xfId="0" applyFont="1" applyFill="1" applyBorder="1" applyAlignment="1">
      <alignment vertical="center"/>
    </xf>
    <xf numFmtId="0" fontId="0" fillId="12" borderId="48" xfId="0" applyFill="1" applyBorder="1" applyAlignment="1">
      <alignment horizontal="center" vertical="center"/>
    </xf>
    <xf numFmtId="0" fontId="23" fillId="12" borderId="61" xfId="0" applyFont="1" applyFill="1" applyBorder="1" applyAlignment="1">
      <alignment horizontal="center" vertical="center"/>
    </xf>
    <xf numFmtId="0" fontId="0" fillId="12" borderId="1" xfId="0" applyFill="1" applyBorder="1"/>
    <xf numFmtId="0" fontId="0" fillId="12" borderId="6" xfId="0" applyFill="1" applyBorder="1"/>
    <xf numFmtId="0" fontId="34" fillId="12" borderId="58" xfId="0" applyFont="1" applyFill="1" applyBorder="1" applyAlignment="1">
      <alignment horizontal="center" vertical="center"/>
    </xf>
    <xf numFmtId="0" fontId="23" fillId="12" borderId="59" xfId="0" applyFont="1" applyFill="1" applyBorder="1" applyAlignment="1">
      <alignment horizontal="center" vertical="center"/>
    </xf>
    <xf numFmtId="0" fontId="0" fillId="11" borderId="61" xfId="0" applyFill="1" applyBorder="1" applyAlignment="1">
      <alignment vertical="center"/>
    </xf>
    <xf numFmtId="0" fontId="34" fillId="12" borderId="1" xfId="0" applyFont="1" applyFill="1" applyBorder="1" applyAlignment="1">
      <alignment horizontal="center" vertical="center"/>
    </xf>
    <xf numFmtId="0" fontId="35" fillId="12" borderId="1" xfId="0" applyFont="1" applyFill="1" applyBorder="1" applyAlignment="1">
      <alignment horizontal="center" vertical="center"/>
    </xf>
    <xf numFmtId="0" fontId="23" fillId="12" borderId="1" xfId="0" applyFont="1" applyFill="1" applyBorder="1" applyAlignment="1">
      <alignment horizontal="center" vertical="center"/>
    </xf>
    <xf numFmtId="0" fontId="23" fillId="12" borderId="6" xfId="0" applyFont="1" applyFill="1" applyBorder="1" applyAlignment="1">
      <alignment horizontal="center" vertical="center"/>
    </xf>
    <xf numFmtId="0" fontId="3" fillId="5" borderId="62" xfId="0" applyFont="1" applyFill="1" applyBorder="1" applyAlignment="1">
      <alignment vertical="center"/>
    </xf>
    <xf numFmtId="0" fontId="0" fillId="6" borderId="1" xfId="0" applyFill="1" applyBorder="1" applyAlignment="1">
      <alignment vertical="center"/>
    </xf>
    <xf numFmtId="0" fontId="0" fillId="12" borderId="1" xfId="0" applyFill="1" applyBorder="1" applyAlignment="1">
      <alignment vertical="center"/>
    </xf>
    <xf numFmtId="0" fontId="3" fillId="11" borderId="48" xfId="0" applyFont="1" applyFill="1" applyBorder="1" applyAlignment="1">
      <alignment horizontal="center" vertical="center"/>
    </xf>
    <xf numFmtId="0" fontId="3" fillId="5" borderId="48" xfId="0" applyFont="1" applyFill="1" applyBorder="1" applyAlignment="1">
      <alignment horizontal="center" vertical="center"/>
    </xf>
    <xf numFmtId="0" fontId="0" fillId="7" borderId="48" xfId="0" applyFill="1" applyBorder="1" applyAlignment="1">
      <alignment horizontal="left" vertical="center"/>
    </xf>
    <xf numFmtId="0" fontId="0" fillId="0" borderId="0" xfId="0" applyAlignment="1">
      <alignment horizontal="left" vertical="center"/>
    </xf>
    <xf numFmtId="0" fontId="23" fillId="0" borderId="0" xfId="0" applyFont="1" applyAlignment="1">
      <alignment horizontal="left" vertical="center" wrapText="1"/>
    </xf>
    <xf numFmtId="0" fontId="3" fillId="0" borderId="0" xfId="0" applyFont="1" applyAlignment="1">
      <alignment horizontal="left" vertical="center"/>
    </xf>
    <xf numFmtId="11" fontId="23" fillId="7" borderId="61" xfId="0" applyNumberFormat="1" applyFont="1" applyFill="1" applyBorder="1" applyAlignment="1">
      <alignment horizontal="left" vertical="center"/>
    </xf>
    <xf numFmtId="11" fontId="23" fillId="12" borderId="59" xfId="0" applyNumberFormat="1" applyFont="1" applyFill="1" applyBorder="1" applyAlignment="1">
      <alignment horizontal="left" vertical="center"/>
    </xf>
    <xf numFmtId="11" fontId="23" fillId="12" borderId="59" xfId="0" applyNumberFormat="1" applyFont="1" applyFill="1" applyBorder="1" applyAlignment="1">
      <alignment horizontal="left" vertical="center" wrapText="1"/>
    </xf>
    <xf numFmtId="11" fontId="23" fillId="12" borderId="6" xfId="0" applyNumberFormat="1" applyFont="1" applyFill="1" applyBorder="1" applyAlignment="1">
      <alignment horizontal="left" vertical="center" wrapText="1"/>
    </xf>
    <xf numFmtId="11" fontId="23" fillId="6" borderId="6" xfId="0" applyNumberFormat="1" applyFont="1" applyFill="1" applyBorder="1" applyAlignment="1">
      <alignment horizontal="left" vertical="center" wrapText="1"/>
    </xf>
    <xf numFmtId="49" fontId="0" fillId="7" borderId="64" xfId="0" applyNumberFormat="1" applyFill="1" applyBorder="1" applyAlignment="1">
      <alignment horizontal="left" vertical="center"/>
    </xf>
    <xf numFmtId="49" fontId="0" fillId="12" borderId="60" xfId="0" applyNumberFormat="1" applyFill="1" applyBorder="1" applyAlignment="1">
      <alignment horizontal="left" vertical="center"/>
    </xf>
    <xf numFmtId="49" fontId="0" fillId="12" borderId="5" xfId="0" applyNumberFormat="1" applyFill="1" applyBorder="1" applyAlignment="1">
      <alignment horizontal="left" vertical="center"/>
    </xf>
    <xf numFmtId="49" fontId="0" fillId="6" borderId="63" xfId="0" applyNumberFormat="1" applyFill="1" applyBorder="1" applyAlignment="1">
      <alignment horizontal="left" vertical="center"/>
    </xf>
    <xf numFmtId="49" fontId="0" fillId="6" borderId="5" xfId="0" applyNumberFormat="1" applyFill="1" applyBorder="1" applyAlignment="1">
      <alignment horizontal="left" vertical="center"/>
    </xf>
    <xf numFmtId="0" fontId="56" fillId="9" borderId="48" xfId="0" applyFont="1" applyFill="1" applyBorder="1" applyAlignment="1">
      <alignment horizontal="center" vertical="center"/>
    </xf>
    <xf numFmtId="49" fontId="62" fillId="3" borderId="23" xfId="0" applyNumberFormat="1" applyFont="1" applyFill="1" applyBorder="1" applyAlignment="1">
      <alignment horizontal="left" wrapText="1"/>
    </xf>
    <xf numFmtId="0" fontId="62" fillId="3" borderId="23" xfId="0" applyFont="1" applyFill="1" applyBorder="1" applyAlignment="1">
      <alignment horizontal="left" wrapText="1"/>
    </xf>
    <xf numFmtId="49" fontId="62" fillId="3" borderId="23" xfId="0" applyNumberFormat="1" applyFont="1" applyFill="1" applyBorder="1" applyAlignment="1">
      <alignment horizontal="left" vertical="center" wrapText="1"/>
    </xf>
    <xf numFmtId="49" fontId="63" fillId="3" borderId="23" xfId="0" applyNumberFormat="1" applyFont="1" applyFill="1" applyBorder="1" applyAlignment="1">
      <alignment wrapText="1"/>
    </xf>
    <xf numFmtId="0" fontId="64" fillId="3" borderId="23" xfId="0" applyFont="1" applyFill="1" applyBorder="1" applyAlignment="1">
      <alignment horizontal="left" wrapText="1"/>
    </xf>
    <xf numFmtId="49" fontId="64" fillId="3" borderId="23" xfId="0" applyNumberFormat="1" applyFont="1" applyFill="1" applyBorder="1" applyAlignment="1">
      <alignment horizontal="left" vertical="center" wrapText="1"/>
    </xf>
    <xf numFmtId="49" fontId="65" fillId="3" borderId="23" xfId="0" applyNumberFormat="1" applyFont="1" applyFill="1" applyBorder="1" applyAlignment="1">
      <alignment wrapText="1"/>
    </xf>
    <xf numFmtId="0" fontId="66" fillId="3" borderId="23" xfId="0" applyFont="1" applyFill="1" applyBorder="1" applyAlignment="1">
      <alignment horizontal="left" wrapText="1"/>
    </xf>
    <xf numFmtId="49" fontId="66" fillId="3" borderId="23" xfId="0" applyNumberFormat="1" applyFont="1" applyFill="1" applyBorder="1" applyAlignment="1">
      <alignment horizontal="left" vertical="center" wrapText="1"/>
    </xf>
    <xf numFmtId="49" fontId="67" fillId="3" borderId="23" xfId="0" applyNumberFormat="1" applyFont="1" applyFill="1" applyBorder="1" applyAlignment="1">
      <alignment wrapText="1"/>
    </xf>
    <xf numFmtId="49" fontId="68" fillId="3" borderId="23" xfId="0" applyNumberFormat="1" applyFont="1" applyFill="1" applyBorder="1" applyAlignment="1">
      <alignment horizontal="left" vertical="center" wrapText="1"/>
    </xf>
    <xf numFmtId="49" fontId="69" fillId="3" borderId="23" xfId="0" applyNumberFormat="1" applyFont="1" applyFill="1" applyBorder="1" applyAlignment="1">
      <alignment wrapText="1"/>
    </xf>
    <xf numFmtId="49" fontId="70" fillId="3" borderId="23" xfId="0" applyNumberFormat="1" applyFont="1" applyFill="1" applyBorder="1" applyAlignment="1">
      <alignment horizontal="left" vertical="center" wrapText="1"/>
    </xf>
    <xf numFmtId="49" fontId="71" fillId="3" borderId="23" xfId="0" applyNumberFormat="1" applyFont="1" applyFill="1" applyBorder="1" applyAlignment="1">
      <alignment wrapText="1"/>
    </xf>
    <xf numFmtId="0" fontId="72" fillId="3" borderId="23" xfId="0" applyFont="1" applyFill="1" applyBorder="1" applyAlignment="1">
      <alignment horizontal="left" wrapText="1"/>
    </xf>
    <xf numFmtId="49" fontId="72" fillId="3" borderId="23" xfId="0" applyNumberFormat="1" applyFont="1" applyFill="1" applyBorder="1" applyAlignment="1">
      <alignment horizontal="left" vertical="center" wrapText="1"/>
    </xf>
    <xf numFmtId="49" fontId="73" fillId="3" borderId="23" xfId="0" applyNumberFormat="1" applyFont="1" applyFill="1" applyBorder="1" applyAlignment="1">
      <alignment wrapText="1"/>
    </xf>
    <xf numFmtId="49" fontId="74" fillId="3" borderId="23" xfId="0" applyNumberFormat="1" applyFont="1" applyFill="1" applyBorder="1" applyAlignment="1">
      <alignment horizontal="left" wrapText="1"/>
    </xf>
    <xf numFmtId="0" fontId="74" fillId="3" borderId="23" xfId="0" applyFont="1" applyFill="1" applyBorder="1" applyAlignment="1">
      <alignment horizontal="left" wrapText="1"/>
    </xf>
    <xf numFmtId="49" fontId="75" fillId="3" borderId="23" xfId="0" applyNumberFormat="1" applyFont="1" applyFill="1" applyBorder="1" applyAlignment="1">
      <alignment wrapText="1"/>
    </xf>
    <xf numFmtId="49" fontId="76" fillId="3" borderId="23" xfId="0" applyNumberFormat="1" applyFont="1" applyFill="1" applyBorder="1" applyAlignment="1">
      <alignment horizontal="left" wrapText="1"/>
    </xf>
    <xf numFmtId="0" fontId="76" fillId="3" borderId="23" xfId="0" applyFont="1" applyFill="1" applyBorder="1" applyAlignment="1">
      <alignment horizontal="left" wrapText="1"/>
    </xf>
    <xf numFmtId="49" fontId="77" fillId="3" borderId="23" xfId="0" applyNumberFormat="1" applyFont="1" applyFill="1" applyBorder="1" applyAlignment="1">
      <alignment wrapText="1"/>
    </xf>
    <xf numFmtId="49" fontId="78" fillId="3" borderId="23" xfId="0" applyNumberFormat="1" applyFont="1" applyFill="1" applyBorder="1" applyAlignment="1">
      <alignment horizontal="left" wrapText="1"/>
    </xf>
    <xf numFmtId="0" fontId="78" fillId="3" borderId="23" xfId="0" applyFont="1" applyFill="1" applyBorder="1" applyAlignment="1">
      <alignment horizontal="left" wrapText="1"/>
    </xf>
    <xf numFmtId="49" fontId="79" fillId="3" borderId="23" xfId="0" applyNumberFormat="1" applyFont="1" applyFill="1" applyBorder="1" applyAlignment="1">
      <alignment wrapText="1"/>
    </xf>
    <xf numFmtId="49" fontId="7" fillId="3" borderId="47" xfId="3" applyNumberFormat="1" applyFill="1" applyBorder="1" applyAlignment="1">
      <alignment horizontal="left" wrapText="1"/>
    </xf>
    <xf numFmtId="49" fontId="7" fillId="3" borderId="26" xfId="3" applyNumberFormat="1" applyFill="1" applyBorder="1" applyAlignment="1">
      <alignment horizontal="left" vertical="center"/>
    </xf>
    <xf numFmtId="49" fontId="7" fillId="3" borderId="20" xfId="3" applyNumberFormat="1" applyFill="1" applyBorder="1" applyAlignment="1">
      <alignment horizontal="right" vertical="center"/>
    </xf>
    <xf numFmtId="0" fontId="7" fillId="3" borderId="45" xfId="3" applyFill="1" applyBorder="1" applyAlignment="1">
      <alignment horizontal="right"/>
    </xf>
    <xf numFmtId="0" fontId="7" fillId="3" borderId="46" xfId="3" applyFill="1" applyBorder="1" applyAlignment="1">
      <alignment horizontal="right"/>
    </xf>
    <xf numFmtId="0" fontId="7" fillId="3" borderId="47" xfId="3" applyFill="1" applyBorder="1" applyAlignment="1">
      <alignment horizontal="right"/>
    </xf>
    <xf numFmtId="49" fontId="7" fillId="0" borderId="0" xfId="3" applyNumberFormat="1" applyAlignment="1">
      <alignment horizontal="left" wrapText="1"/>
    </xf>
    <xf numFmtId="0" fontId="7" fillId="8" borderId="45" xfId="3" applyNumberFormat="1" applyFill="1" applyBorder="1"/>
    <xf numFmtId="0" fontId="7" fillId="8" borderId="46" xfId="3" applyNumberFormat="1" applyFill="1" applyBorder="1"/>
    <xf numFmtId="0" fontId="7" fillId="8" borderId="47" xfId="3" applyNumberFormat="1" applyFill="1" applyBorder="1" applyAlignment="1">
      <alignment horizontal="left" wrapText="1"/>
    </xf>
    <xf numFmtId="49" fontId="16" fillId="13" borderId="25" xfId="0" applyNumberFormat="1" applyFont="1" applyFill="1" applyBorder="1" applyAlignment="1">
      <alignment horizontal="left"/>
    </xf>
    <xf numFmtId="49" fontId="7" fillId="13" borderId="46" xfId="3" applyNumberFormat="1" applyFill="1" applyBorder="1" applyAlignment="1">
      <alignment horizontal="left" wrapText="1"/>
    </xf>
    <xf numFmtId="49" fontId="7" fillId="13" borderId="49" xfId="3" applyNumberFormat="1" applyFill="1" applyBorder="1"/>
    <xf numFmtId="49" fontId="7" fillId="13" borderId="46" xfId="3" applyNumberFormat="1" applyFill="1" applyBorder="1"/>
    <xf numFmtId="49" fontId="7" fillId="13" borderId="49" xfId="3" applyNumberFormat="1" applyFill="1" applyBorder="1" applyAlignment="1">
      <alignment horizontal="left" wrapText="1"/>
    </xf>
    <xf numFmtId="0" fontId="7" fillId="3" borderId="50" xfId="3" applyFill="1" applyBorder="1" applyAlignment="1">
      <alignment wrapText="1"/>
    </xf>
    <xf numFmtId="49" fontId="7" fillId="3" borderId="46" xfId="3" applyNumberFormat="1" applyFill="1" applyBorder="1" applyAlignment="1">
      <alignment horizontal="left" wrapText="1"/>
    </xf>
    <xf numFmtId="49" fontId="7" fillId="13" borderId="23" xfId="3" applyNumberFormat="1" applyFill="1" applyBorder="1" applyAlignment="1">
      <alignment horizontal="left" vertical="center" wrapText="1"/>
    </xf>
    <xf numFmtId="49" fontId="80" fillId="13" borderId="23" xfId="3" applyNumberFormat="1" applyFont="1" applyFill="1" applyBorder="1" applyAlignment="1">
      <alignment horizontal="left" vertical="center" wrapText="1"/>
    </xf>
    <xf numFmtId="49" fontId="81" fillId="13" borderId="23" xfId="3" applyNumberFormat="1" applyFont="1" applyFill="1" applyBorder="1" applyAlignment="1">
      <alignment horizontal="left" vertical="center" wrapText="1"/>
    </xf>
    <xf numFmtId="49" fontId="82" fillId="13" borderId="23" xfId="3" applyNumberFormat="1" applyFont="1" applyFill="1" applyBorder="1" applyAlignment="1">
      <alignment horizontal="left" vertical="center" wrapText="1"/>
    </xf>
    <xf numFmtId="49" fontId="83" fillId="13" borderId="23" xfId="3" applyNumberFormat="1" applyFont="1" applyFill="1" applyBorder="1" applyAlignment="1">
      <alignment horizontal="left" vertical="center" wrapText="1"/>
    </xf>
    <xf numFmtId="49" fontId="84" fillId="13" borderId="23" xfId="3" applyNumberFormat="1" applyFont="1" applyFill="1" applyBorder="1" applyAlignment="1">
      <alignment horizontal="left" vertical="center" wrapText="1"/>
    </xf>
    <xf numFmtId="49" fontId="85" fillId="13" borderId="23" xfId="3" applyNumberFormat="1" applyFont="1" applyFill="1" applyBorder="1" applyAlignment="1">
      <alignment horizontal="left" vertical="center" wrapText="1"/>
    </xf>
    <xf numFmtId="49" fontId="86" fillId="13" borderId="23" xfId="3" applyNumberFormat="1" applyFont="1" applyFill="1" applyBorder="1" applyAlignment="1">
      <alignment horizontal="left" vertical="center" wrapText="1"/>
    </xf>
    <xf numFmtId="49" fontId="87" fillId="13" borderId="23" xfId="3" applyNumberFormat="1" applyFont="1" applyFill="1" applyBorder="1" applyAlignment="1">
      <alignment horizontal="left" vertical="center" wrapText="1"/>
    </xf>
    <xf numFmtId="49" fontId="7" fillId="3" borderId="23" xfId="3" applyNumberFormat="1" applyFill="1" applyBorder="1" applyAlignment="1">
      <alignment wrapText="1"/>
    </xf>
    <xf numFmtId="49" fontId="7" fillId="3" borderId="23" xfId="3" applyNumberFormat="1" applyFill="1" applyBorder="1" applyAlignment="1">
      <alignment horizontal="left" wrapText="1"/>
    </xf>
    <xf numFmtId="49" fontId="80" fillId="3" borderId="23" xfId="3" applyNumberFormat="1" applyFont="1" applyFill="1" applyBorder="1" applyAlignment="1">
      <alignment horizontal="left" wrapText="1"/>
    </xf>
    <xf numFmtId="49" fontId="81" fillId="3" borderId="23" xfId="3" applyNumberFormat="1" applyFont="1" applyFill="1" applyBorder="1" applyAlignment="1">
      <alignment horizontal="left" wrapText="1"/>
    </xf>
    <xf numFmtId="49" fontId="82" fillId="3" borderId="23" xfId="3" applyNumberFormat="1" applyFont="1" applyFill="1" applyBorder="1" applyAlignment="1">
      <alignment horizontal="left" wrapText="1"/>
    </xf>
    <xf numFmtId="49" fontId="83" fillId="3" borderId="23" xfId="3" applyNumberFormat="1" applyFont="1" applyFill="1" applyBorder="1" applyAlignment="1">
      <alignment horizontal="left" wrapText="1"/>
    </xf>
    <xf numFmtId="49" fontId="84" fillId="3" borderId="32" xfId="3" applyNumberFormat="1" applyFont="1" applyFill="1" applyBorder="1" applyAlignment="1">
      <alignment horizontal="left" wrapText="1"/>
    </xf>
    <xf numFmtId="49" fontId="85" fillId="3" borderId="23" xfId="3" applyNumberFormat="1" applyFont="1" applyFill="1" applyBorder="1" applyAlignment="1">
      <alignment horizontal="left" wrapText="1"/>
    </xf>
    <xf numFmtId="49" fontId="86" fillId="3" borderId="23" xfId="3" applyNumberFormat="1" applyFont="1" applyFill="1" applyBorder="1" applyAlignment="1">
      <alignment horizontal="left" wrapText="1"/>
    </xf>
    <xf numFmtId="49" fontId="87" fillId="3" borderId="23" xfId="3" applyNumberFormat="1" applyFont="1" applyFill="1" applyBorder="1" applyAlignment="1">
      <alignment wrapText="1"/>
    </xf>
    <xf numFmtId="49" fontId="87" fillId="3" borderId="32" xfId="3" applyNumberFormat="1" applyFont="1" applyFill="1" applyBorder="1" applyAlignment="1">
      <alignment horizontal="left" wrapText="1"/>
    </xf>
    <xf numFmtId="0" fontId="0" fillId="0" borderId="33" xfId="0" applyBorder="1"/>
    <xf numFmtId="0" fontId="7" fillId="8" borderId="45" xfId="3" applyFill="1" applyBorder="1"/>
    <xf numFmtId="0" fontId="7" fillId="8" borderId="46" xfId="3" applyFill="1" applyBorder="1" applyAlignment="1">
      <alignment horizontal="left" wrapText="1"/>
    </xf>
    <xf numFmtId="0" fontId="7" fillId="8" borderId="47" xfId="3" applyNumberFormat="1" applyFill="1" applyBorder="1"/>
    <xf numFmtId="0" fontId="0" fillId="0" borderId="65" xfId="0" applyBorder="1"/>
    <xf numFmtId="0" fontId="0" fillId="0" borderId="33" xfId="0" applyBorder="1" applyAlignment="1">
      <alignment wrapText="1"/>
    </xf>
    <xf numFmtId="0" fontId="0" fillId="0" borderId="65" xfId="0" applyBorder="1" applyAlignment="1">
      <alignment wrapText="1"/>
    </xf>
    <xf numFmtId="0" fontId="0" fillId="0" borderId="65" xfId="0" applyBorder="1" applyAlignment="1">
      <alignment horizontal="left" wrapText="1"/>
    </xf>
    <xf numFmtId="0" fontId="0" fillId="0" borderId="48" xfId="0" applyBorder="1" applyAlignment="1">
      <alignment vertical="center"/>
    </xf>
    <xf numFmtId="0" fontId="0" fillId="0" borderId="48" xfId="0" applyBorder="1" applyAlignment="1">
      <alignment horizontal="center" vertical="center"/>
    </xf>
    <xf numFmtId="0" fontId="3" fillId="0" borderId="48" xfId="0" applyFont="1" applyBorder="1" applyAlignment="1">
      <alignment horizontal="center" vertical="center"/>
    </xf>
    <xf numFmtId="0" fontId="0" fillId="0" borderId="61" xfId="0" applyBorder="1" applyAlignment="1">
      <alignment vertical="center"/>
    </xf>
    <xf numFmtId="11" fontId="23" fillId="0" borderId="6" xfId="0" applyNumberFormat="1" applyFont="1" applyBorder="1" applyAlignment="1">
      <alignment horizontal="left" vertical="center" wrapText="1"/>
    </xf>
    <xf numFmtId="49" fontId="0" fillId="0" borderId="63" xfId="0" applyNumberFormat="1"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34" fillId="0" borderId="1" xfId="0" applyFont="1" applyBorder="1" applyAlignment="1">
      <alignment horizontal="center" vertical="center"/>
    </xf>
    <xf numFmtId="0" fontId="3" fillId="0" borderId="57" xfId="0" applyFont="1" applyBorder="1" applyAlignment="1">
      <alignment vertical="center"/>
    </xf>
    <xf numFmtId="11" fontId="23" fillId="0" borderId="59" xfId="0" applyNumberFormat="1" applyFont="1" applyBorder="1" applyAlignment="1">
      <alignment horizontal="left" vertical="center"/>
    </xf>
    <xf numFmtId="11" fontId="23" fillId="0" borderId="59" xfId="0" applyNumberFormat="1" applyFont="1" applyBorder="1" applyAlignment="1">
      <alignment horizontal="left" vertical="center" wrapText="1"/>
    </xf>
    <xf numFmtId="49" fontId="0" fillId="0" borderId="5" xfId="0" applyNumberFormat="1" applyBorder="1" applyAlignment="1">
      <alignment horizontal="left" vertical="center"/>
    </xf>
    <xf numFmtId="0" fontId="56" fillId="0" borderId="0" xfId="0" applyFont="1"/>
    <xf numFmtId="0" fontId="24" fillId="0" borderId="38" xfId="0" applyFont="1" applyBorder="1"/>
    <xf numFmtId="0" fontId="3" fillId="0" borderId="62" xfId="0" applyFont="1" applyBorder="1" applyAlignment="1">
      <alignment vertical="center"/>
    </xf>
    <xf numFmtId="0" fontId="37" fillId="0" borderId="59" xfId="0" applyFont="1" applyBorder="1"/>
    <xf numFmtId="0" fontId="37" fillId="0" borderId="59" xfId="0" applyFont="1" applyBorder="1" applyAlignment="1">
      <alignment textRotation="90"/>
    </xf>
    <xf numFmtId="0" fontId="29" fillId="0" borderId="59" xfId="0" applyFont="1" applyBorder="1" applyAlignment="1">
      <alignment wrapText="1"/>
    </xf>
    <xf numFmtId="0" fontId="37" fillId="0" borderId="58" xfId="0" applyFont="1" applyBorder="1"/>
    <xf numFmtId="0" fontId="37" fillId="4" borderId="66" xfId="0" applyFont="1" applyFill="1" applyBorder="1"/>
    <xf numFmtId="0" fontId="0" fillId="4" borderId="66" xfId="0" applyFill="1" applyBorder="1"/>
    <xf numFmtId="0" fontId="7" fillId="4" borderId="67" xfId="3" applyFill="1" applyBorder="1"/>
    <xf numFmtId="0" fontId="0" fillId="0" borderId="59" xfId="0" applyBorder="1"/>
    <xf numFmtId="0" fontId="7" fillId="0" borderId="58" xfId="3" applyBorder="1"/>
    <xf numFmtId="0" fontId="37" fillId="4" borderId="59" xfId="0" applyFont="1" applyFill="1" applyBorder="1"/>
    <xf numFmtId="0" fontId="0" fillId="4" borderId="59" xfId="0" applyFill="1" applyBorder="1"/>
    <xf numFmtId="11" fontId="0" fillId="4" borderId="59" xfId="0" applyNumberFormat="1" applyFill="1" applyBorder="1"/>
    <xf numFmtId="0" fontId="7" fillId="4" borderId="58" xfId="3" applyFill="1" applyBorder="1"/>
    <xf numFmtId="11" fontId="0" fillId="0" borderId="59" xfId="0" applyNumberFormat="1" applyBorder="1"/>
    <xf numFmtId="0" fontId="37" fillId="4" borderId="61" xfId="0" applyFont="1" applyFill="1" applyBorder="1"/>
    <xf numFmtId="0" fontId="0" fillId="4" borderId="61" xfId="0" applyFill="1" applyBorder="1"/>
    <xf numFmtId="0" fontId="7" fillId="4" borderId="48" xfId="3" applyFill="1" applyBorder="1"/>
    <xf numFmtId="0" fontId="34" fillId="3" borderId="36" xfId="0" applyFont="1" applyFill="1" applyBorder="1" applyAlignment="1">
      <alignment horizontal="right" vertical="center" wrapText="1"/>
    </xf>
    <xf numFmtId="0" fontId="23" fillId="0" borderId="0" xfId="0" applyFont="1" applyAlignment="1">
      <alignment vertical="top"/>
    </xf>
    <xf numFmtId="0" fontId="88" fillId="0" borderId="0" xfId="0" applyFont="1"/>
    <xf numFmtId="0" fontId="89" fillId="0" borderId="0" xfId="0" applyFont="1"/>
    <xf numFmtId="0" fontId="90" fillId="0" borderId="0" xfId="0" applyFont="1"/>
    <xf numFmtId="0" fontId="91" fillId="0" borderId="0" xfId="0" applyFont="1"/>
    <xf numFmtId="0" fontId="96" fillId="0" borderId="0" xfId="0" applyFont="1"/>
    <xf numFmtId="0" fontId="7" fillId="3" borderId="49" xfId="3" applyFill="1" applyBorder="1" applyAlignment="1">
      <alignment horizontal="right"/>
    </xf>
    <xf numFmtId="0" fontId="7" fillId="3" borderId="3" xfId="3" applyFill="1" applyBorder="1" applyAlignment="1">
      <alignment horizontal="right"/>
    </xf>
    <xf numFmtId="49" fontId="68" fillId="3" borderId="23" xfId="0" applyNumberFormat="1" applyFont="1" applyFill="1" applyBorder="1" applyAlignment="1">
      <alignment horizontal="left" wrapText="1"/>
    </xf>
    <xf numFmtId="0" fontId="0" fillId="14" borderId="1" xfId="0" applyFill="1" applyBorder="1"/>
    <xf numFmtId="0" fontId="23" fillId="7" borderId="16" xfId="0" applyFont="1" applyFill="1" applyBorder="1" applyAlignment="1">
      <alignment horizontal="center" vertical="center"/>
    </xf>
    <xf numFmtId="49" fontId="23" fillId="7" borderId="64" xfId="0" applyNumberFormat="1" applyFont="1" applyFill="1" applyBorder="1" applyAlignment="1">
      <alignment horizontal="left" vertical="center"/>
    </xf>
    <xf numFmtId="0" fontId="8" fillId="3" borderId="16" xfId="0" applyFont="1" applyFill="1" applyBorder="1" applyAlignment="1">
      <alignment horizontal="left"/>
    </xf>
    <xf numFmtId="0" fontId="7" fillId="3" borderId="35" xfId="3" applyFill="1" applyBorder="1" applyAlignment="1">
      <alignment horizontal="left" vertical="top"/>
    </xf>
    <xf numFmtId="0" fontId="98" fillId="0" borderId="0" xfId="0" applyFont="1"/>
    <xf numFmtId="0" fontId="99" fillId="0" borderId="0" xfId="0" applyFont="1"/>
    <xf numFmtId="0" fontId="99" fillId="0" borderId="1" xfId="0" applyFont="1" applyBorder="1" applyAlignment="1">
      <alignment horizontal="center" vertical="center"/>
    </xf>
    <xf numFmtId="0" fontId="56" fillId="12" borderId="48" xfId="0" applyFont="1" applyFill="1" applyBorder="1" applyAlignment="1">
      <alignment horizontal="center" vertical="center"/>
    </xf>
    <xf numFmtId="0" fontId="56" fillId="7" borderId="48" xfId="0" applyFont="1" applyFill="1" applyBorder="1" applyAlignment="1">
      <alignment horizontal="center" vertical="center"/>
    </xf>
    <xf numFmtId="0" fontId="36" fillId="6" borderId="1" xfId="0" applyFont="1" applyFill="1" applyBorder="1" applyAlignment="1">
      <alignment horizontal="center" vertical="center"/>
    </xf>
    <xf numFmtId="0" fontId="56" fillId="0" borderId="1" xfId="0" applyFont="1" applyBorder="1" applyAlignment="1">
      <alignment horizontal="center" vertical="center"/>
    </xf>
    <xf numFmtId="0" fontId="99" fillId="12" borderId="58" xfId="0" applyFont="1" applyFill="1" applyBorder="1" applyAlignment="1">
      <alignment horizontal="center" vertical="center"/>
    </xf>
    <xf numFmtId="0" fontId="23" fillId="7" borderId="48" xfId="0" applyFont="1" applyFill="1" applyBorder="1" applyAlignment="1">
      <alignment horizontal="left" vertical="center"/>
    </xf>
    <xf numFmtId="0" fontId="99" fillId="7" borderId="58" xfId="0" applyFont="1" applyFill="1" applyBorder="1" applyAlignment="1">
      <alignment horizontal="center" vertical="center"/>
    </xf>
    <xf numFmtId="0" fontId="99" fillId="7" borderId="48" xfId="0" applyFont="1" applyFill="1" applyBorder="1" applyAlignment="1">
      <alignment horizontal="center" vertical="center"/>
    </xf>
    <xf numFmtId="0" fontId="99" fillId="0" borderId="1" xfId="0" applyFont="1" applyBorder="1"/>
    <xf numFmtId="0" fontId="16" fillId="0" borderId="0" xfId="0" applyFont="1" applyAlignment="1">
      <alignment horizontal="right" wrapText="1"/>
    </xf>
    <xf numFmtId="0" fontId="43" fillId="0" borderId="0" xfId="0" applyFont="1" applyAlignment="1">
      <alignment horizontal="right" wrapText="1"/>
    </xf>
    <xf numFmtId="0" fontId="46" fillId="0" borderId="0" xfId="3" applyFont="1" applyAlignment="1">
      <alignment horizontal="right" wrapText="1"/>
    </xf>
    <xf numFmtId="0" fontId="48" fillId="0" borderId="0" xfId="0" applyFont="1" applyAlignment="1">
      <alignment horizontal="right"/>
    </xf>
    <xf numFmtId="0" fontId="48" fillId="0" borderId="0" xfId="0" applyFont="1" applyAlignment="1">
      <alignment horizontal="right" wrapText="1"/>
    </xf>
    <xf numFmtId="49" fontId="16" fillId="0" borderId="0" xfId="0" applyNumberFormat="1" applyFont="1" applyAlignment="1">
      <alignment horizontal="right"/>
    </xf>
    <xf numFmtId="0" fontId="43" fillId="0" borderId="0" xfId="0" applyFont="1" applyAlignment="1">
      <alignment horizontal="right" vertical="top" wrapText="1"/>
    </xf>
    <xf numFmtId="0" fontId="42" fillId="0" borderId="0" xfId="0" applyFont="1"/>
    <xf numFmtId="0" fontId="16" fillId="0" borderId="0" xfId="0" applyFont="1" applyAlignment="1">
      <alignment horizontal="left" vertical="center"/>
    </xf>
    <xf numFmtId="0" fontId="45" fillId="0" borderId="0" xfId="0" applyFont="1" applyAlignment="1">
      <alignment horizontal="left" vertical="center"/>
    </xf>
    <xf numFmtId="0" fontId="45" fillId="0" borderId="0" xfId="0" applyFont="1" applyAlignment="1">
      <alignment vertical="center"/>
    </xf>
    <xf numFmtId="0" fontId="47" fillId="0" borderId="0" xfId="0" applyFont="1"/>
    <xf numFmtId="0" fontId="42" fillId="0" borderId="0" xfId="0" applyFont="1" applyAlignment="1">
      <alignment vertical="top"/>
    </xf>
    <xf numFmtId="0" fontId="49" fillId="0" borderId="0" xfId="0" applyFont="1" applyAlignment="1">
      <alignment vertical="top"/>
    </xf>
    <xf numFmtId="0" fontId="49" fillId="0" borderId="0" xfId="0" applyFont="1"/>
    <xf numFmtId="0" fontId="50" fillId="0" borderId="0" xfId="0" applyFont="1" applyAlignment="1">
      <alignment horizontal="left" vertical="center"/>
    </xf>
    <xf numFmtId="0" fontId="43" fillId="0" borderId="0" xfId="0" applyFont="1" applyAlignment="1">
      <alignment vertical="center"/>
    </xf>
    <xf numFmtId="0" fontId="50" fillId="0" borderId="0" xfId="0" applyFont="1" applyAlignment="1">
      <alignment vertical="center"/>
    </xf>
    <xf numFmtId="49" fontId="44" fillId="0" borderId="0" xfId="0" applyNumberFormat="1" applyFont="1"/>
    <xf numFmtId="0" fontId="44" fillId="0" borderId="0" xfId="0" applyFont="1" applyAlignment="1">
      <alignment vertical="center"/>
    </xf>
    <xf numFmtId="0" fontId="44" fillId="0" borderId="0" xfId="0" applyFont="1" applyAlignment="1">
      <alignment wrapText="1"/>
    </xf>
    <xf numFmtId="0" fontId="44" fillId="0" borderId="0" xfId="0" applyFont="1" applyAlignment="1">
      <alignment horizontal="right" wrapText="1"/>
    </xf>
    <xf numFmtId="0" fontId="100" fillId="0" borderId="0" xfId="0" applyFont="1"/>
    <xf numFmtId="0" fontId="44" fillId="0" borderId="0" xfId="0" applyFont="1" applyAlignment="1">
      <alignment horizontal="right"/>
    </xf>
    <xf numFmtId="0" fontId="101" fillId="0" borderId="0" xfId="0" applyFont="1"/>
    <xf numFmtId="0" fontId="102" fillId="0" borderId="0" xfId="0" applyFont="1"/>
    <xf numFmtId="0" fontId="102" fillId="0" borderId="0" xfId="0" applyFont="1" applyAlignment="1">
      <alignment horizontal="right"/>
    </xf>
    <xf numFmtId="0" fontId="103" fillId="0" borderId="0" xfId="0" applyFont="1"/>
    <xf numFmtId="0" fontId="104" fillId="0" borderId="0" xfId="0" applyFont="1"/>
    <xf numFmtId="0" fontId="15" fillId="0" borderId="0" xfId="0" applyFont="1" applyAlignment="1">
      <alignment horizontal="left"/>
    </xf>
    <xf numFmtId="0" fontId="105" fillId="0" borderId="0" xfId="0" applyFont="1" applyAlignment="1">
      <alignment horizontal="right"/>
    </xf>
    <xf numFmtId="0" fontId="106" fillId="0" borderId="0" xfId="0" applyFont="1" applyAlignment="1">
      <alignment horizontal="right" vertical="top"/>
    </xf>
    <xf numFmtId="0" fontId="107" fillId="0" borderId="0" xfId="3" applyFont="1" applyAlignment="1">
      <alignment horizontal="right"/>
    </xf>
    <xf numFmtId="0" fontId="106" fillId="0" borderId="0" xfId="0" applyFont="1" applyAlignment="1">
      <alignment horizontal="right"/>
    </xf>
    <xf numFmtId="0" fontId="99" fillId="0" borderId="48" xfId="0" applyFont="1" applyBorder="1" applyAlignment="1">
      <alignment vertical="center"/>
    </xf>
    <xf numFmtId="0" fontId="99" fillId="0" borderId="48" xfId="0" applyFont="1" applyBorder="1" applyAlignment="1">
      <alignment horizontal="center" vertical="center"/>
    </xf>
    <xf numFmtId="0" fontId="99" fillId="0" borderId="61" xfId="0" applyFont="1" applyBorder="1" applyAlignment="1">
      <alignment vertical="center"/>
    </xf>
    <xf numFmtId="11" fontId="99" fillId="0" borderId="6" xfId="0" applyNumberFormat="1" applyFont="1" applyBorder="1" applyAlignment="1">
      <alignment horizontal="left" vertical="center" wrapText="1"/>
    </xf>
    <xf numFmtId="0" fontId="99" fillId="0" borderId="1" xfId="0" applyFont="1" applyBorder="1" applyAlignment="1">
      <alignment vertical="center"/>
    </xf>
    <xf numFmtId="49" fontId="99" fillId="0" borderId="16" xfId="0" applyNumberFormat="1" applyFont="1" applyBorder="1" applyAlignment="1">
      <alignment horizontal="left" vertical="center"/>
    </xf>
    <xf numFmtId="0" fontId="36" fillId="0" borderId="48" xfId="0" applyFont="1" applyBorder="1" applyAlignment="1">
      <alignment vertical="center"/>
    </xf>
    <xf numFmtId="0" fontId="109" fillId="0" borderId="0" xfId="0" applyFont="1"/>
    <xf numFmtId="0" fontId="4" fillId="0" borderId="0" xfId="0" applyFont="1" applyAlignment="1">
      <alignment horizontal="right" wrapText="1"/>
    </xf>
    <xf numFmtId="0" fontId="110" fillId="3" borderId="1" xfId="0" applyFont="1" applyFill="1" applyBorder="1"/>
    <xf numFmtId="0" fontId="108" fillId="0" borderId="0" xfId="0" applyFont="1"/>
    <xf numFmtId="0" fontId="4" fillId="0" borderId="0" xfId="0" applyFont="1" applyAlignment="1">
      <alignment wrapText="1"/>
    </xf>
    <xf numFmtId="0" fontId="4" fillId="0" borderId="0" xfId="0" applyFont="1" applyAlignment="1">
      <alignment horizontal="left" wrapText="1"/>
    </xf>
    <xf numFmtId="0" fontId="110" fillId="13" borderId="1" xfId="0" applyFont="1" applyFill="1" applyBorder="1"/>
    <xf numFmtId="0" fontId="113" fillId="0" borderId="0" xfId="0" applyFont="1"/>
    <xf numFmtId="49" fontId="4" fillId="0" borderId="0" xfId="0" applyNumberFormat="1" applyFont="1"/>
    <xf numFmtId="0" fontId="109" fillId="0" borderId="0" xfId="0" applyFont="1" applyAlignment="1">
      <alignment wrapText="1"/>
    </xf>
    <xf numFmtId="0" fontId="114" fillId="13" borderId="1" xfId="0" applyFont="1" applyFill="1" applyBorder="1"/>
    <xf numFmtId="0" fontId="110" fillId="3" borderId="1" xfId="0" quotePrefix="1" applyFont="1" applyFill="1" applyBorder="1"/>
    <xf numFmtId="0" fontId="115" fillId="0" borderId="0" xfId="0" applyFont="1"/>
    <xf numFmtId="0" fontId="113" fillId="0" borderId="0" xfId="0" applyFont="1" applyAlignment="1">
      <alignment horizontal="left" vertical="center"/>
    </xf>
    <xf numFmtId="0" fontId="116" fillId="0" borderId="0" xfId="0" applyFont="1"/>
    <xf numFmtId="0" fontId="117" fillId="0" borderId="0" xfId="0" applyFont="1"/>
    <xf numFmtId="0" fontId="117" fillId="0" borderId="0" xfId="0" applyFont="1" applyAlignment="1">
      <alignment horizontal="right" wrapText="1"/>
    </xf>
    <xf numFmtId="49" fontId="117" fillId="0" borderId="0" xfId="0" applyNumberFormat="1" applyFont="1" applyAlignment="1">
      <alignment horizontal="left" wrapText="1"/>
    </xf>
    <xf numFmtId="0" fontId="4" fillId="0" borderId="0" xfId="0" applyFont="1"/>
    <xf numFmtId="0" fontId="117" fillId="0" borderId="0" xfId="0" applyFont="1" applyAlignment="1">
      <alignment wrapText="1"/>
    </xf>
    <xf numFmtId="0" fontId="8" fillId="15" borderId="7" xfId="0" applyFont="1" applyFill="1" applyBorder="1" applyAlignment="1">
      <alignment wrapText="1"/>
    </xf>
    <xf numFmtId="0" fontId="16" fillId="15" borderId="1" xfId="0" applyFont="1" applyFill="1" applyBorder="1"/>
    <xf numFmtId="0" fontId="118" fillId="0" borderId="0" xfId="0" applyFont="1" applyAlignment="1">
      <alignment vertical="center"/>
    </xf>
    <xf numFmtId="0" fontId="119" fillId="0" borderId="0" xfId="0" applyFont="1" applyAlignment="1">
      <alignment vertical="center"/>
    </xf>
    <xf numFmtId="0" fontId="120" fillId="0" borderId="0" xfId="3" applyFont="1" applyAlignment="1"/>
    <xf numFmtId="0" fontId="23" fillId="2" borderId="0" xfId="0" applyFont="1" applyFill="1"/>
    <xf numFmtId="0" fontId="23" fillId="16" borderId="48" xfId="0" applyFont="1" applyFill="1" applyBorder="1" applyAlignment="1">
      <alignment vertical="center"/>
    </xf>
    <xf numFmtId="0" fontId="23" fillId="16" borderId="48" xfId="0" applyFont="1" applyFill="1" applyBorder="1" applyAlignment="1">
      <alignment horizontal="center" vertical="center"/>
    </xf>
    <xf numFmtId="0" fontId="23" fillId="16" borderId="57" xfId="0" applyFont="1" applyFill="1" applyBorder="1" applyAlignment="1">
      <alignment vertical="center"/>
    </xf>
    <xf numFmtId="11" fontId="23" fillId="2" borderId="59" xfId="0" applyNumberFormat="1" applyFont="1" applyFill="1" applyBorder="1" applyAlignment="1">
      <alignment horizontal="left" vertical="center"/>
    </xf>
    <xf numFmtId="0" fontId="23" fillId="2" borderId="1" xfId="0" applyFont="1" applyFill="1" applyBorder="1" applyAlignment="1">
      <alignment vertical="center"/>
    </xf>
    <xf numFmtId="49" fontId="23" fillId="2" borderId="60" xfId="0" applyNumberFormat="1" applyFont="1" applyFill="1" applyBorder="1" applyAlignment="1">
      <alignment horizontal="left" vertical="center"/>
    </xf>
    <xf numFmtId="0" fontId="34" fillId="2" borderId="48" xfId="0" applyFont="1" applyFill="1" applyBorder="1" applyAlignment="1">
      <alignment horizontal="center" vertical="center"/>
    </xf>
    <xf numFmtId="0" fontId="34" fillId="2" borderId="58"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48" xfId="0" applyFont="1" applyFill="1" applyBorder="1" applyAlignment="1">
      <alignment horizontal="center" vertical="center"/>
    </xf>
    <xf numFmtId="0" fontId="23" fillId="2" borderId="58" xfId="0" applyFont="1" applyFill="1" applyBorder="1" applyAlignment="1">
      <alignment vertical="center"/>
    </xf>
    <xf numFmtId="0" fontId="23" fillId="2" borderId="59" xfId="0" applyFont="1" applyFill="1" applyBorder="1" applyAlignment="1">
      <alignment vertical="center"/>
    </xf>
    <xf numFmtId="0" fontId="122" fillId="0" borderId="0" xfId="0" applyFont="1"/>
    <xf numFmtId="0" fontId="17" fillId="9" borderId="57" xfId="0" applyFont="1" applyFill="1" applyBorder="1" applyAlignment="1">
      <alignment horizontal="center" vertical="center"/>
    </xf>
    <xf numFmtId="0" fontId="17" fillId="7" borderId="48" xfId="0" applyFont="1" applyFill="1" applyBorder="1" applyAlignment="1">
      <alignment horizontal="center" vertical="center"/>
    </xf>
    <xf numFmtId="0" fontId="17" fillId="10" borderId="48" xfId="0" applyFont="1" applyFill="1" applyBorder="1" applyAlignment="1">
      <alignment horizontal="center" vertical="center"/>
    </xf>
    <xf numFmtId="11" fontId="34" fillId="9" borderId="61" xfId="0" applyNumberFormat="1" applyFont="1" applyFill="1" applyBorder="1" applyAlignment="1">
      <alignment horizontal="left" vertical="center"/>
    </xf>
    <xf numFmtId="0" fontId="17" fillId="9" borderId="1" xfId="0" applyFont="1" applyFill="1" applyBorder="1" applyAlignment="1">
      <alignment horizontal="center" vertical="center"/>
    </xf>
    <xf numFmtId="49" fontId="17" fillId="9" borderId="64" xfId="0" applyNumberFormat="1" applyFont="1" applyFill="1" applyBorder="1" applyAlignment="1">
      <alignment horizontal="left" vertical="center"/>
    </xf>
    <xf numFmtId="0" fontId="34" fillId="9" borderId="57" xfId="0" applyFont="1" applyFill="1" applyBorder="1" applyAlignment="1">
      <alignment horizontal="center" vertical="center"/>
    </xf>
    <xf numFmtId="0" fontId="17" fillId="9" borderId="57" xfId="0" applyFont="1" applyFill="1" applyBorder="1" applyAlignment="1">
      <alignment horizontal="left" vertical="center"/>
    </xf>
    <xf numFmtId="49" fontId="126" fillId="0" borderId="0" xfId="0" applyNumberFormat="1" applyFont="1" applyAlignment="1">
      <alignment wrapText="1"/>
    </xf>
    <xf numFmtId="0" fontId="127" fillId="0" borderId="0" xfId="0" applyFont="1" applyAlignment="1">
      <alignment horizontal="right"/>
    </xf>
    <xf numFmtId="49" fontId="126" fillId="0" borderId="0" xfId="0" applyNumberFormat="1" applyFont="1"/>
    <xf numFmtId="0" fontId="126" fillId="3" borderId="17" xfId="0" applyFont="1" applyFill="1" applyBorder="1"/>
    <xf numFmtId="0" fontId="126" fillId="3" borderId="18" xfId="0" applyFont="1" applyFill="1" applyBorder="1"/>
    <xf numFmtId="0" fontId="126" fillId="0" borderId="0" xfId="0" applyFont="1"/>
    <xf numFmtId="0" fontId="15" fillId="3" borderId="39" xfId="0" applyFont="1" applyFill="1" applyBorder="1" applyAlignment="1">
      <alignment horizontal="right"/>
    </xf>
    <xf numFmtId="0" fontId="16" fillId="0" borderId="1" xfId="0" applyFont="1" applyBorder="1"/>
    <xf numFmtId="0" fontId="8" fillId="3" borderId="20" xfId="0" applyFont="1" applyFill="1" applyBorder="1"/>
    <xf numFmtId="11" fontId="34" fillId="7" borderId="61" xfId="0" applyNumberFormat="1" applyFont="1" applyFill="1" applyBorder="1" applyAlignment="1">
      <alignment horizontal="left" vertical="center"/>
    </xf>
    <xf numFmtId="0" fontId="34" fillId="7" borderId="16" xfId="0" applyFont="1" applyFill="1" applyBorder="1" applyAlignment="1">
      <alignment horizontal="center" vertical="center"/>
    </xf>
    <xf numFmtId="0" fontId="48" fillId="7" borderId="48" xfId="0" applyFont="1" applyFill="1" applyBorder="1" applyAlignment="1">
      <alignment horizontal="center" vertical="center"/>
    </xf>
    <xf numFmtId="11" fontId="48" fillId="7" borderId="61" xfId="0" applyNumberFormat="1" applyFont="1" applyFill="1" applyBorder="1" applyAlignment="1">
      <alignment horizontal="left" vertical="center"/>
    </xf>
    <xf numFmtId="0" fontId="48" fillId="7" borderId="16" xfId="0" applyFont="1" applyFill="1" applyBorder="1" applyAlignment="1">
      <alignment horizontal="center" vertical="center"/>
    </xf>
    <xf numFmtId="0" fontId="48" fillId="7" borderId="48" xfId="0" applyFont="1" applyFill="1" applyBorder="1" applyAlignment="1">
      <alignment vertical="center"/>
    </xf>
    <xf numFmtId="0" fontId="48" fillId="0" borderId="0" xfId="0" applyFont="1" applyAlignment="1">
      <alignment horizontal="left" vertical="center"/>
    </xf>
    <xf numFmtId="49" fontId="48" fillId="7" borderId="64" xfId="0" applyNumberFormat="1" applyFont="1" applyFill="1" applyBorder="1" applyAlignment="1">
      <alignment horizontal="left" vertical="center"/>
    </xf>
    <xf numFmtId="49" fontId="34" fillId="7" borderId="64" xfId="0" applyNumberFormat="1" applyFont="1" applyFill="1" applyBorder="1" applyAlignment="1">
      <alignment horizontal="left" vertical="center"/>
    </xf>
    <xf numFmtId="0" fontId="34" fillId="7" borderId="48" xfId="0" applyFont="1" applyFill="1" applyBorder="1" applyAlignment="1">
      <alignment vertical="center"/>
    </xf>
    <xf numFmtId="0" fontId="17" fillId="0" borderId="0" xfId="0" applyFont="1" applyAlignment="1">
      <alignment horizontal="left" vertical="center"/>
    </xf>
    <xf numFmtId="0" fontId="128" fillId="7" borderId="0" xfId="0" applyFont="1" applyFill="1"/>
    <xf numFmtId="0" fontId="68" fillId="0" borderId="0" xfId="0" applyFont="1" applyAlignment="1">
      <alignment horizontal="right" wrapText="1"/>
    </xf>
    <xf numFmtId="0" fontId="129" fillId="0" borderId="0" xfId="0" applyFont="1"/>
    <xf numFmtId="0" fontId="68" fillId="0" borderId="0" xfId="0" applyFont="1" applyAlignment="1">
      <alignment wrapText="1"/>
    </xf>
    <xf numFmtId="0" fontId="68" fillId="0" borderId="0" xfId="0" applyFont="1" applyAlignment="1">
      <alignment horizontal="left" wrapText="1"/>
    </xf>
    <xf numFmtId="0" fontId="130" fillId="0" borderId="0" xfId="0" applyFont="1"/>
    <xf numFmtId="49" fontId="4" fillId="3" borderId="1" xfId="0" applyNumberFormat="1" applyFont="1" applyFill="1" applyBorder="1" applyAlignment="1">
      <alignment horizontal="left" wrapText="1"/>
    </xf>
    <xf numFmtId="0" fontId="4" fillId="3" borderId="1" xfId="0" applyFont="1" applyFill="1" applyBorder="1" applyAlignment="1">
      <alignment horizontal="left" wrapText="1"/>
    </xf>
    <xf numFmtId="49" fontId="4" fillId="13" borderId="1" xfId="0" applyNumberFormat="1" applyFont="1" applyFill="1" applyBorder="1" applyAlignment="1">
      <alignment horizontal="left" vertical="center" wrapText="1"/>
    </xf>
    <xf numFmtId="49" fontId="112" fillId="13" borderId="1" xfId="0" applyNumberFormat="1" applyFont="1" applyFill="1" applyBorder="1" applyAlignment="1">
      <alignment wrapText="1"/>
    </xf>
    <xf numFmtId="49" fontId="111" fillId="3" borderId="1" xfId="3" applyNumberFormat="1" applyFont="1" applyFill="1" applyBorder="1" applyAlignment="1">
      <alignment wrapText="1"/>
    </xf>
    <xf numFmtId="11" fontId="23" fillId="7" borderId="59" xfId="0" applyNumberFormat="1" applyFont="1" applyFill="1" applyBorder="1" applyAlignment="1">
      <alignment horizontal="left" vertical="center"/>
    </xf>
    <xf numFmtId="0" fontId="23" fillId="7" borderId="30" xfId="0" applyFont="1" applyFill="1" applyBorder="1" applyAlignment="1">
      <alignment horizontal="center" vertical="center"/>
    </xf>
    <xf numFmtId="49" fontId="23" fillId="7" borderId="60" xfId="0" applyNumberFormat="1" applyFont="1" applyFill="1" applyBorder="1" applyAlignment="1">
      <alignment horizontal="left" vertical="center"/>
    </xf>
    <xf numFmtId="0" fontId="34" fillId="7" borderId="58" xfId="0" applyFont="1" applyFill="1" applyBorder="1" applyAlignment="1">
      <alignment horizontal="center" vertical="center"/>
    </xf>
    <xf numFmtId="0" fontId="35" fillId="7" borderId="58" xfId="0" applyFont="1" applyFill="1" applyBorder="1" applyAlignment="1">
      <alignment horizontal="center" vertical="center"/>
    </xf>
    <xf numFmtId="0" fontId="3" fillId="7" borderId="58" xfId="0" applyFont="1" applyFill="1" applyBorder="1" applyAlignment="1">
      <alignment horizontal="center" vertical="center"/>
    </xf>
    <xf numFmtId="0" fontId="134" fillId="0" borderId="0" xfId="0" applyFont="1" applyAlignment="1">
      <alignment horizontal="left" vertical="center"/>
    </xf>
    <xf numFmtId="0" fontId="134" fillId="0" borderId="0" xfId="0" applyFont="1" applyAlignment="1">
      <alignment horizontal="right" wrapText="1"/>
    </xf>
    <xf numFmtId="0" fontId="133" fillId="0" borderId="0" xfId="0" applyFont="1"/>
    <xf numFmtId="0" fontId="0" fillId="0" borderId="0" xfId="0" applyAlignment="1">
      <alignment horizontal="center"/>
    </xf>
    <xf numFmtId="0" fontId="99" fillId="12" borderId="48" xfId="0" applyFont="1" applyFill="1" applyBorder="1" applyAlignment="1">
      <alignment horizontal="center" vertical="center"/>
    </xf>
    <xf numFmtId="0" fontId="99" fillId="12" borderId="1" xfId="0" applyFont="1" applyFill="1" applyBorder="1" applyAlignment="1">
      <alignment horizontal="center"/>
    </xf>
    <xf numFmtId="0" fontId="99" fillId="6" borderId="1" xfId="0" applyFont="1" applyFill="1" applyBorder="1" applyAlignment="1">
      <alignment horizontal="center"/>
    </xf>
    <xf numFmtId="0" fontId="99" fillId="0" borderId="1" xfId="0" applyFont="1" applyBorder="1" applyAlignment="1">
      <alignment horizontal="center"/>
    </xf>
    <xf numFmtId="0" fontId="56" fillId="12" borderId="58" xfId="0" applyFont="1" applyFill="1" applyBorder="1" applyAlignment="1">
      <alignment horizontal="center" vertical="center"/>
    </xf>
    <xf numFmtId="0" fontId="56" fillId="12" borderId="1" xfId="0" applyFont="1" applyFill="1" applyBorder="1" applyAlignment="1">
      <alignment horizontal="center" vertical="center"/>
    </xf>
    <xf numFmtId="0" fontId="56" fillId="6" borderId="1" xfId="0" applyFont="1" applyFill="1" applyBorder="1" applyAlignment="1">
      <alignment horizontal="center" vertical="center"/>
    </xf>
    <xf numFmtId="0" fontId="23" fillId="7" borderId="0" xfId="0" applyFont="1" applyFill="1" applyAlignment="1">
      <alignment horizontal="center" vertical="center"/>
    </xf>
    <xf numFmtId="0" fontId="23" fillId="0" borderId="1" xfId="0" applyFont="1" applyBorder="1" applyAlignment="1">
      <alignment horizontal="center" vertical="center"/>
    </xf>
    <xf numFmtId="0" fontId="56" fillId="9" borderId="57" xfId="0" applyFont="1" applyFill="1" applyBorder="1" applyAlignment="1">
      <alignment vertical="center"/>
    </xf>
    <xf numFmtId="0" fontId="23" fillId="0" borderId="58" xfId="0" applyFont="1" applyBorder="1" applyAlignment="1">
      <alignment horizontal="center" vertical="center"/>
    </xf>
    <xf numFmtId="0" fontId="23" fillId="0" borderId="58" xfId="0" applyFont="1" applyBorder="1" applyAlignment="1">
      <alignment vertical="center"/>
    </xf>
    <xf numFmtId="0" fontId="23" fillId="0" borderId="48" xfId="0" applyFont="1" applyBorder="1" applyAlignment="1">
      <alignment horizontal="center" vertical="center"/>
    </xf>
    <xf numFmtId="49" fontId="100" fillId="0" borderId="0" xfId="0" applyNumberFormat="1" applyFont="1" applyAlignment="1">
      <alignment textRotation="90" wrapText="1" shrinkToFit="1"/>
    </xf>
    <xf numFmtId="49" fontId="100" fillId="0" borderId="0" xfId="0" applyNumberFormat="1" applyFont="1" applyAlignment="1">
      <alignment horizontal="center" textRotation="90" wrapText="1" shrinkToFit="1"/>
    </xf>
    <xf numFmtId="0" fontId="48" fillId="7" borderId="58" xfId="0" applyFont="1" applyFill="1" applyBorder="1" applyAlignment="1">
      <alignment horizontal="center" vertical="center"/>
    </xf>
    <xf numFmtId="0" fontId="100" fillId="0" borderId="1" xfId="0" applyFont="1" applyBorder="1" applyAlignment="1">
      <alignment textRotation="90" wrapText="1"/>
    </xf>
    <xf numFmtId="49" fontId="16" fillId="3" borderId="1" xfId="0" applyNumberFormat="1" applyFont="1" applyFill="1" applyBorder="1" applyAlignment="1">
      <alignment horizontal="left" textRotation="90" wrapText="1"/>
    </xf>
    <xf numFmtId="0" fontId="23" fillId="0" borderId="57" xfId="0" applyFont="1" applyBorder="1" applyAlignment="1">
      <alignment horizontal="center" vertical="center"/>
    </xf>
    <xf numFmtId="0" fontId="16" fillId="15" borderId="6" xfId="0" applyFont="1" applyFill="1" applyBorder="1"/>
    <xf numFmtId="0" fontId="16" fillId="0" borderId="11" xfId="0" applyFont="1" applyBorder="1"/>
    <xf numFmtId="0" fontId="16" fillId="3" borderId="6" xfId="0" applyFont="1" applyFill="1" applyBorder="1"/>
    <xf numFmtId="0" fontId="16" fillId="3" borderId="53" xfId="0" applyFont="1" applyFill="1" applyBorder="1"/>
    <xf numFmtId="0" fontId="16" fillId="0" borderId="0" xfId="0" applyFont="1" applyAlignment="1">
      <alignment horizontal="left" wrapText="1"/>
    </xf>
    <xf numFmtId="0" fontId="92" fillId="0" borderId="0" xfId="0" applyFont="1"/>
    <xf numFmtId="0" fontId="93" fillId="0" borderId="0" xfId="0" applyFont="1"/>
    <xf numFmtId="0" fontId="94" fillId="0" borderId="0" xfId="0" applyFont="1"/>
    <xf numFmtId="0" fontId="95" fillId="0" borderId="0" xfId="0" applyFont="1"/>
    <xf numFmtId="0" fontId="48" fillId="0" borderId="0" xfId="0" applyFont="1" applyAlignment="1">
      <alignment horizontal="left" wrapText="1"/>
    </xf>
    <xf numFmtId="0" fontId="43" fillId="0" borderId="0" xfId="0" quotePrefix="1" applyFont="1" applyAlignment="1">
      <alignment horizontal="left" wrapText="1"/>
    </xf>
    <xf numFmtId="2" fontId="16" fillId="0" borderId="0" xfId="0" applyNumberFormat="1" applyFont="1"/>
    <xf numFmtId="0" fontId="97" fillId="0" borderId="0" xfId="0" applyFont="1"/>
    <xf numFmtId="0" fontId="134" fillId="0" borderId="0" xfId="0" applyFont="1" applyAlignment="1">
      <alignment horizontal="left" wrapText="1"/>
    </xf>
    <xf numFmtId="0" fontId="16" fillId="0" borderId="11" xfId="0" applyFont="1" applyBorder="1" applyAlignment="1">
      <alignment horizontal="right" wrapText="1"/>
    </xf>
    <xf numFmtId="0" fontId="48" fillId="0" borderId="11" xfId="0" applyFont="1" applyBorder="1"/>
    <xf numFmtId="0" fontId="68" fillId="0" borderId="11" xfId="0" applyFont="1" applyBorder="1" applyAlignment="1">
      <alignment horizontal="right" wrapText="1"/>
    </xf>
    <xf numFmtId="0" fontId="7" fillId="0" borderId="0" xfId="3" applyAlignment="1">
      <alignment horizontal="left"/>
    </xf>
    <xf numFmtId="0" fontId="7" fillId="0" borderId="0" xfId="3" applyBorder="1" applyAlignment="1">
      <alignment wrapText="1"/>
    </xf>
    <xf numFmtId="0" fontId="7" fillId="8" borderId="49" xfId="3" applyNumberFormat="1" applyFill="1" applyBorder="1"/>
    <xf numFmtId="0" fontId="0" fillId="3" borderId="45" xfId="0" applyFill="1" applyBorder="1"/>
    <xf numFmtId="0" fontId="0" fillId="3" borderId="46" xfId="0" applyFill="1" applyBorder="1"/>
    <xf numFmtId="0" fontId="0" fillId="3" borderId="47" xfId="0" applyFill="1" applyBorder="1"/>
    <xf numFmtId="49" fontId="135" fillId="3" borderId="1" xfId="3" applyNumberFormat="1" applyFont="1" applyFill="1" applyBorder="1" applyAlignment="1">
      <alignment wrapText="1"/>
    </xf>
    <xf numFmtId="49" fontId="136" fillId="13" borderId="1" xfId="3" applyNumberFormat="1" applyFont="1" applyFill="1" applyBorder="1" applyAlignment="1">
      <alignment horizontal="left" wrapText="1"/>
    </xf>
    <xf numFmtId="22" fontId="0" fillId="0" borderId="0" xfId="0" applyNumberFormat="1"/>
    <xf numFmtId="164" fontId="0" fillId="0" borderId="0" xfId="0" applyNumberFormat="1"/>
    <xf numFmtId="167" fontId="8" fillId="0" borderId="0" xfId="0" applyNumberFormat="1" applyFont="1"/>
    <xf numFmtId="0" fontId="8" fillId="3" borderId="71" xfId="0" applyFont="1" applyFill="1" applyBorder="1" applyAlignment="1">
      <alignment horizontal="left" wrapText="1"/>
    </xf>
    <xf numFmtId="168" fontId="0" fillId="0" borderId="0" xfId="0" applyNumberFormat="1"/>
    <xf numFmtId="0" fontId="8" fillId="3" borderId="70" xfId="0" applyFont="1" applyFill="1" applyBorder="1" applyAlignment="1">
      <alignment horizontal="left" wrapText="1"/>
    </xf>
    <xf numFmtId="49" fontId="126" fillId="3" borderId="73" xfId="0" applyNumberFormat="1" applyFont="1" applyFill="1" applyBorder="1" applyAlignment="1">
      <alignment horizontal="left" wrapText="1"/>
    </xf>
    <xf numFmtId="10" fontId="8" fillId="0" borderId="0" xfId="0" applyNumberFormat="1" applyFont="1"/>
    <xf numFmtId="0" fontId="15" fillId="3" borderId="74" xfId="0" applyFont="1" applyFill="1" applyBorder="1" applyAlignment="1">
      <alignment vertical="top" wrapText="1"/>
    </xf>
    <xf numFmtId="0" fontId="15" fillId="3" borderId="28" xfId="0" applyFont="1" applyFill="1" applyBorder="1" applyAlignment="1">
      <alignment vertical="top" wrapText="1"/>
    </xf>
    <xf numFmtId="0" fontId="8" fillId="3" borderId="21" xfId="0" applyFont="1" applyFill="1" applyBorder="1"/>
    <xf numFmtId="0" fontId="126" fillId="3" borderId="19" xfId="0" applyFont="1" applyFill="1" applyBorder="1"/>
    <xf numFmtId="0" fontId="8" fillId="3" borderId="32" xfId="0" applyFont="1" applyFill="1" applyBorder="1"/>
    <xf numFmtId="0" fontId="8" fillId="3" borderId="2" xfId="0" applyFont="1" applyFill="1" applyBorder="1"/>
    <xf numFmtId="0" fontId="8" fillId="3" borderId="75" xfId="0" applyFont="1" applyFill="1" applyBorder="1"/>
    <xf numFmtId="0" fontId="15" fillId="0" borderId="0" xfId="0" applyFont="1"/>
    <xf numFmtId="0" fontId="15" fillId="3" borderId="49" xfId="0" applyFont="1" applyFill="1" applyBorder="1"/>
    <xf numFmtId="0" fontId="126" fillId="3" borderId="20" xfId="0" applyFont="1" applyFill="1" applyBorder="1"/>
    <xf numFmtId="0" fontId="126" fillId="3" borderId="21" xfId="0" applyFont="1" applyFill="1" applyBorder="1"/>
    <xf numFmtId="0" fontId="126" fillId="3" borderId="22" xfId="0" applyFont="1" applyFill="1" applyBorder="1"/>
    <xf numFmtId="0" fontId="8" fillId="15" borderId="3" xfId="0" applyFont="1" applyFill="1" applyBorder="1" applyAlignment="1">
      <alignment wrapText="1"/>
    </xf>
    <xf numFmtId="0" fontId="8" fillId="15" borderId="0" xfId="0" applyFont="1" applyFill="1" applyAlignment="1">
      <alignment wrapText="1"/>
    </xf>
    <xf numFmtId="0" fontId="8" fillId="15" borderId="5" xfId="0" applyFont="1" applyFill="1" applyBorder="1"/>
    <xf numFmtId="0" fontId="8" fillId="15" borderId="5" xfId="0" applyFont="1" applyFill="1" applyBorder="1" applyAlignment="1">
      <alignment horizontal="right"/>
    </xf>
    <xf numFmtId="49" fontId="16" fillId="3" borderId="25" xfId="0" applyNumberFormat="1" applyFont="1" applyFill="1" applyBorder="1" applyAlignment="1">
      <alignment horizontal="left"/>
    </xf>
    <xf numFmtId="0" fontId="43" fillId="0" borderId="0" xfId="0" applyFont="1" applyAlignment="1">
      <alignment horizontal="left" vertical="center"/>
    </xf>
    <xf numFmtId="49" fontId="7" fillId="0" borderId="0" xfId="3" applyNumberFormat="1" applyFill="1" applyBorder="1" applyAlignment="1">
      <alignment horizontal="left"/>
    </xf>
    <xf numFmtId="0" fontId="16" fillId="0" borderId="0" xfId="0" applyFont="1" applyAlignment="1">
      <alignment horizontal="left" vertical="center" wrapText="1"/>
    </xf>
    <xf numFmtId="0" fontId="120" fillId="0" borderId="0" xfId="3" applyFont="1" applyFill="1" applyBorder="1" applyAlignment="1"/>
    <xf numFmtId="0" fontId="16" fillId="0" borderId="24" xfId="0" applyFont="1" applyBorder="1"/>
    <xf numFmtId="0" fontId="16" fillId="15" borderId="0" xfId="0" applyFont="1" applyFill="1"/>
    <xf numFmtId="0" fontId="16" fillId="15" borderId="24" xfId="0" applyFont="1" applyFill="1" applyBorder="1"/>
    <xf numFmtId="0" fontId="16" fillId="15" borderId="19" xfId="0" applyFont="1" applyFill="1" applyBorder="1"/>
    <xf numFmtId="0" fontId="16" fillId="15" borderId="18" xfId="0" applyFont="1" applyFill="1" applyBorder="1"/>
    <xf numFmtId="0" fontId="16" fillId="15" borderId="11" xfId="0" applyFont="1" applyFill="1" applyBorder="1" applyAlignment="1">
      <alignment horizontal="right" wrapText="1"/>
    </xf>
    <xf numFmtId="0" fontId="46" fillId="15" borderId="0" xfId="3" applyFont="1" applyFill="1" applyBorder="1" applyAlignment="1">
      <alignment horizontal="left" wrapText="1"/>
    </xf>
    <xf numFmtId="0" fontId="16" fillId="15" borderId="0" xfId="0" applyFont="1" applyFill="1" applyAlignment="1">
      <alignment horizontal="left" wrapText="1"/>
    </xf>
    <xf numFmtId="0" fontId="23" fillId="15" borderId="0" xfId="0" applyFont="1" applyFill="1"/>
    <xf numFmtId="0" fontId="94" fillId="15" borderId="0" xfId="0" applyFont="1" applyFill="1"/>
    <xf numFmtId="0" fontId="95" fillId="15" borderId="0" xfId="0" applyFont="1" applyFill="1"/>
    <xf numFmtId="0" fontId="96" fillId="15" borderId="0" xfId="0" applyFont="1" applyFill="1"/>
    <xf numFmtId="0" fontId="23" fillId="0" borderId="59" xfId="0" applyFont="1" applyBorder="1"/>
    <xf numFmtId="0" fontId="23" fillId="4" borderId="59" xfId="0" applyFont="1" applyFill="1" applyBorder="1"/>
    <xf numFmtId="0" fontId="0" fillId="0" borderId="58" xfId="0" applyBorder="1"/>
    <xf numFmtId="0" fontId="0" fillId="4" borderId="58" xfId="0" applyFill="1" applyBorder="1"/>
    <xf numFmtId="0" fontId="48" fillId="7" borderId="1" xfId="0" applyFont="1" applyFill="1" applyBorder="1"/>
    <xf numFmtId="0" fontId="48" fillId="7" borderId="19" xfId="0" applyFont="1" applyFill="1" applyBorder="1"/>
    <xf numFmtId="0" fontId="16" fillId="7" borderId="21" xfId="0" applyFont="1" applyFill="1" applyBorder="1"/>
    <xf numFmtId="0" fontId="16" fillId="7" borderId="22" xfId="0" applyFont="1" applyFill="1" applyBorder="1"/>
    <xf numFmtId="0" fontId="16" fillId="7" borderId="1" xfId="0" applyFont="1" applyFill="1" applyBorder="1"/>
    <xf numFmtId="0" fontId="16" fillId="7" borderId="24" xfId="0" applyFont="1" applyFill="1" applyBorder="1"/>
    <xf numFmtId="0" fontId="44" fillId="7" borderId="1" xfId="0" applyFont="1" applyFill="1" applyBorder="1"/>
    <xf numFmtId="0" fontId="44" fillId="7" borderId="24" xfId="0" applyFont="1" applyFill="1" applyBorder="1"/>
    <xf numFmtId="49" fontId="16" fillId="12" borderId="0" xfId="0" applyNumberFormat="1" applyFont="1" applyFill="1"/>
    <xf numFmtId="0" fontId="23" fillId="12" borderId="0" xfId="0" applyFont="1" applyFill="1"/>
    <xf numFmtId="0" fontId="48" fillId="12" borderId="0" xfId="0" applyFont="1" applyFill="1"/>
    <xf numFmtId="0" fontId="94" fillId="12" borderId="0" xfId="0" applyFont="1" applyFill="1"/>
    <xf numFmtId="0" fontId="95" fillId="12" borderId="0" xfId="0" applyFont="1" applyFill="1"/>
    <xf numFmtId="0" fontId="96" fillId="12" borderId="0" xfId="0" applyFont="1" applyFill="1"/>
    <xf numFmtId="0" fontId="16" fillId="12" borderId="0" xfId="0" applyFont="1" applyFill="1"/>
    <xf numFmtId="0" fontId="43" fillId="12" borderId="0" xfId="0" applyFont="1" applyFill="1" applyAlignment="1">
      <alignment horizontal="left" vertical="top" wrapText="1"/>
    </xf>
    <xf numFmtId="0" fontId="23" fillId="12" borderId="0" xfId="0" applyFont="1" applyFill="1" applyAlignment="1">
      <alignment vertical="top"/>
    </xf>
    <xf numFmtId="0" fontId="16" fillId="12" borderId="0" xfId="0" applyFont="1" applyFill="1" applyAlignment="1">
      <alignment horizontal="left" vertical="top"/>
    </xf>
    <xf numFmtId="0" fontId="43" fillId="12" borderId="0" xfId="0" applyFont="1" applyFill="1" applyAlignment="1">
      <alignment horizontal="left" wrapText="1"/>
    </xf>
    <xf numFmtId="0" fontId="43" fillId="12" borderId="0" xfId="0" quotePrefix="1" applyFont="1" applyFill="1" applyAlignment="1">
      <alignment horizontal="left" wrapText="1"/>
    </xf>
    <xf numFmtId="0" fontId="24" fillId="13" borderId="1" xfId="0" applyFont="1" applyFill="1" applyBorder="1"/>
    <xf numFmtId="49" fontId="16" fillId="15" borderId="23" xfId="0" applyNumberFormat="1" applyFont="1" applyFill="1" applyBorder="1" applyAlignment="1">
      <alignment horizontal="left"/>
    </xf>
    <xf numFmtId="49" fontId="16" fillId="15" borderId="25" xfId="0" applyNumberFormat="1" applyFont="1" applyFill="1" applyBorder="1" applyAlignment="1">
      <alignment horizontal="left"/>
    </xf>
    <xf numFmtId="0" fontId="16" fillId="15" borderId="25" xfId="0" applyFont="1" applyFill="1" applyBorder="1" applyAlignment="1">
      <alignment horizontal="right"/>
    </xf>
    <xf numFmtId="49" fontId="16" fillId="15" borderId="17" xfId="0" applyNumberFormat="1" applyFont="1" applyFill="1" applyBorder="1" applyAlignment="1">
      <alignment horizontal="left"/>
    </xf>
    <xf numFmtId="0" fontId="16" fillId="7" borderId="0" xfId="0" applyFont="1" applyFill="1" applyAlignment="1">
      <alignment wrapText="1"/>
    </xf>
    <xf numFmtId="0" fontId="16" fillId="7" borderId="0" xfId="0" applyFont="1" applyFill="1"/>
    <xf numFmtId="0" fontId="94" fillId="7" borderId="0" xfId="0" applyFont="1" applyFill="1"/>
    <xf numFmtId="0" fontId="95" fillId="7" borderId="0" xfId="0" applyFont="1" applyFill="1"/>
    <xf numFmtId="0" fontId="96" fillId="7" borderId="0" xfId="0" applyFont="1" applyFill="1"/>
    <xf numFmtId="49" fontId="34" fillId="7" borderId="23" xfId="0" applyNumberFormat="1" applyFont="1" applyFill="1" applyBorder="1" applyAlignment="1">
      <alignment horizontal="right" vertical="center"/>
    </xf>
    <xf numFmtId="0" fontId="43" fillId="7" borderId="1" xfId="0" applyFont="1" applyFill="1" applyBorder="1"/>
    <xf numFmtId="0" fontId="43" fillId="7" borderId="0" xfId="0" applyFont="1" applyFill="1" applyAlignment="1">
      <alignment horizontal="left" wrapText="1"/>
    </xf>
    <xf numFmtId="0" fontId="23" fillId="7" borderId="0" xfId="0" applyFont="1" applyFill="1"/>
    <xf numFmtId="49" fontId="16" fillId="7" borderId="23" xfId="0" applyNumberFormat="1" applyFont="1" applyFill="1" applyBorder="1" applyAlignment="1">
      <alignment horizontal="right"/>
    </xf>
    <xf numFmtId="0" fontId="48" fillId="7" borderId="0" xfId="0" applyFont="1" applyFill="1"/>
    <xf numFmtId="0" fontId="16" fillId="7" borderId="0" xfId="0" applyFont="1" applyFill="1" applyAlignment="1">
      <alignment horizontal="left" wrapText="1"/>
    </xf>
    <xf numFmtId="0" fontId="92" fillId="7" borderId="0" xfId="0" applyFont="1" applyFill="1"/>
    <xf numFmtId="0" fontId="0" fillId="7" borderId="0" xfId="0" applyFill="1"/>
    <xf numFmtId="0" fontId="93" fillId="7" borderId="0" xfId="0" applyFont="1" applyFill="1"/>
    <xf numFmtId="49" fontId="16" fillId="7" borderId="17" xfId="0" applyNumberFormat="1" applyFont="1" applyFill="1" applyBorder="1" applyAlignment="1">
      <alignment horizontal="right"/>
    </xf>
    <xf numFmtId="0" fontId="16" fillId="3" borderId="3" xfId="0" applyFont="1" applyFill="1" applyBorder="1"/>
    <xf numFmtId="0" fontId="16" fillId="3" borderId="5" xfId="0" applyFont="1" applyFill="1" applyBorder="1"/>
    <xf numFmtId="49" fontId="7" fillId="0" borderId="26" xfId="3" applyNumberFormat="1" applyFill="1" applyBorder="1" applyAlignment="1">
      <alignment horizontal="left" vertical="center"/>
    </xf>
    <xf numFmtId="0" fontId="43" fillId="0" borderId="27" xfId="0" applyFont="1" applyBorder="1"/>
    <xf numFmtId="0" fontId="43" fillId="0" borderId="76" xfId="0" applyFont="1" applyBorder="1"/>
    <xf numFmtId="49" fontId="131" fillId="3" borderId="3" xfId="0" applyNumberFormat="1" applyFont="1" applyFill="1" applyBorder="1" applyAlignment="1">
      <alignment horizontal="left" wrapText="1"/>
    </xf>
    <xf numFmtId="0" fontId="132" fillId="3" borderId="3" xfId="0" applyFont="1" applyFill="1" applyBorder="1"/>
    <xf numFmtId="0" fontId="132" fillId="3" borderId="8" xfId="0" applyFont="1" applyFill="1" applyBorder="1"/>
    <xf numFmtId="0" fontId="16" fillId="7" borderId="0" xfId="0" applyFont="1" applyFill="1" applyAlignment="1">
      <alignment horizontal="right" wrapText="1"/>
    </xf>
    <xf numFmtId="0" fontId="34" fillId="12" borderId="32" xfId="0" applyFont="1" applyFill="1" applyBorder="1" applyAlignment="1">
      <alignment horizontal="right" vertical="center"/>
    </xf>
    <xf numFmtId="49" fontId="43" fillId="12" borderId="28" xfId="0" applyNumberFormat="1" applyFont="1" applyFill="1" applyBorder="1" applyAlignment="1">
      <alignment horizontal="left" wrapText="1"/>
    </xf>
    <xf numFmtId="0" fontId="16" fillId="7" borderId="20" xfId="0" applyFont="1" applyFill="1" applyBorder="1" applyAlignment="1">
      <alignment horizontal="right" vertical="center"/>
    </xf>
    <xf numFmtId="0" fontId="7" fillId="7" borderId="21" xfId="3" applyFill="1" applyBorder="1" applyAlignment="1">
      <alignment wrapText="1"/>
    </xf>
    <xf numFmtId="0" fontId="7" fillId="7" borderId="22" xfId="3" applyFill="1" applyBorder="1" applyAlignment="1">
      <alignment wrapText="1"/>
    </xf>
    <xf numFmtId="0" fontId="43" fillId="7" borderId="24" xfId="0" applyFont="1" applyFill="1" applyBorder="1"/>
    <xf numFmtId="0" fontId="48" fillId="7" borderId="24" xfId="0" applyFont="1" applyFill="1" applyBorder="1"/>
    <xf numFmtId="0" fontId="48" fillId="7" borderId="18" xfId="0" applyFont="1" applyFill="1" applyBorder="1"/>
    <xf numFmtId="49" fontId="7" fillId="0" borderId="35" xfId="3" applyNumberFormat="1" applyFill="1" applyBorder="1" applyAlignment="1">
      <alignment horizontal="left"/>
    </xf>
    <xf numFmtId="0" fontId="43" fillId="0" borderId="74" xfId="0" applyFont="1" applyBorder="1"/>
    <xf numFmtId="0" fontId="43" fillId="0" borderId="41" xfId="0" applyFont="1" applyBorder="1"/>
    <xf numFmtId="0" fontId="16" fillId="12" borderId="0" xfId="0" applyFont="1" applyFill="1" applyAlignment="1">
      <alignment horizontal="right" wrapText="1"/>
    </xf>
    <xf numFmtId="0" fontId="139" fillId="12" borderId="20" xfId="3" applyFont="1" applyFill="1" applyBorder="1" applyAlignment="1">
      <alignment horizontal="right"/>
    </xf>
    <xf numFmtId="0" fontId="139" fillId="12" borderId="23" xfId="3" applyFont="1" applyFill="1" applyBorder="1" applyAlignment="1">
      <alignment horizontal="right"/>
    </xf>
    <xf numFmtId="0" fontId="139" fillId="12" borderId="32" xfId="3" applyFont="1" applyFill="1" applyBorder="1" applyAlignment="1">
      <alignment horizontal="right"/>
    </xf>
    <xf numFmtId="49" fontId="16" fillId="7" borderId="20" xfId="0" applyNumberFormat="1" applyFont="1" applyFill="1" applyBorder="1" applyAlignment="1">
      <alignment horizontal="left" wrapText="1"/>
    </xf>
    <xf numFmtId="49" fontId="16" fillId="7" borderId="23" xfId="0" applyNumberFormat="1" applyFont="1" applyFill="1" applyBorder="1" applyAlignment="1">
      <alignment horizontal="left" wrapText="1"/>
    </xf>
    <xf numFmtId="49" fontId="16" fillId="7" borderId="32" xfId="0" applyNumberFormat="1" applyFont="1" applyFill="1" applyBorder="1" applyAlignment="1">
      <alignment horizontal="left" wrapText="1"/>
    </xf>
    <xf numFmtId="0" fontId="16" fillId="7" borderId="2" xfId="0" applyFont="1" applyFill="1" applyBorder="1"/>
    <xf numFmtId="0" fontId="16" fillId="7" borderId="75" xfId="0" applyFont="1" applyFill="1" applyBorder="1"/>
    <xf numFmtId="49" fontId="7" fillId="0" borderId="77" xfId="3" applyNumberFormat="1" applyFill="1" applyBorder="1" applyAlignment="1">
      <alignment horizontal="left" vertical="center"/>
    </xf>
    <xf numFmtId="0" fontId="134" fillId="0" borderId="14" xfId="0" applyFont="1" applyBorder="1"/>
    <xf numFmtId="0" fontId="134" fillId="0" borderId="78" xfId="0" applyFont="1" applyBorder="1"/>
    <xf numFmtId="0" fontId="100" fillId="15" borderId="23" xfId="0" applyFont="1" applyFill="1" applyBorder="1"/>
    <xf numFmtId="0" fontId="100" fillId="15" borderId="23" xfId="0" applyFont="1" applyFill="1" applyBorder="1" applyAlignment="1">
      <alignment wrapText="1"/>
    </xf>
    <xf numFmtId="49" fontId="52" fillId="15" borderId="23" xfId="0" applyNumberFormat="1" applyFont="1" applyFill="1" applyBorder="1"/>
    <xf numFmtId="49" fontId="16" fillId="15" borderId="17" xfId="0" applyNumberFormat="1" applyFont="1" applyFill="1" applyBorder="1" applyAlignment="1">
      <alignment horizontal="left" wrapText="1"/>
    </xf>
    <xf numFmtId="0" fontId="16" fillId="15" borderId="16" xfId="0" applyFont="1" applyFill="1" applyBorder="1"/>
    <xf numFmtId="49" fontId="16" fillId="15" borderId="68" xfId="0" applyNumberFormat="1" applyFont="1" applyFill="1" applyBorder="1" applyAlignment="1">
      <alignment vertical="top" wrapText="1"/>
    </xf>
    <xf numFmtId="0" fontId="16" fillId="15" borderId="39" xfId="0" applyFont="1" applyFill="1" applyBorder="1" applyAlignment="1">
      <alignment vertical="top" wrapText="1"/>
    </xf>
    <xf numFmtId="0" fontId="8" fillId="15" borderId="33" xfId="0" applyFont="1" applyFill="1" applyBorder="1" applyAlignment="1">
      <alignment vertical="top" wrapText="1"/>
    </xf>
    <xf numFmtId="0" fontId="16" fillId="15" borderId="68" xfId="0" applyFont="1" applyFill="1" applyBorder="1" applyAlignment="1">
      <alignment vertical="top" wrapText="1"/>
    </xf>
    <xf numFmtId="0" fontId="16" fillId="15" borderId="71" xfId="0" applyFont="1" applyFill="1" applyBorder="1" applyAlignment="1">
      <alignment vertical="top" wrapText="1"/>
    </xf>
    <xf numFmtId="0" fontId="142" fillId="12" borderId="68" xfId="0" applyFont="1" applyFill="1" applyBorder="1" applyAlignment="1">
      <alignment vertical="top" wrapText="1"/>
    </xf>
    <xf numFmtId="0" fontId="16" fillId="0" borderId="33" xfId="0" applyFont="1" applyBorder="1" applyAlignment="1">
      <alignment vertical="top" wrapText="1"/>
    </xf>
    <xf numFmtId="0" fontId="16" fillId="3" borderId="70" xfId="0" applyFont="1" applyFill="1" applyBorder="1" applyAlignment="1">
      <alignment vertical="top" wrapText="1"/>
    </xf>
    <xf numFmtId="0" fontId="143" fillId="12" borderId="69" xfId="0" applyFont="1" applyFill="1" applyBorder="1" applyAlignment="1">
      <alignment vertical="top" wrapText="1"/>
    </xf>
    <xf numFmtId="0" fontId="43" fillId="0" borderId="33" xfId="0" applyFont="1" applyBorder="1" applyAlignment="1">
      <alignment vertical="top" wrapText="1"/>
    </xf>
    <xf numFmtId="0" fontId="134" fillId="0" borderId="33" xfId="0" applyFont="1" applyBorder="1" applyAlignment="1">
      <alignment vertical="top" wrapText="1"/>
    </xf>
    <xf numFmtId="0" fontId="131" fillId="0" borderId="39" xfId="0" applyFont="1" applyBorder="1" applyAlignment="1">
      <alignment vertical="top" wrapText="1"/>
    </xf>
    <xf numFmtId="0" fontId="4" fillId="0" borderId="71" xfId="0" applyFont="1" applyBorder="1" applyAlignment="1">
      <alignment vertical="top" wrapText="1"/>
    </xf>
    <xf numFmtId="0" fontId="4" fillId="0" borderId="72" xfId="0" applyFont="1" applyBorder="1" applyAlignment="1">
      <alignment vertical="top" wrapText="1"/>
    </xf>
    <xf numFmtId="0" fontId="16" fillId="15" borderId="2" xfId="0" applyFont="1" applyFill="1" applyBorder="1" applyAlignment="1">
      <alignment horizontal="right" wrapText="1"/>
    </xf>
    <xf numFmtId="0" fontId="143" fillId="12" borderId="68" xfId="0" applyFont="1" applyFill="1" applyBorder="1" applyAlignment="1">
      <alignment vertical="top" wrapText="1"/>
    </xf>
    <xf numFmtId="49" fontId="16" fillId="3" borderId="0" xfId="0" applyNumberFormat="1" applyFont="1" applyFill="1"/>
    <xf numFmtId="49" fontId="16" fillId="3" borderId="0" xfId="0" applyNumberFormat="1" applyFont="1" applyFill="1" applyAlignment="1">
      <alignment horizontal="left"/>
    </xf>
    <xf numFmtId="0" fontId="16" fillId="3" borderId="0" xfId="0" applyFont="1" applyFill="1" applyAlignment="1">
      <alignment horizontal="left" wrapText="1"/>
    </xf>
    <xf numFmtId="0" fontId="94" fillId="3" borderId="0" xfId="0" applyFont="1" applyFill="1"/>
    <xf numFmtId="0" fontId="95" fillId="3" borderId="0" xfId="0" applyFont="1" applyFill="1"/>
    <xf numFmtId="0" fontId="96" fillId="3" borderId="0" xfId="0" applyFont="1" applyFill="1"/>
    <xf numFmtId="49" fontId="16" fillId="3" borderId="68" xfId="0" applyNumberFormat="1" applyFont="1" applyFill="1" applyBorder="1" applyAlignment="1">
      <alignment vertical="top" wrapText="1"/>
    </xf>
    <xf numFmtId="0" fontId="16" fillId="7" borderId="43" xfId="0" applyFont="1" applyFill="1" applyBorder="1"/>
    <xf numFmtId="0" fontId="43" fillId="0" borderId="0" xfId="0" applyFont="1"/>
    <xf numFmtId="0" fontId="8" fillId="7" borderId="0" xfId="0" applyFont="1" applyFill="1" applyAlignment="1">
      <alignment wrapText="1"/>
    </xf>
    <xf numFmtId="0" fontId="16" fillId="12" borderId="1" xfId="0" applyFont="1" applyFill="1" applyBorder="1" applyAlignment="1">
      <alignment horizontal="right"/>
    </xf>
    <xf numFmtId="0" fontId="8" fillId="12" borderId="0" xfId="0" applyFont="1" applyFill="1" applyAlignment="1">
      <alignment wrapText="1"/>
    </xf>
    <xf numFmtId="0" fontId="16" fillId="15" borderId="4" xfId="0" applyFont="1" applyFill="1" applyBorder="1" applyAlignment="1">
      <alignment horizontal="left" vertical="center"/>
    </xf>
    <xf numFmtId="0" fontId="8" fillId="15" borderId="16" xfId="0" applyFont="1" applyFill="1" applyBorder="1" applyAlignment="1">
      <alignment horizontal="left"/>
    </xf>
    <xf numFmtId="0" fontId="8" fillId="15" borderId="16" xfId="0" applyFont="1" applyFill="1" applyBorder="1"/>
    <xf numFmtId="0" fontId="8" fillId="12" borderId="16" xfId="0" applyFont="1" applyFill="1" applyBorder="1" applyAlignment="1">
      <alignment horizontal="left"/>
    </xf>
    <xf numFmtId="0" fontId="8" fillId="7" borderId="16" xfId="0" applyFont="1" applyFill="1" applyBorder="1" applyAlignment="1">
      <alignment horizontal="left" vertical="center"/>
    </xf>
    <xf numFmtId="0" fontId="8" fillId="7" borderId="5" xfId="0" applyFont="1" applyFill="1" applyBorder="1"/>
    <xf numFmtId="0" fontId="8" fillId="7" borderId="1" xfId="0" applyFont="1" applyFill="1" applyBorder="1"/>
    <xf numFmtId="0" fontId="16" fillId="15" borderId="5" xfId="0" applyFont="1" applyFill="1" applyBorder="1"/>
    <xf numFmtId="0" fontId="8" fillId="15" borderId="1" xfId="0" applyFont="1" applyFill="1" applyBorder="1"/>
    <xf numFmtId="0" fontId="8" fillId="15" borderId="30" xfId="0" applyFont="1" applyFill="1" applyBorder="1" applyAlignment="1">
      <alignment horizontal="left" wrapText="1"/>
    </xf>
    <xf numFmtId="0" fontId="8" fillId="15" borderId="19" xfId="0" applyFont="1" applyFill="1" applyBorder="1"/>
    <xf numFmtId="49" fontId="7" fillId="15" borderId="47" xfId="3" applyNumberFormat="1" applyFill="1" applyBorder="1" applyAlignment="1">
      <alignment horizontal="left" wrapText="1"/>
    </xf>
    <xf numFmtId="0" fontId="43" fillId="15" borderId="47" xfId="0" applyFont="1" applyFill="1" applyBorder="1"/>
    <xf numFmtId="0" fontId="15" fillId="15" borderId="0" xfId="0" applyFont="1" applyFill="1"/>
    <xf numFmtId="0" fontId="8" fillId="15" borderId="0" xfId="0" applyFont="1" applyFill="1"/>
    <xf numFmtId="0" fontId="121" fillId="0" borderId="0" xfId="0" applyFont="1"/>
    <xf numFmtId="0" fontId="50" fillId="0" borderId="0" xfId="0" applyFont="1"/>
    <xf numFmtId="0" fontId="140" fillId="0" borderId="0" xfId="0" applyFont="1"/>
    <xf numFmtId="0" fontId="140" fillId="0" borderId="0" xfId="0" applyFont="1" applyAlignment="1">
      <alignment vertical="center"/>
    </xf>
    <xf numFmtId="0" fontId="140" fillId="0" borderId="0" xfId="0" applyFont="1" applyAlignment="1">
      <alignment horizontal="left" vertical="center" indent="1"/>
    </xf>
    <xf numFmtId="0" fontId="48" fillId="0" borderId="0" xfId="0" applyFont="1" applyAlignment="1">
      <alignment vertical="top"/>
    </xf>
    <xf numFmtId="0" fontId="24" fillId="0" borderId="0" xfId="0" applyFont="1"/>
    <xf numFmtId="0" fontId="141" fillId="0" borderId="0" xfId="0" applyFont="1" applyAlignment="1">
      <alignment horizontal="left" vertical="center" indent="1"/>
    </xf>
    <xf numFmtId="0" fontId="144" fillId="0" borderId="0" xfId="0" applyFont="1"/>
    <xf numFmtId="49" fontId="135" fillId="0" borderId="0" xfId="0" applyNumberFormat="1" applyFont="1"/>
    <xf numFmtId="0" fontId="145" fillId="0" borderId="0" xfId="0" applyFont="1" applyAlignment="1">
      <alignment vertical="center"/>
    </xf>
    <xf numFmtId="0" fontId="146" fillId="0" borderId="0" xfId="0" applyFont="1"/>
    <xf numFmtId="0" fontId="147" fillId="3" borderId="20" xfId="0" applyFont="1" applyFill="1" applyBorder="1"/>
    <xf numFmtId="0" fontId="147" fillId="3" borderId="21" xfId="0" applyFont="1" applyFill="1" applyBorder="1"/>
    <xf numFmtId="0" fontId="148" fillId="0" borderId="0" xfId="0" applyFont="1"/>
    <xf numFmtId="0" fontId="150" fillId="0" borderId="0" xfId="0" applyFont="1"/>
    <xf numFmtId="49" fontId="126" fillId="3" borderId="79" xfId="0" applyNumberFormat="1" applyFont="1" applyFill="1" applyBorder="1" applyAlignment="1">
      <alignment horizontal="left" wrapText="1"/>
    </xf>
    <xf numFmtId="0" fontId="147" fillId="3" borderId="45" xfId="0" applyFont="1" applyFill="1" applyBorder="1" applyAlignment="1">
      <alignment horizontal="left" wrapText="1"/>
    </xf>
    <xf numFmtId="0" fontId="8" fillId="3" borderId="47" xfId="0" applyFont="1" applyFill="1" applyBorder="1" applyAlignment="1">
      <alignment horizontal="left" wrapText="1"/>
    </xf>
    <xf numFmtId="0" fontId="0" fillId="0" borderId="0" xfId="0" quotePrefix="1"/>
    <xf numFmtId="1" fontId="0" fillId="0" borderId="0" xfId="0" applyNumberFormat="1"/>
    <xf numFmtId="2" fontId="0" fillId="0" borderId="0" xfId="0" applyNumberFormat="1"/>
    <xf numFmtId="0" fontId="17" fillId="18" borderId="0" xfId="0" applyFont="1" applyFill="1" applyAlignment="1">
      <alignment horizontal="center"/>
    </xf>
    <xf numFmtId="0" fontId="0" fillId="19" borderId="1" xfId="0" quotePrefix="1" applyFill="1" applyBorder="1"/>
    <xf numFmtId="0" fontId="159" fillId="0" borderId="1" xfId="0" applyFont="1" applyBorder="1"/>
    <xf numFmtId="0" fontId="56" fillId="0" borderId="1" xfId="0" applyFont="1" applyBorder="1"/>
    <xf numFmtId="0" fontId="0" fillId="0" borderId="1" xfId="0" quotePrefix="1" applyBorder="1"/>
    <xf numFmtId="0" fontId="160" fillId="0" borderId="1" xfId="0" applyFont="1" applyBorder="1"/>
    <xf numFmtId="49" fontId="0" fillId="0" borderId="1" xfId="0" applyNumberFormat="1" applyBorder="1"/>
    <xf numFmtId="0" fontId="161" fillId="20" borderId="0" xfId="0" applyFont="1" applyFill="1"/>
    <xf numFmtId="0" fontId="162" fillId="0" borderId="0" xfId="0" applyFont="1"/>
    <xf numFmtId="0" fontId="163" fillId="0" borderId="0" xfId="0" applyFont="1"/>
    <xf numFmtId="0" fontId="164" fillId="0" borderId="0" xfId="0" applyFont="1"/>
    <xf numFmtId="0" fontId="165" fillId="0" borderId="0" xfId="0" applyFont="1"/>
    <xf numFmtId="169" fontId="0" fillId="0" borderId="0" xfId="0" applyNumberFormat="1"/>
    <xf numFmtId="0" fontId="0" fillId="0" borderId="0" xfId="0" applyAlignment="1">
      <alignment horizontal="center" vertical="center"/>
    </xf>
    <xf numFmtId="0" fontId="24" fillId="0" borderId="1" xfId="0" applyFont="1" applyBorder="1" applyAlignment="1">
      <alignment vertical="center"/>
    </xf>
    <xf numFmtId="0" fontId="0" fillId="0" borderId="1" xfId="0" applyBorder="1" applyAlignment="1">
      <alignment vertical="center"/>
    </xf>
    <xf numFmtId="0" fontId="24" fillId="0" borderId="2" xfId="0" applyFont="1" applyBorder="1" applyAlignment="1">
      <alignment vertical="center"/>
    </xf>
    <xf numFmtId="0" fontId="0" fillId="0" borderId="29" xfId="0" applyBorder="1" applyAlignment="1">
      <alignment vertical="center"/>
    </xf>
    <xf numFmtId="0" fontId="0" fillId="0" borderId="3" xfId="0" applyBorder="1" applyAlignment="1">
      <alignment vertical="center"/>
    </xf>
    <xf numFmtId="0" fontId="0" fillId="0" borderId="0" xfId="0" applyAlignment="1">
      <alignment wrapText="1"/>
    </xf>
    <xf numFmtId="0" fontId="7" fillId="3" borderId="35" xfId="3" applyFill="1" applyBorder="1"/>
    <xf numFmtId="0" fontId="7" fillId="3" borderId="50" xfId="3" applyFill="1" applyBorder="1"/>
    <xf numFmtId="0" fontId="7" fillId="3" borderId="36" xfId="3" applyFill="1" applyBorder="1"/>
    <xf numFmtId="0" fontId="7" fillId="8" borderId="70" xfId="3" applyFill="1" applyBorder="1" applyAlignment="1">
      <alignment wrapText="1"/>
    </xf>
    <xf numFmtId="0" fontId="7" fillId="8" borderId="71" xfId="3" applyFill="1" applyBorder="1" applyAlignment="1">
      <alignment wrapText="1"/>
    </xf>
    <xf numFmtId="0" fontId="7" fillId="8" borderId="72" xfId="3" applyFill="1" applyBorder="1" applyAlignment="1">
      <alignment wrapText="1"/>
    </xf>
    <xf numFmtId="0" fontId="7" fillId="3" borderId="45" xfId="3" applyNumberFormat="1" applyFill="1" applyBorder="1" applyAlignment="1">
      <alignment vertical="top" wrapText="1"/>
    </xf>
    <xf numFmtId="0" fontId="7" fillId="3" borderId="46" xfId="3" applyNumberFormat="1" applyFill="1" applyBorder="1" applyAlignment="1">
      <alignment vertical="top" wrapText="1"/>
    </xf>
    <xf numFmtId="0" fontId="7" fillId="3" borderId="47" xfId="3" applyNumberFormat="1" applyFill="1" applyBorder="1" applyAlignment="1">
      <alignment vertical="top" wrapText="1"/>
    </xf>
    <xf numFmtId="0" fontId="7" fillId="8" borderId="35" xfId="3" applyFill="1" applyBorder="1"/>
    <xf numFmtId="0" fontId="7" fillId="8" borderId="50" xfId="3" applyFill="1" applyBorder="1"/>
    <xf numFmtId="0" fontId="7" fillId="8" borderId="36" xfId="3" applyFill="1" applyBorder="1"/>
    <xf numFmtId="0" fontId="7" fillId="8" borderId="35" xfId="3" applyFill="1" applyBorder="1" applyAlignment="1">
      <alignment wrapText="1"/>
    </xf>
    <xf numFmtId="0" fontId="7" fillId="8" borderId="50" xfId="3" applyFill="1" applyBorder="1" applyAlignment="1">
      <alignment wrapText="1"/>
    </xf>
    <xf numFmtId="0" fontId="7" fillId="8" borderId="36" xfId="3" applyFill="1" applyBorder="1" applyAlignment="1">
      <alignment wrapText="1"/>
    </xf>
    <xf numFmtId="0" fontId="8" fillId="0" borderId="34" xfId="0" applyFont="1" applyBorder="1"/>
    <xf numFmtId="0" fontId="0" fillId="0" borderId="34" xfId="0" applyBorder="1"/>
    <xf numFmtId="0" fontId="16" fillId="15" borderId="39" xfId="0" applyFont="1" applyFill="1" applyBorder="1" applyAlignment="1">
      <alignment vertical="top" wrapText="1"/>
    </xf>
    <xf numFmtId="0" fontId="8" fillId="0" borderId="69" xfId="0" applyFont="1" applyBorder="1" applyAlignment="1">
      <alignment vertical="top" wrapText="1"/>
    </xf>
    <xf numFmtId="0" fontId="8" fillId="15" borderId="33" xfId="0" applyFont="1" applyFill="1" applyBorder="1" applyAlignment="1">
      <alignment vertical="top" wrapText="1"/>
    </xf>
    <xf numFmtId="0" fontId="8" fillId="15" borderId="69" xfId="0" applyFont="1" applyFill="1" applyBorder="1" applyAlignment="1">
      <alignment vertical="top" wrapText="1"/>
    </xf>
    <xf numFmtId="0" fontId="16" fillId="7" borderId="39" xfId="0" applyFont="1" applyFill="1" applyBorder="1" applyAlignment="1">
      <alignment vertical="top" wrapText="1"/>
    </xf>
    <xf numFmtId="0" fontId="8" fillId="7" borderId="33" xfId="0" applyFont="1" applyFill="1" applyBorder="1" applyAlignment="1">
      <alignment vertical="top" wrapText="1"/>
    </xf>
    <xf numFmtId="0" fontId="8" fillId="0" borderId="33" xfId="0" applyFont="1" applyBorder="1" applyAlignment="1">
      <alignment vertical="top" wrapText="1"/>
    </xf>
    <xf numFmtId="0" fontId="0" fillId="0" borderId="0" xfId="0"/>
    <xf numFmtId="0" fontId="166" fillId="0" borderId="0" xfId="3" applyNumberFormat="1" applyFont="1" applyBorder="1" applyAlignment="1"/>
    <xf numFmtId="0" fontId="110" fillId="3" borderId="6" xfId="0" quotePrefix="1" applyFont="1" applyFill="1" applyBorder="1"/>
    <xf numFmtId="0" fontId="108" fillId="0" borderId="11" xfId="0" applyFont="1" applyBorder="1"/>
    <xf numFmtId="0" fontId="4" fillId="0" borderId="70" xfId="0" applyFont="1" applyBorder="1" applyAlignment="1">
      <alignment vertical="top" wrapText="1"/>
    </xf>
    <xf numFmtId="0" fontId="141" fillId="0" borderId="0" xfId="0" applyFont="1" applyAlignment="1">
      <alignment vertical="center"/>
    </xf>
    <xf numFmtId="0" fontId="110" fillId="3" borderId="6" xfId="0" applyFont="1" applyFill="1" applyBorder="1"/>
    <xf numFmtId="49" fontId="4" fillId="3" borderId="1" xfId="0" applyNumberFormat="1" applyFont="1" applyFill="1" applyBorder="1" applyAlignment="1">
      <alignment horizontal="left" vertical="center" wrapText="1"/>
    </xf>
    <xf numFmtId="49" fontId="112" fillId="17" borderId="1" xfId="0" applyNumberFormat="1" applyFont="1" applyFill="1" applyBorder="1" applyAlignment="1">
      <alignment wrapText="1"/>
    </xf>
    <xf numFmtId="0" fontId="110" fillId="17" borderId="1" xfId="0" applyFont="1" applyFill="1" applyBorder="1"/>
    <xf numFmtId="0" fontId="167" fillId="0" borderId="0" xfId="0" applyFont="1"/>
    <xf numFmtId="49" fontId="112" fillId="3" borderId="1" xfId="0" applyNumberFormat="1" applyFont="1" applyFill="1" applyBorder="1" applyAlignment="1">
      <alignment wrapText="1"/>
    </xf>
    <xf numFmtId="49" fontId="136" fillId="13" borderId="1" xfId="3" applyNumberFormat="1" applyFont="1" applyFill="1" applyBorder="1" applyAlignment="1">
      <alignment horizontal="left" vertical="top" wrapText="1"/>
    </xf>
    <xf numFmtId="0" fontId="115" fillId="0" borderId="0" xfId="0" applyFont="1" applyAlignment="1">
      <alignment wrapText="1"/>
    </xf>
    <xf numFmtId="0" fontId="168" fillId="12" borderId="1" xfId="0" applyNumberFormat="1" applyFont="1" applyFill="1" applyBorder="1" applyAlignment="1">
      <alignment horizontal="right"/>
    </xf>
    <xf numFmtId="0" fontId="24" fillId="13" borderId="1" xfId="0" applyFont="1" applyFill="1" applyBorder="1" applyAlignment="1">
      <alignment wrapText="1"/>
    </xf>
  </cellXfs>
  <cellStyles count="10">
    <cellStyle name="Гиперссылка" xfId="3" builtinId="8"/>
    <cellStyle name="Обычный" xfId="0" builtinId="0"/>
    <cellStyle name="Обычный 2" xfId="1" xr:uid="{FD0D3E98-9541-D845-AB91-1D2FCDB95977}"/>
    <cellStyle name="Обычный 2 2" xfId="9" xr:uid="{11EB9AD3-B3F2-4C49-B9D1-7B1EA807ACF7}"/>
    <cellStyle name="Обычный 2 2 2" xfId="5" xr:uid="{2619D759-36CD-2042-B1C8-29CF3E8C173E}"/>
    <cellStyle name="Обычный 3" xfId="2" xr:uid="{FDCC4FA4-671A-E741-ABA7-21E6347DCBB4}"/>
    <cellStyle name="Обычный 4" xfId="7" xr:uid="{B0B8D174-7ACB-2040-8051-D9C3DCE6B35F}"/>
    <cellStyle name="Обычный 5" xfId="8" xr:uid="{7414BCC7-5374-DF42-969D-40576258932C}"/>
    <cellStyle name="Обычный_Протоколы" xfId="6" xr:uid="{92C28BD8-0F64-B04D-A209-8CDCB464E4FA}"/>
    <cellStyle name="Обычный_Шаблон Таблица 5. Контроль состояния средств ЭХЗ" xfId="4" xr:uid="{A8B71D77-5EDB-AA41-9460-2F1B7BCB586B}"/>
  </cellStyles>
  <dxfs count="285">
    <dxf>
      <numFmt numFmtId="30" formatCode="@"/>
    </dxf>
    <dxf>
      <font>
        <b val="0"/>
        <i val="0"/>
        <strike val="0"/>
        <outline val="0"/>
        <shadow val="0"/>
        <u val="none"/>
        <vertAlign val="baseline"/>
        <sz val="12"/>
        <color theme="1"/>
        <name val="Calibri"/>
        <family val="2"/>
        <scheme val="minor"/>
      </font>
      <numFmt numFmtId="30" formatCode="@"/>
    </dxf>
    <dxf>
      <numFmt numFmtId="30" formatCode="@"/>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general"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rgb="FFFF0000"/>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left style="thin">
          <color theme="1"/>
        </left>
        <right style="thin">
          <color theme="1"/>
        </right>
        <top style="thin">
          <color theme="1"/>
        </top>
        <bottom/>
        <vertical/>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5" tint="0.79998168889431442"/>
        </patternFill>
      </fill>
      <alignment horizontal="general" vertical="center" textRotation="0" wrapText="0" indent="0" justifyLastLine="0" shrinkToFit="0" readingOrder="0"/>
      <border diagonalUp="0" diagonalDown="0">
        <left style="thin">
          <color theme="1"/>
        </left>
        <right style="thin">
          <color theme="1"/>
        </right>
        <top style="thin">
          <color theme="1"/>
        </top>
        <bottom/>
        <vertical/>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2"/>
        <color auto="1"/>
        <name val="Calibri"/>
        <family val="2"/>
        <charset val="204"/>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vertical/>
        <horizontal/>
      </border>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i val="0"/>
        <strike val="0"/>
        <condense val="0"/>
        <extend val="0"/>
        <outline val="0"/>
        <shadow val="0"/>
        <u val="none"/>
        <vertAlign val="baseline"/>
        <sz val="12"/>
        <color auto="1"/>
        <name val="Calibri"/>
        <family val="2"/>
        <charset val="204"/>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numFmt numFmtId="30" formatCode="@"/>
      <fill>
        <patternFill patternType="solid">
          <fgColor indexed="64"/>
          <bgColor theme="7" tint="0.79998168889431442"/>
        </patternFill>
      </fill>
      <alignment horizontal="left" vertical="center" textRotation="0" wrapText="0" indent="0" justifyLastLine="0" shrinkToFit="0" readingOrder="0"/>
      <border diagonalUp="0" diagonalDown="0" outline="0">
        <left/>
        <right style="thin">
          <color theme="1"/>
        </right>
        <top style="thin">
          <color theme="1"/>
        </top>
        <bottom style="thin">
          <color theme="1"/>
        </bottom>
      </border>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2"/>
        <color auto="1"/>
        <name val="Calibri"/>
        <family val="2"/>
        <scheme val="minor"/>
      </font>
      <numFmt numFmtId="15" formatCode="0.00E+00"/>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top style="thin">
          <color theme="1"/>
        </top>
        <bottom style="thin">
          <color theme="1"/>
        </bottom>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2"/>
        <color auto="1"/>
        <name val="Calibri"/>
        <family val="2"/>
        <scheme val="minor"/>
      </font>
      <alignment textRotation="0" wrapText="0" justifyLastLine="0" shrinkToFit="0" readingOrder="0"/>
    </dxf>
    <dxf>
      <font>
        <b val="0"/>
        <i val="0"/>
        <strike val="0"/>
        <condense val="0"/>
        <extend val="0"/>
        <outline val="0"/>
        <shadow val="0"/>
        <u val="none"/>
        <vertAlign val="baseline"/>
        <sz val="12"/>
        <color auto="1"/>
        <name val="Calibri"/>
        <family val="2"/>
        <scheme val="minor"/>
      </font>
      <alignment textRotation="0" wrapText="0" justifyLastLine="0" shrinkToFit="0" readingOrder="0"/>
    </dxf>
    <dxf>
      <font>
        <b val="0"/>
        <i val="0"/>
        <strike val="0"/>
        <condense val="0"/>
        <extend val="0"/>
        <outline val="0"/>
        <shadow val="0"/>
        <u val="none"/>
        <vertAlign val="baseline"/>
        <sz val="12"/>
        <color auto="1"/>
        <name val="Calibri"/>
        <family val="2"/>
        <scheme val="minor"/>
      </font>
      <alignment horizontal="general"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left style="thin">
          <color theme="1"/>
        </left>
        <right style="thin">
          <color theme="1"/>
        </right>
        <top style="thin">
          <color theme="1"/>
        </top>
        <bottom/>
        <vertical/>
        <horizontal/>
      </border>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left style="thin">
          <color theme="1"/>
        </left>
        <right/>
        <top style="thin">
          <color theme="1"/>
        </top>
        <bottom/>
        <vertical/>
        <horizontal/>
      </border>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left style="thin">
          <color theme="1"/>
        </left>
        <right/>
        <top style="thin">
          <color theme="1"/>
        </top>
        <bottom/>
        <vertical/>
        <horizontal/>
      </border>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left style="thin">
          <color theme="1"/>
        </left>
        <right/>
        <top style="thin">
          <color theme="1"/>
        </top>
        <bottom/>
        <vertical/>
        <horizontal/>
      </border>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left style="thin">
          <color theme="1"/>
        </left>
        <right/>
        <top style="thin">
          <color theme="1"/>
        </top>
        <bottom/>
        <vertical/>
        <horizontal/>
      </border>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left style="thin">
          <color theme="1"/>
        </left>
        <right/>
        <top style="thin">
          <color theme="1"/>
        </top>
        <bottom/>
        <vertical/>
        <horizontal/>
      </border>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dxf>
    <dxf>
      <font>
        <b/>
        <i val="0"/>
        <strike val="0"/>
        <condense val="0"/>
        <extend val="0"/>
        <outline val="0"/>
        <shadow val="0"/>
        <u val="none"/>
        <vertAlign val="baseline"/>
        <sz val="12"/>
        <color theme="1"/>
        <name val="Calibri"/>
        <family val="2"/>
        <charset val="204"/>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Calibri"/>
        <family val="2"/>
        <scheme val="minor"/>
      </font>
      <fill>
        <patternFill patternType="solid">
          <fgColor indexed="64"/>
          <bgColor theme="0" tint="-0.14999847407452621"/>
        </patternFill>
      </fill>
      <alignment horizontal="left" vertical="bottom" textRotation="0" wrapText="0" indent="0" justifyLastLine="0" shrinkToFit="0" readingOrder="0"/>
      <border diagonalUp="0" diagonalDown="0">
        <left/>
        <right/>
        <top style="thin">
          <color auto="1"/>
        </top>
        <bottom style="thin">
          <color auto="1"/>
        </bottom>
        <vertical/>
        <horizontal/>
      </border>
    </dxf>
    <dxf>
      <border outline="0">
        <top style="thin">
          <color auto="1"/>
        </top>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theme="0" tint="-0.14999847407452621"/>
        </patternFill>
      </fill>
      <alignment horizontal="left" vertical="bottom" textRotation="0" wrapText="0" indent="0" justifyLastLine="0" shrinkToFit="0" readingOrder="0"/>
    </dxf>
    <dxf>
      <border outline="0">
        <bottom style="thin">
          <color auto="1"/>
        </bottom>
      </border>
    </dxf>
    <dxf>
      <font>
        <b val="0"/>
        <i val="0"/>
        <strike val="0"/>
        <condense val="0"/>
        <extend val="0"/>
        <outline val="0"/>
        <shadow val="0"/>
        <u val="none"/>
        <vertAlign val="baseline"/>
        <sz val="10"/>
        <color auto="1"/>
        <name val="Calibri"/>
        <family val="2"/>
        <scheme val="minor"/>
      </font>
      <fill>
        <patternFill patternType="solid">
          <fgColor indexed="64"/>
          <bgColor theme="9" tint="0.79998168889431442"/>
        </patternFill>
      </fill>
      <alignment horizontal="left"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Times New Roman"/>
        <family val="1"/>
        <charset val="204"/>
        <scheme val="none"/>
      </font>
      <numFmt numFmtId="0" formatCode="General"/>
      <alignment horizontal="general" vertical="bottom" textRotation="0" wrapText="0" indent="0" justifyLastLine="0" shrinkToFit="0" readingOrder="0"/>
      <border diagonalUp="0" diagonalDown="0">
        <left style="thin">
          <color auto="1"/>
        </left>
        <right/>
        <top style="thin">
          <color theme="1"/>
        </top>
        <bottom/>
        <vertical/>
        <horizontal/>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center" textRotation="0" wrapText="1" indent="0" justifyLastLine="0" shrinkToFit="0" readingOrder="0"/>
      <border diagonalUp="0" diagonalDown="0">
        <left/>
        <right/>
        <top style="thin">
          <color auto="1"/>
        </top>
        <bottom/>
        <vertical/>
        <horizontal/>
      </border>
    </dxf>
    <dxf>
      <border outline="0">
        <left style="thin">
          <color auto="1"/>
        </left>
        <top style="thin">
          <color auto="1"/>
        </top>
        <bottom style="thin">
          <color auto="1"/>
        </bottom>
      </border>
    </dxf>
    <dxf>
      <font>
        <b/>
        <i val="0"/>
        <strike val="0"/>
        <condense val="0"/>
        <extend val="0"/>
        <outline val="0"/>
        <shadow val="0"/>
        <u val="none"/>
        <vertAlign val="baseline"/>
        <sz val="10"/>
        <color auto="1"/>
        <name val="Times New Roman"/>
        <family val="1"/>
        <charset val="204"/>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numFmt numFmtId="0" formatCode="General"/>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5"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5"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5"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5"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5"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5"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5" formatCode="0.0000"/>
      <alignment horizontal="general" vertical="bottom" textRotation="0" wrapText="0" indent="0" justifyLastLine="0" shrinkToFit="1" readingOrder="0"/>
    </dxf>
    <dxf>
      <font>
        <b val="0"/>
        <i val="0"/>
        <strike val="0"/>
        <condense val="0"/>
        <extend val="0"/>
        <outline val="0"/>
        <shadow val="0"/>
        <u val="none"/>
        <vertAlign val="baseline"/>
        <sz val="12"/>
        <color rgb="FF333333"/>
        <name val="Arial"/>
        <family val="2"/>
        <scheme val="none"/>
      </font>
    </dxf>
    <dxf>
      <numFmt numFmtId="0" formatCode="General"/>
    </dxf>
    <dxf>
      <border diagonalUp="0" diagonalDown="0">
        <left/>
        <right style="medium">
          <color indexed="64"/>
        </right>
        <top/>
        <bottom/>
        <vertical/>
        <horizontal/>
      </border>
    </dxf>
    <dxf>
      <numFmt numFmtId="0" formatCode="General"/>
    </dxf>
    <dxf>
      <numFmt numFmtId="2" formatCode="0.00"/>
      <border diagonalUp="0" diagonalDown="0">
        <left style="medium">
          <color indexed="64"/>
        </left>
        <right/>
        <top/>
        <bottom/>
        <vertical/>
        <horizontal/>
      </border>
    </dxf>
    <dxf>
      <numFmt numFmtId="0" formatCode="General"/>
    </dxf>
    <dxf>
      <numFmt numFmtId="0" formatCode="General"/>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5" formatCode="0.0000"/>
      <alignment horizontal="general" vertical="bottom" textRotation="0" wrapText="0" indent="0" justifyLastLine="0" shrinkToFit="1"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4"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5" formatCode="0.0000"/>
      <alignment horizontal="general"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00"/>
    </dxf>
    <dxf>
      <numFmt numFmtId="164" formatCode="0.000"/>
    </dxf>
    <dxf>
      <numFmt numFmtId="0" formatCode="General"/>
    </dxf>
    <dxf>
      <font>
        <b val="0"/>
        <i val="0"/>
        <strike val="0"/>
        <condense val="0"/>
        <extend val="0"/>
        <outline val="0"/>
        <shadow val="0"/>
        <u val="none"/>
        <vertAlign val="baseline"/>
        <sz val="10"/>
        <color rgb="FF000000"/>
        <name val="Calibri"/>
        <family val="2"/>
        <scheme val="minor"/>
      </font>
      <numFmt numFmtId="2" formatCode="0.00"/>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dxf>
    <dxf>
      <border outline="0">
        <bottom style="thin">
          <color auto="1"/>
        </bottom>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top/>
        <bottom style="thin">
          <color auto="1"/>
        </bottom>
        <vertical/>
        <horizontal/>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style="thin">
          <color auto="1"/>
        </right>
        <top/>
        <bottom style="thin">
          <color auto="1"/>
        </bottom>
        <vertical/>
        <horizontal/>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right style="thin">
          <color auto="1"/>
        </right>
        <top/>
        <bottom style="thin">
          <color auto="1"/>
        </bottom>
        <vertical/>
        <horizontal/>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medium">
          <color rgb="FF000000"/>
        </left>
        <right style="medium">
          <color rgb="FF000000"/>
        </right>
        <top/>
        <bottom/>
      </border>
    </dxf>
    <dxf>
      <font>
        <b val="0"/>
        <i val="0"/>
        <strike val="0"/>
        <condense val="0"/>
        <extend val="0"/>
        <outline val="0"/>
        <shadow val="0"/>
        <u val="none"/>
        <vertAlign val="baseline"/>
        <sz val="10"/>
        <color rgb="FF000000"/>
        <name val="Calibri"/>
        <family val="2"/>
        <scheme val="minor"/>
      </font>
      <numFmt numFmtId="15" formatCode="0.00E+00"/>
      <alignment horizontal="center" vertical="center" textRotation="0" wrapText="1" indent="0" justifyLastLine="0" shrinkToFit="0" readingOrder="0"/>
      <border diagonalUp="0" diagonalDown="0">
        <left style="thin">
          <color auto="1"/>
        </left>
        <right/>
        <top style="thin">
          <color auto="1"/>
        </top>
        <bottom style="thin">
          <color auto="1"/>
        </bottom>
        <vertical style="thin">
          <color auto="1"/>
        </vertical>
        <horizontal/>
      </border>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border diagonalUp="0" diagonalDown="0">
        <left/>
        <right style="thin">
          <color auto="1"/>
        </right>
        <top style="thin">
          <color auto="1"/>
        </top>
        <bottom style="thin">
          <color auto="1"/>
        </bottom>
        <vertical style="thin">
          <color auto="1"/>
        </vertical>
        <horizontal/>
      </border>
    </dxf>
    <dxf>
      <border outline="0">
        <top style="thin">
          <color auto="1"/>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border diagonalUp="0" diagonalDown="0">
        <left style="thin">
          <color auto="1"/>
        </left>
        <right style="thin">
          <color auto="1"/>
        </right>
        <top/>
        <bottom/>
        <vertical style="thin">
          <color auto="1"/>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79A97"/>
      <color rgb="FF000000"/>
      <color rgb="FFDEDC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8" Type="http://schemas.openxmlformats.org/officeDocument/2006/relationships/image" Target="../media/image12.jpeg"/><Relationship Id="rId3" Type="http://schemas.openxmlformats.org/officeDocument/2006/relationships/image" Target="../media/image7.jpeg"/><Relationship Id="rId7" Type="http://schemas.openxmlformats.org/officeDocument/2006/relationships/image" Target="../media/image11.jpeg"/><Relationship Id="rId12" Type="http://schemas.openxmlformats.org/officeDocument/2006/relationships/image" Target="../media/image16.jpeg"/><Relationship Id="rId2" Type="http://schemas.openxmlformats.org/officeDocument/2006/relationships/image" Target="../media/image6.jpeg"/><Relationship Id="rId1" Type="http://schemas.openxmlformats.org/officeDocument/2006/relationships/image" Target="../media/image3.jpeg"/><Relationship Id="rId6" Type="http://schemas.openxmlformats.org/officeDocument/2006/relationships/image" Target="../media/image10.jpeg"/><Relationship Id="rId11" Type="http://schemas.openxmlformats.org/officeDocument/2006/relationships/image" Target="../media/image15.png"/><Relationship Id="rId5" Type="http://schemas.openxmlformats.org/officeDocument/2006/relationships/image" Target="../media/image9.jpeg"/><Relationship Id="rId10" Type="http://schemas.openxmlformats.org/officeDocument/2006/relationships/image" Target="../media/image14.png"/><Relationship Id="rId4" Type="http://schemas.openxmlformats.org/officeDocument/2006/relationships/image" Target="../media/image8.jpeg"/><Relationship Id="rId9" Type="http://schemas.openxmlformats.org/officeDocument/2006/relationships/image" Target="../media/image13.jpeg"/></Relationships>
</file>

<file path=xl/drawings/_rels/drawing5.xml.rels><?xml version="1.0" encoding="UTF-8" standalone="yes"?>
<Relationships xmlns="http://schemas.openxmlformats.org/package/2006/relationships"><Relationship Id="rId8" Type="http://schemas.openxmlformats.org/officeDocument/2006/relationships/image" Target="../media/image24.jpeg"/><Relationship Id="rId13" Type="http://schemas.openxmlformats.org/officeDocument/2006/relationships/image" Target="../media/image29.jpeg"/><Relationship Id="rId18" Type="http://schemas.openxmlformats.org/officeDocument/2006/relationships/image" Target="../media/image34.jpeg"/><Relationship Id="rId26" Type="http://schemas.openxmlformats.org/officeDocument/2006/relationships/image" Target="../media/image42.png"/><Relationship Id="rId3" Type="http://schemas.openxmlformats.org/officeDocument/2006/relationships/image" Target="../media/image19.jpeg"/><Relationship Id="rId21" Type="http://schemas.openxmlformats.org/officeDocument/2006/relationships/image" Target="../media/image37.png"/><Relationship Id="rId7" Type="http://schemas.openxmlformats.org/officeDocument/2006/relationships/image" Target="../media/image23.jpeg"/><Relationship Id="rId12" Type="http://schemas.openxmlformats.org/officeDocument/2006/relationships/image" Target="../media/image28.jpeg"/><Relationship Id="rId17" Type="http://schemas.openxmlformats.org/officeDocument/2006/relationships/image" Target="../media/image33.jpeg"/><Relationship Id="rId25" Type="http://schemas.openxmlformats.org/officeDocument/2006/relationships/image" Target="../media/image41.png"/><Relationship Id="rId2" Type="http://schemas.openxmlformats.org/officeDocument/2006/relationships/image" Target="../media/image18.jpeg"/><Relationship Id="rId16" Type="http://schemas.openxmlformats.org/officeDocument/2006/relationships/image" Target="../media/image32.png"/><Relationship Id="rId20" Type="http://schemas.openxmlformats.org/officeDocument/2006/relationships/image" Target="../media/image36.png"/><Relationship Id="rId1" Type="http://schemas.openxmlformats.org/officeDocument/2006/relationships/image" Target="../media/image17.jpeg"/><Relationship Id="rId6" Type="http://schemas.openxmlformats.org/officeDocument/2006/relationships/image" Target="../media/image22.jpeg"/><Relationship Id="rId11" Type="http://schemas.openxmlformats.org/officeDocument/2006/relationships/image" Target="../media/image27.jpeg"/><Relationship Id="rId24" Type="http://schemas.openxmlformats.org/officeDocument/2006/relationships/image" Target="../media/image40.jpeg"/><Relationship Id="rId5" Type="http://schemas.openxmlformats.org/officeDocument/2006/relationships/image" Target="../media/image21.jpeg"/><Relationship Id="rId15" Type="http://schemas.openxmlformats.org/officeDocument/2006/relationships/image" Target="../media/image31.png"/><Relationship Id="rId23" Type="http://schemas.openxmlformats.org/officeDocument/2006/relationships/image" Target="../media/image39.png"/><Relationship Id="rId10" Type="http://schemas.openxmlformats.org/officeDocument/2006/relationships/image" Target="../media/image26.jpeg"/><Relationship Id="rId19" Type="http://schemas.openxmlformats.org/officeDocument/2006/relationships/image" Target="../media/image35.png"/><Relationship Id="rId4" Type="http://schemas.openxmlformats.org/officeDocument/2006/relationships/image" Target="../media/image20.jpeg"/><Relationship Id="rId9" Type="http://schemas.openxmlformats.org/officeDocument/2006/relationships/image" Target="../media/image25.jpeg"/><Relationship Id="rId14" Type="http://schemas.openxmlformats.org/officeDocument/2006/relationships/image" Target="../media/image30.png"/><Relationship Id="rId22" Type="http://schemas.openxmlformats.org/officeDocument/2006/relationships/image" Target="../media/image3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2400300</xdr:colOff>
          <xdr:row>70</xdr:row>
          <xdr:rowOff>12700</xdr:rowOff>
        </xdr:from>
        <xdr:to>
          <xdr:col>3</xdr:col>
          <xdr:colOff>5600700</xdr:colOff>
          <xdr:row>70</xdr:row>
          <xdr:rowOff>190500</xdr:rowOff>
        </xdr:to>
        <xdr:sp macro="" textlink="">
          <xdr:nvSpPr>
            <xdr:cNvPr id="174085" name="Button 5" descr="Вычислить длину трубы по данным изысканий" hidden="1">
              <a:extLst>
                <a:ext uri="{63B3BB69-23CF-44E3-9099-C40C66FF867C}">
                  <a14:compatExt spid="_x0000_s174085"/>
                </a:ext>
                <a:ext uri="{FF2B5EF4-FFF2-40B4-BE49-F238E27FC236}">
                  <a16:creationId xmlns:a16="http://schemas.microsoft.com/office/drawing/2014/main" id="{00000000-0008-0000-0000-000005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 длину трубы по данным 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2400300</xdr:colOff>
          <xdr:row>70</xdr:row>
          <xdr:rowOff>12700</xdr:rowOff>
        </xdr:from>
        <xdr:to>
          <xdr:col>3</xdr:col>
          <xdr:colOff>5600700</xdr:colOff>
          <xdr:row>70</xdr:row>
          <xdr:rowOff>190500</xdr:rowOff>
        </xdr:to>
        <xdr:sp macro="" textlink="">
          <xdr:nvSpPr>
            <xdr:cNvPr id="174086" name="Button 6" descr="Вычислить длину трубы по данным изысканий" hidden="1">
              <a:extLst>
                <a:ext uri="{63B3BB69-23CF-44E3-9099-C40C66FF867C}">
                  <a14:compatExt spid="_x0000_s174086"/>
                </a:ext>
                <a:ext uri="{FF2B5EF4-FFF2-40B4-BE49-F238E27FC236}">
                  <a16:creationId xmlns:a16="http://schemas.microsoft.com/office/drawing/2014/main" id="{00000000-0008-0000-0000-000006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 длину трубы по данным 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3835400</xdr:colOff>
          <xdr:row>125</xdr:row>
          <xdr:rowOff>50800</xdr:rowOff>
        </xdr:from>
        <xdr:to>
          <xdr:col>3</xdr:col>
          <xdr:colOff>4521200</xdr:colOff>
          <xdr:row>125</xdr:row>
          <xdr:rowOff>317500</xdr:rowOff>
        </xdr:to>
        <xdr:sp macro="" textlink="">
          <xdr:nvSpPr>
            <xdr:cNvPr id="174091" name="Button 11" hidden="1">
              <a:extLst>
                <a:ext uri="{63B3BB69-23CF-44E3-9099-C40C66FF867C}">
                  <a14:compatExt spid="_x0000_s174091"/>
                </a:ext>
                <a:ext uri="{FF2B5EF4-FFF2-40B4-BE49-F238E27FC236}">
                  <a16:creationId xmlns:a16="http://schemas.microsoft.com/office/drawing/2014/main" id="{00000000-0008-0000-0000-00000B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3873500</xdr:colOff>
          <xdr:row>127</xdr:row>
          <xdr:rowOff>50800</xdr:rowOff>
        </xdr:from>
        <xdr:to>
          <xdr:col>3</xdr:col>
          <xdr:colOff>4521200</xdr:colOff>
          <xdr:row>127</xdr:row>
          <xdr:rowOff>355600</xdr:rowOff>
        </xdr:to>
        <xdr:sp macro="" textlink="">
          <xdr:nvSpPr>
            <xdr:cNvPr id="174092" name="Button 12" hidden="1">
              <a:extLst>
                <a:ext uri="{63B3BB69-23CF-44E3-9099-C40C66FF867C}">
                  <a14:compatExt spid="_x0000_s174092"/>
                </a:ext>
                <a:ext uri="{FF2B5EF4-FFF2-40B4-BE49-F238E27FC236}">
                  <a16:creationId xmlns:a16="http://schemas.microsoft.com/office/drawing/2014/main" id="{00000000-0008-0000-0000-00000C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126</xdr:row>
          <xdr:rowOff>38100</xdr:rowOff>
        </xdr:from>
        <xdr:to>
          <xdr:col>3</xdr:col>
          <xdr:colOff>4521200</xdr:colOff>
          <xdr:row>126</xdr:row>
          <xdr:rowOff>330200</xdr:rowOff>
        </xdr:to>
        <xdr:sp macro="" textlink="">
          <xdr:nvSpPr>
            <xdr:cNvPr id="174093" name="Button 13" hidden="1">
              <a:extLst>
                <a:ext uri="{63B3BB69-23CF-44E3-9099-C40C66FF867C}">
                  <a14:compatExt spid="_x0000_s174093"/>
                </a:ext>
                <a:ext uri="{FF2B5EF4-FFF2-40B4-BE49-F238E27FC236}">
                  <a16:creationId xmlns:a16="http://schemas.microsoft.com/office/drawing/2014/main" id="{00000000-0008-0000-0000-00000D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3860800</xdr:colOff>
          <xdr:row>128</xdr:row>
          <xdr:rowOff>38100</xdr:rowOff>
        </xdr:from>
        <xdr:to>
          <xdr:col>3</xdr:col>
          <xdr:colOff>4521200</xdr:colOff>
          <xdr:row>128</xdr:row>
          <xdr:rowOff>342900</xdr:rowOff>
        </xdr:to>
        <xdr:sp macro="" textlink="">
          <xdr:nvSpPr>
            <xdr:cNvPr id="174094" name="Button 14" hidden="1">
              <a:extLst>
                <a:ext uri="{63B3BB69-23CF-44E3-9099-C40C66FF867C}">
                  <a14:compatExt spid="_x0000_s174094"/>
                </a:ext>
                <a:ext uri="{FF2B5EF4-FFF2-40B4-BE49-F238E27FC236}">
                  <a16:creationId xmlns:a16="http://schemas.microsoft.com/office/drawing/2014/main" id="{00000000-0008-0000-0000-00000E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3873500</xdr:colOff>
          <xdr:row>129</xdr:row>
          <xdr:rowOff>50800</xdr:rowOff>
        </xdr:from>
        <xdr:to>
          <xdr:col>3</xdr:col>
          <xdr:colOff>4521200</xdr:colOff>
          <xdr:row>129</xdr:row>
          <xdr:rowOff>355600</xdr:rowOff>
        </xdr:to>
        <xdr:sp macro="" textlink="">
          <xdr:nvSpPr>
            <xdr:cNvPr id="174095" name="Button 15" hidden="1">
              <a:extLst>
                <a:ext uri="{63B3BB69-23CF-44E3-9099-C40C66FF867C}">
                  <a14:compatExt spid="_x0000_s174095"/>
                </a:ext>
                <a:ext uri="{FF2B5EF4-FFF2-40B4-BE49-F238E27FC236}">
                  <a16:creationId xmlns:a16="http://schemas.microsoft.com/office/drawing/2014/main" id="{00000000-0008-0000-0000-00000F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130</xdr:row>
          <xdr:rowOff>25400</xdr:rowOff>
        </xdr:from>
        <xdr:to>
          <xdr:col>3</xdr:col>
          <xdr:colOff>4521200</xdr:colOff>
          <xdr:row>130</xdr:row>
          <xdr:rowOff>304800</xdr:rowOff>
        </xdr:to>
        <xdr:sp macro="" textlink="">
          <xdr:nvSpPr>
            <xdr:cNvPr id="174096" name="Button 16" hidden="1">
              <a:extLst>
                <a:ext uri="{63B3BB69-23CF-44E3-9099-C40C66FF867C}">
                  <a14:compatExt spid="_x0000_s174096"/>
                </a:ext>
                <a:ext uri="{FF2B5EF4-FFF2-40B4-BE49-F238E27FC236}">
                  <a16:creationId xmlns:a16="http://schemas.microsoft.com/office/drawing/2014/main" id="{00000000-0008-0000-0000-000010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3835400</xdr:colOff>
          <xdr:row>131</xdr:row>
          <xdr:rowOff>38100</xdr:rowOff>
        </xdr:from>
        <xdr:to>
          <xdr:col>3</xdr:col>
          <xdr:colOff>4521200</xdr:colOff>
          <xdr:row>131</xdr:row>
          <xdr:rowOff>317500</xdr:rowOff>
        </xdr:to>
        <xdr:sp macro="" textlink="">
          <xdr:nvSpPr>
            <xdr:cNvPr id="174097" name="Button 17" hidden="1">
              <a:extLst>
                <a:ext uri="{63B3BB69-23CF-44E3-9099-C40C66FF867C}">
                  <a14:compatExt spid="_x0000_s174097"/>
                </a:ext>
                <a:ext uri="{FF2B5EF4-FFF2-40B4-BE49-F238E27FC236}">
                  <a16:creationId xmlns:a16="http://schemas.microsoft.com/office/drawing/2014/main" id="{00000000-0008-0000-0000-000011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4546600</xdr:colOff>
          <xdr:row>108</xdr:row>
          <xdr:rowOff>12700</xdr:rowOff>
        </xdr:from>
        <xdr:to>
          <xdr:col>3</xdr:col>
          <xdr:colOff>5384800</xdr:colOff>
          <xdr:row>108</xdr:row>
          <xdr:rowOff>203200</xdr:rowOff>
        </xdr:to>
        <xdr:sp macro="" textlink="">
          <xdr:nvSpPr>
            <xdr:cNvPr id="174098" name="Button 18" hidden="1">
              <a:extLst>
                <a:ext uri="{63B3BB69-23CF-44E3-9099-C40C66FF867C}">
                  <a14:compatExt spid="_x0000_s174098"/>
                </a:ext>
                <a:ext uri="{FF2B5EF4-FFF2-40B4-BE49-F238E27FC236}">
                  <a16:creationId xmlns:a16="http://schemas.microsoft.com/office/drawing/2014/main" id="{00000000-0008-0000-0000-000012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4546600</xdr:colOff>
          <xdr:row>107</xdr:row>
          <xdr:rowOff>12700</xdr:rowOff>
        </xdr:from>
        <xdr:to>
          <xdr:col>3</xdr:col>
          <xdr:colOff>5384800</xdr:colOff>
          <xdr:row>107</xdr:row>
          <xdr:rowOff>203200</xdr:rowOff>
        </xdr:to>
        <xdr:sp macro="" textlink="">
          <xdr:nvSpPr>
            <xdr:cNvPr id="174099" name="Button 19" hidden="1">
              <a:extLst>
                <a:ext uri="{63B3BB69-23CF-44E3-9099-C40C66FF867C}">
                  <a14:compatExt spid="_x0000_s174099"/>
                </a:ext>
                <a:ext uri="{FF2B5EF4-FFF2-40B4-BE49-F238E27FC236}">
                  <a16:creationId xmlns:a16="http://schemas.microsoft.com/office/drawing/2014/main" id="{00000000-0008-0000-0000-000013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132</xdr:row>
          <xdr:rowOff>25400</xdr:rowOff>
        </xdr:from>
        <xdr:to>
          <xdr:col>3</xdr:col>
          <xdr:colOff>4521200</xdr:colOff>
          <xdr:row>132</xdr:row>
          <xdr:rowOff>279400</xdr:rowOff>
        </xdr:to>
        <xdr:sp macro="" textlink="">
          <xdr:nvSpPr>
            <xdr:cNvPr id="174100" name="Button 20" hidden="1">
              <a:extLst>
                <a:ext uri="{63B3BB69-23CF-44E3-9099-C40C66FF867C}">
                  <a14:compatExt spid="_x0000_s174100"/>
                </a:ext>
                <a:ext uri="{FF2B5EF4-FFF2-40B4-BE49-F238E27FC236}">
                  <a16:creationId xmlns:a16="http://schemas.microsoft.com/office/drawing/2014/main" id="{00000000-0008-0000-0000-000014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3848100</xdr:colOff>
          <xdr:row>133</xdr:row>
          <xdr:rowOff>25400</xdr:rowOff>
        </xdr:from>
        <xdr:to>
          <xdr:col>3</xdr:col>
          <xdr:colOff>4521200</xdr:colOff>
          <xdr:row>133</xdr:row>
          <xdr:rowOff>241300</xdr:rowOff>
        </xdr:to>
        <xdr:sp macro="" textlink="">
          <xdr:nvSpPr>
            <xdr:cNvPr id="174101" name="Button 21" hidden="1">
              <a:extLst>
                <a:ext uri="{63B3BB69-23CF-44E3-9099-C40C66FF867C}">
                  <a14:compatExt spid="_x0000_s174101"/>
                </a:ext>
                <a:ext uri="{FF2B5EF4-FFF2-40B4-BE49-F238E27FC236}">
                  <a16:creationId xmlns:a16="http://schemas.microsoft.com/office/drawing/2014/main" id="{00000000-0008-0000-0000-000015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2273300</xdr:colOff>
          <xdr:row>111</xdr:row>
          <xdr:rowOff>12700</xdr:rowOff>
        </xdr:from>
        <xdr:to>
          <xdr:col>3</xdr:col>
          <xdr:colOff>5575300</xdr:colOff>
          <xdr:row>111</xdr:row>
          <xdr:rowOff>292100</xdr:rowOff>
        </xdr:to>
        <xdr:sp macro="" textlink="">
          <xdr:nvSpPr>
            <xdr:cNvPr id="174102" name="Button 22" descr="Кнопка 669" hidden="1">
              <a:extLst>
                <a:ext uri="{63B3BB69-23CF-44E3-9099-C40C66FF867C}">
                  <a14:compatExt spid="_x0000_s174102"/>
                </a:ext>
                <a:ext uri="{FF2B5EF4-FFF2-40B4-BE49-F238E27FC236}">
                  <a16:creationId xmlns:a16="http://schemas.microsoft.com/office/drawing/2014/main" id="{00000000-0008-0000-0000-000016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3835400</xdr:colOff>
          <xdr:row>125</xdr:row>
          <xdr:rowOff>50800</xdr:rowOff>
        </xdr:from>
        <xdr:to>
          <xdr:col>3</xdr:col>
          <xdr:colOff>4521200</xdr:colOff>
          <xdr:row>125</xdr:row>
          <xdr:rowOff>317500</xdr:rowOff>
        </xdr:to>
        <xdr:sp macro="" textlink="">
          <xdr:nvSpPr>
            <xdr:cNvPr id="174103" name="Button 23" hidden="1">
              <a:extLst>
                <a:ext uri="{63B3BB69-23CF-44E3-9099-C40C66FF867C}">
                  <a14:compatExt spid="_x0000_s174103"/>
                </a:ext>
                <a:ext uri="{FF2B5EF4-FFF2-40B4-BE49-F238E27FC236}">
                  <a16:creationId xmlns:a16="http://schemas.microsoft.com/office/drawing/2014/main" id="{00000000-0008-0000-0000-000017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3873500</xdr:colOff>
          <xdr:row>127</xdr:row>
          <xdr:rowOff>50800</xdr:rowOff>
        </xdr:from>
        <xdr:to>
          <xdr:col>3</xdr:col>
          <xdr:colOff>4521200</xdr:colOff>
          <xdr:row>127</xdr:row>
          <xdr:rowOff>355600</xdr:rowOff>
        </xdr:to>
        <xdr:sp macro="" textlink="">
          <xdr:nvSpPr>
            <xdr:cNvPr id="174104" name="Button 24" hidden="1">
              <a:extLst>
                <a:ext uri="{63B3BB69-23CF-44E3-9099-C40C66FF867C}">
                  <a14:compatExt spid="_x0000_s174104"/>
                </a:ext>
                <a:ext uri="{FF2B5EF4-FFF2-40B4-BE49-F238E27FC236}">
                  <a16:creationId xmlns:a16="http://schemas.microsoft.com/office/drawing/2014/main" id="{00000000-0008-0000-0000-000018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126</xdr:row>
          <xdr:rowOff>38100</xdr:rowOff>
        </xdr:from>
        <xdr:to>
          <xdr:col>3</xdr:col>
          <xdr:colOff>4521200</xdr:colOff>
          <xdr:row>126</xdr:row>
          <xdr:rowOff>330200</xdr:rowOff>
        </xdr:to>
        <xdr:sp macro="" textlink="">
          <xdr:nvSpPr>
            <xdr:cNvPr id="174105" name="Button 25" hidden="1">
              <a:extLst>
                <a:ext uri="{63B3BB69-23CF-44E3-9099-C40C66FF867C}">
                  <a14:compatExt spid="_x0000_s174105"/>
                </a:ext>
                <a:ext uri="{FF2B5EF4-FFF2-40B4-BE49-F238E27FC236}">
                  <a16:creationId xmlns:a16="http://schemas.microsoft.com/office/drawing/2014/main" id="{00000000-0008-0000-0000-000019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3860800</xdr:colOff>
          <xdr:row>128</xdr:row>
          <xdr:rowOff>38100</xdr:rowOff>
        </xdr:from>
        <xdr:to>
          <xdr:col>3</xdr:col>
          <xdr:colOff>4521200</xdr:colOff>
          <xdr:row>128</xdr:row>
          <xdr:rowOff>342900</xdr:rowOff>
        </xdr:to>
        <xdr:sp macro="" textlink="">
          <xdr:nvSpPr>
            <xdr:cNvPr id="174106" name="Button 26" hidden="1">
              <a:extLst>
                <a:ext uri="{63B3BB69-23CF-44E3-9099-C40C66FF867C}">
                  <a14:compatExt spid="_x0000_s174106"/>
                </a:ext>
                <a:ext uri="{FF2B5EF4-FFF2-40B4-BE49-F238E27FC236}">
                  <a16:creationId xmlns:a16="http://schemas.microsoft.com/office/drawing/2014/main" id="{00000000-0008-0000-0000-00001A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3873500</xdr:colOff>
          <xdr:row>129</xdr:row>
          <xdr:rowOff>50800</xdr:rowOff>
        </xdr:from>
        <xdr:to>
          <xdr:col>3</xdr:col>
          <xdr:colOff>4521200</xdr:colOff>
          <xdr:row>129</xdr:row>
          <xdr:rowOff>355600</xdr:rowOff>
        </xdr:to>
        <xdr:sp macro="" textlink="">
          <xdr:nvSpPr>
            <xdr:cNvPr id="174107" name="Button 27" hidden="1">
              <a:extLst>
                <a:ext uri="{63B3BB69-23CF-44E3-9099-C40C66FF867C}">
                  <a14:compatExt spid="_x0000_s174107"/>
                </a:ext>
                <a:ext uri="{FF2B5EF4-FFF2-40B4-BE49-F238E27FC236}">
                  <a16:creationId xmlns:a16="http://schemas.microsoft.com/office/drawing/2014/main" id="{00000000-0008-0000-0000-00001B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130</xdr:row>
          <xdr:rowOff>25400</xdr:rowOff>
        </xdr:from>
        <xdr:to>
          <xdr:col>3</xdr:col>
          <xdr:colOff>4521200</xdr:colOff>
          <xdr:row>130</xdr:row>
          <xdr:rowOff>304800</xdr:rowOff>
        </xdr:to>
        <xdr:sp macro="" textlink="">
          <xdr:nvSpPr>
            <xdr:cNvPr id="174108" name="Button 28" hidden="1">
              <a:extLst>
                <a:ext uri="{63B3BB69-23CF-44E3-9099-C40C66FF867C}">
                  <a14:compatExt spid="_x0000_s174108"/>
                </a:ext>
                <a:ext uri="{FF2B5EF4-FFF2-40B4-BE49-F238E27FC236}">
                  <a16:creationId xmlns:a16="http://schemas.microsoft.com/office/drawing/2014/main" id="{00000000-0008-0000-0000-00001C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3835400</xdr:colOff>
          <xdr:row>131</xdr:row>
          <xdr:rowOff>38100</xdr:rowOff>
        </xdr:from>
        <xdr:to>
          <xdr:col>3</xdr:col>
          <xdr:colOff>4521200</xdr:colOff>
          <xdr:row>131</xdr:row>
          <xdr:rowOff>317500</xdr:rowOff>
        </xdr:to>
        <xdr:sp macro="" textlink="">
          <xdr:nvSpPr>
            <xdr:cNvPr id="174109" name="Button 29" hidden="1">
              <a:extLst>
                <a:ext uri="{63B3BB69-23CF-44E3-9099-C40C66FF867C}">
                  <a14:compatExt spid="_x0000_s174109"/>
                </a:ext>
                <a:ext uri="{FF2B5EF4-FFF2-40B4-BE49-F238E27FC236}">
                  <a16:creationId xmlns:a16="http://schemas.microsoft.com/office/drawing/2014/main" id="{00000000-0008-0000-0000-00001D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4546600</xdr:colOff>
          <xdr:row>108</xdr:row>
          <xdr:rowOff>12700</xdr:rowOff>
        </xdr:from>
        <xdr:to>
          <xdr:col>3</xdr:col>
          <xdr:colOff>5384800</xdr:colOff>
          <xdr:row>108</xdr:row>
          <xdr:rowOff>203200</xdr:rowOff>
        </xdr:to>
        <xdr:sp macro="" textlink="">
          <xdr:nvSpPr>
            <xdr:cNvPr id="174110" name="Button 30" hidden="1">
              <a:extLst>
                <a:ext uri="{63B3BB69-23CF-44E3-9099-C40C66FF867C}">
                  <a14:compatExt spid="_x0000_s174110"/>
                </a:ext>
                <a:ext uri="{FF2B5EF4-FFF2-40B4-BE49-F238E27FC236}">
                  <a16:creationId xmlns:a16="http://schemas.microsoft.com/office/drawing/2014/main" id="{00000000-0008-0000-0000-00001E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4546600</xdr:colOff>
          <xdr:row>107</xdr:row>
          <xdr:rowOff>12700</xdr:rowOff>
        </xdr:from>
        <xdr:to>
          <xdr:col>3</xdr:col>
          <xdr:colOff>5384800</xdr:colOff>
          <xdr:row>107</xdr:row>
          <xdr:rowOff>203200</xdr:rowOff>
        </xdr:to>
        <xdr:sp macro="" textlink="">
          <xdr:nvSpPr>
            <xdr:cNvPr id="174111" name="Button 31" hidden="1">
              <a:extLst>
                <a:ext uri="{63B3BB69-23CF-44E3-9099-C40C66FF867C}">
                  <a14:compatExt spid="_x0000_s174111"/>
                </a:ext>
                <a:ext uri="{FF2B5EF4-FFF2-40B4-BE49-F238E27FC236}">
                  <a16:creationId xmlns:a16="http://schemas.microsoft.com/office/drawing/2014/main" id="{00000000-0008-0000-0000-00001F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132</xdr:row>
          <xdr:rowOff>25400</xdr:rowOff>
        </xdr:from>
        <xdr:to>
          <xdr:col>3</xdr:col>
          <xdr:colOff>4521200</xdr:colOff>
          <xdr:row>132</xdr:row>
          <xdr:rowOff>279400</xdr:rowOff>
        </xdr:to>
        <xdr:sp macro="" textlink="">
          <xdr:nvSpPr>
            <xdr:cNvPr id="174112" name="Button 32" hidden="1">
              <a:extLst>
                <a:ext uri="{63B3BB69-23CF-44E3-9099-C40C66FF867C}">
                  <a14:compatExt spid="_x0000_s174112"/>
                </a:ext>
                <a:ext uri="{FF2B5EF4-FFF2-40B4-BE49-F238E27FC236}">
                  <a16:creationId xmlns:a16="http://schemas.microsoft.com/office/drawing/2014/main" id="{00000000-0008-0000-0000-000020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3848100</xdr:colOff>
          <xdr:row>133</xdr:row>
          <xdr:rowOff>25400</xdr:rowOff>
        </xdr:from>
        <xdr:to>
          <xdr:col>3</xdr:col>
          <xdr:colOff>4521200</xdr:colOff>
          <xdr:row>133</xdr:row>
          <xdr:rowOff>241300</xdr:rowOff>
        </xdr:to>
        <xdr:sp macro="" textlink="">
          <xdr:nvSpPr>
            <xdr:cNvPr id="174113" name="Button 33" hidden="1">
              <a:extLst>
                <a:ext uri="{63B3BB69-23CF-44E3-9099-C40C66FF867C}">
                  <a14:compatExt spid="_x0000_s174113"/>
                </a:ext>
                <a:ext uri="{FF2B5EF4-FFF2-40B4-BE49-F238E27FC236}">
                  <a16:creationId xmlns:a16="http://schemas.microsoft.com/office/drawing/2014/main" id="{00000000-0008-0000-0000-000021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2273300</xdr:colOff>
          <xdr:row>111</xdr:row>
          <xdr:rowOff>12700</xdr:rowOff>
        </xdr:from>
        <xdr:to>
          <xdr:col>3</xdr:col>
          <xdr:colOff>5575300</xdr:colOff>
          <xdr:row>111</xdr:row>
          <xdr:rowOff>292100</xdr:rowOff>
        </xdr:to>
        <xdr:sp macro="" textlink="">
          <xdr:nvSpPr>
            <xdr:cNvPr id="174114" name="Button 34" descr="Кнопка 669" hidden="1">
              <a:extLst>
                <a:ext uri="{63B3BB69-23CF-44E3-9099-C40C66FF867C}">
                  <a14:compatExt spid="_x0000_s174114"/>
                </a:ext>
                <a:ext uri="{FF2B5EF4-FFF2-40B4-BE49-F238E27FC236}">
                  <a16:creationId xmlns:a16="http://schemas.microsoft.com/office/drawing/2014/main" id="{00000000-0008-0000-0000-000022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3835400</xdr:colOff>
          <xdr:row>125</xdr:row>
          <xdr:rowOff>50800</xdr:rowOff>
        </xdr:from>
        <xdr:to>
          <xdr:col>3</xdr:col>
          <xdr:colOff>4521200</xdr:colOff>
          <xdr:row>125</xdr:row>
          <xdr:rowOff>317500</xdr:rowOff>
        </xdr:to>
        <xdr:sp macro="" textlink="">
          <xdr:nvSpPr>
            <xdr:cNvPr id="174136" name="Button 56" hidden="1">
              <a:extLst>
                <a:ext uri="{63B3BB69-23CF-44E3-9099-C40C66FF867C}">
                  <a14:compatExt spid="_x0000_s174136"/>
                </a:ext>
                <a:ext uri="{FF2B5EF4-FFF2-40B4-BE49-F238E27FC236}">
                  <a16:creationId xmlns:a16="http://schemas.microsoft.com/office/drawing/2014/main" id="{00000000-0008-0000-0000-000038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3873500</xdr:colOff>
          <xdr:row>127</xdr:row>
          <xdr:rowOff>50800</xdr:rowOff>
        </xdr:from>
        <xdr:to>
          <xdr:col>3</xdr:col>
          <xdr:colOff>4521200</xdr:colOff>
          <xdr:row>127</xdr:row>
          <xdr:rowOff>355600</xdr:rowOff>
        </xdr:to>
        <xdr:sp macro="" textlink="">
          <xdr:nvSpPr>
            <xdr:cNvPr id="174137" name="Button 57" hidden="1">
              <a:extLst>
                <a:ext uri="{63B3BB69-23CF-44E3-9099-C40C66FF867C}">
                  <a14:compatExt spid="_x0000_s174137"/>
                </a:ext>
                <a:ext uri="{FF2B5EF4-FFF2-40B4-BE49-F238E27FC236}">
                  <a16:creationId xmlns:a16="http://schemas.microsoft.com/office/drawing/2014/main" id="{00000000-0008-0000-0000-000039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126</xdr:row>
          <xdr:rowOff>38100</xdr:rowOff>
        </xdr:from>
        <xdr:to>
          <xdr:col>3</xdr:col>
          <xdr:colOff>4521200</xdr:colOff>
          <xdr:row>126</xdr:row>
          <xdr:rowOff>330200</xdr:rowOff>
        </xdr:to>
        <xdr:sp macro="" textlink="">
          <xdr:nvSpPr>
            <xdr:cNvPr id="174138" name="Button 58" hidden="1">
              <a:extLst>
                <a:ext uri="{63B3BB69-23CF-44E3-9099-C40C66FF867C}">
                  <a14:compatExt spid="_x0000_s174138"/>
                </a:ext>
                <a:ext uri="{FF2B5EF4-FFF2-40B4-BE49-F238E27FC236}">
                  <a16:creationId xmlns:a16="http://schemas.microsoft.com/office/drawing/2014/main" id="{00000000-0008-0000-0000-00003A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3860800</xdr:colOff>
          <xdr:row>128</xdr:row>
          <xdr:rowOff>38100</xdr:rowOff>
        </xdr:from>
        <xdr:to>
          <xdr:col>3</xdr:col>
          <xdr:colOff>4521200</xdr:colOff>
          <xdr:row>128</xdr:row>
          <xdr:rowOff>342900</xdr:rowOff>
        </xdr:to>
        <xdr:sp macro="" textlink="">
          <xdr:nvSpPr>
            <xdr:cNvPr id="174139" name="Button 59" hidden="1">
              <a:extLst>
                <a:ext uri="{63B3BB69-23CF-44E3-9099-C40C66FF867C}">
                  <a14:compatExt spid="_x0000_s174139"/>
                </a:ext>
                <a:ext uri="{FF2B5EF4-FFF2-40B4-BE49-F238E27FC236}">
                  <a16:creationId xmlns:a16="http://schemas.microsoft.com/office/drawing/2014/main" id="{00000000-0008-0000-0000-00003B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3873500</xdr:colOff>
          <xdr:row>129</xdr:row>
          <xdr:rowOff>50800</xdr:rowOff>
        </xdr:from>
        <xdr:to>
          <xdr:col>3</xdr:col>
          <xdr:colOff>4521200</xdr:colOff>
          <xdr:row>129</xdr:row>
          <xdr:rowOff>355600</xdr:rowOff>
        </xdr:to>
        <xdr:sp macro="" textlink="">
          <xdr:nvSpPr>
            <xdr:cNvPr id="174140" name="Button 60" hidden="1">
              <a:extLst>
                <a:ext uri="{63B3BB69-23CF-44E3-9099-C40C66FF867C}">
                  <a14:compatExt spid="_x0000_s174140"/>
                </a:ext>
                <a:ext uri="{FF2B5EF4-FFF2-40B4-BE49-F238E27FC236}">
                  <a16:creationId xmlns:a16="http://schemas.microsoft.com/office/drawing/2014/main" id="{00000000-0008-0000-0000-00003C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130</xdr:row>
          <xdr:rowOff>25400</xdr:rowOff>
        </xdr:from>
        <xdr:to>
          <xdr:col>3</xdr:col>
          <xdr:colOff>4521200</xdr:colOff>
          <xdr:row>130</xdr:row>
          <xdr:rowOff>304800</xdr:rowOff>
        </xdr:to>
        <xdr:sp macro="" textlink="">
          <xdr:nvSpPr>
            <xdr:cNvPr id="174141" name="Button 61" hidden="1">
              <a:extLst>
                <a:ext uri="{63B3BB69-23CF-44E3-9099-C40C66FF867C}">
                  <a14:compatExt spid="_x0000_s174141"/>
                </a:ext>
                <a:ext uri="{FF2B5EF4-FFF2-40B4-BE49-F238E27FC236}">
                  <a16:creationId xmlns:a16="http://schemas.microsoft.com/office/drawing/2014/main" id="{00000000-0008-0000-0000-00003D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3835400</xdr:colOff>
          <xdr:row>131</xdr:row>
          <xdr:rowOff>38100</xdr:rowOff>
        </xdr:from>
        <xdr:to>
          <xdr:col>3</xdr:col>
          <xdr:colOff>4521200</xdr:colOff>
          <xdr:row>131</xdr:row>
          <xdr:rowOff>317500</xdr:rowOff>
        </xdr:to>
        <xdr:sp macro="" textlink="">
          <xdr:nvSpPr>
            <xdr:cNvPr id="174142" name="Button 62" hidden="1">
              <a:extLst>
                <a:ext uri="{63B3BB69-23CF-44E3-9099-C40C66FF867C}">
                  <a14:compatExt spid="_x0000_s174142"/>
                </a:ext>
                <a:ext uri="{FF2B5EF4-FFF2-40B4-BE49-F238E27FC236}">
                  <a16:creationId xmlns:a16="http://schemas.microsoft.com/office/drawing/2014/main" id="{00000000-0008-0000-0000-00003E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132</xdr:row>
          <xdr:rowOff>25400</xdr:rowOff>
        </xdr:from>
        <xdr:to>
          <xdr:col>3</xdr:col>
          <xdr:colOff>4521200</xdr:colOff>
          <xdr:row>132</xdr:row>
          <xdr:rowOff>279400</xdr:rowOff>
        </xdr:to>
        <xdr:sp macro="" textlink="">
          <xdr:nvSpPr>
            <xdr:cNvPr id="174143" name="Button 63" hidden="1">
              <a:extLst>
                <a:ext uri="{63B3BB69-23CF-44E3-9099-C40C66FF867C}">
                  <a14:compatExt spid="_x0000_s174143"/>
                </a:ext>
                <a:ext uri="{FF2B5EF4-FFF2-40B4-BE49-F238E27FC236}">
                  <a16:creationId xmlns:a16="http://schemas.microsoft.com/office/drawing/2014/main" id="{00000000-0008-0000-0000-00003F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3848100</xdr:colOff>
          <xdr:row>133</xdr:row>
          <xdr:rowOff>25400</xdr:rowOff>
        </xdr:from>
        <xdr:to>
          <xdr:col>3</xdr:col>
          <xdr:colOff>4521200</xdr:colOff>
          <xdr:row>133</xdr:row>
          <xdr:rowOff>241300</xdr:rowOff>
        </xdr:to>
        <xdr:sp macro="" textlink="">
          <xdr:nvSpPr>
            <xdr:cNvPr id="174144" name="Button 64" hidden="1">
              <a:extLst>
                <a:ext uri="{63B3BB69-23CF-44E3-9099-C40C66FF867C}">
                  <a14:compatExt spid="_x0000_s174144"/>
                </a:ext>
                <a:ext uri="{FF2B5EF4-FFF2-40B4-BE49-F238E27FC236}">
                  <a16:creationId xmlns:a16="http://schemas.microsoft.com/office/drawing/2014/main" id="{00000000-0008-0000-0000-000040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3835400</xdr:colOff>
          <xdr:row>125</xdr:row>
          <xdr:rowOff>50800</xdr:rowOff>
        </xdr:from>
        <xdr:to>
          <xdr:col>3</xdr:col>
          <xdr:colOff>4521200</xdr:colOff>
          <xdr:row>125</xdr:row>
          <xdr:rowOff>317500</xdr:rowOff>
        </xdr:to>
        <xdr:sp macro="" textlink="">
          <xdr:nvSpPr>
            <xdr:cNvPr id="174145" name="Button 65" hidden="1">
              <a:extLst>
                <a:ext uri="{63B3BB69-23CF-44E3-9099-C40C66FF867C}">
                  <a14:compatExt spid="_x0000_s174145"/>
                </a:ext>
                <a:ext uri="{FF2B5EF4-FFF2-40B4-BE49-F238E27FC236}">
                  <a16:creationId xmlns:a16="http://schemas.microsoft.com/office/drawing/2014/main" id="{00000000-0008-0000-0000-000041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3873500</xdr:colOff>
          <xdr:row>127</xdr:row>
          <xdr:rowOff>50800</xdr:rowOff>
        </xdr:from>
        <xdr:to>
          <xdr:col>3</xdr:col>
          <xdr:colOff>4521200</xdr:colOff>
          <xdr:row>127</xdr:row>
          <xdr:rowOff>355600</xdr:rowOff>
        </xdr:to>
        <xdr:sp macro="" textlink="">
          <xdr:nvSpPr>
            <xdr:cNvPr id="174146" name="Button 66" hidden="1">
              <a:extLst>
                <a:ext uri="{63B3BB69-23CF-44E3-9099-C40C66FF867C}">
                  <a14:compatExt spid="_x0000_s174146"/>
                </a:ext>
                <a:ext uri="{FF2B5EF4-FFF2-40B4-BE49-F238E27FC236}">
                  <a16:creationId xmlns:a16="http://schemas.microsoft.com/office/drawing/2014/main" id="{00000000-0008-0000-0000-000042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126</xdr:row>
          <xdr:rowOff>38100</xdr:rowOff>
        </xdr:from>
        <xdr:to>
          <xdr:col>3</xdr:col>
          <xdr:colOff>4521200</xdr:colOff>
          <xdr:row>126</xdr:row>
          <xdr:rowOff>330200</xdr:rowOff>
        </xdr:to>
        <xdr:sp macro="" textlink="">
          <xdr:nvSpPr>
            <xdr:cNvPr id="174147" name="Button 67" hidden="1">
              <a:extLst>
                <a:ext uri="{63B3BB69-23CF-44E3-9099-C40C66FF867C}">
                  <a14:compatExt spid="_x0000_s174147"/>
                </a:ext>
                <a:ext uri="{FF2B5EF4-FFF2-40B4-BE49-F238E27FC236}">
                  <a16:creationId xmlns:a16="http://schemas.microsoft.com/office/drawing/2014/main" id="{00000000-0008-0000-0000-000043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3860800</xdr:colOff>
          <xdr:row>128</xdr:row>
          <xdr:rowOff>38100</xdr:rowOff>
        </xdr:from>
        <xdr:to>
          <xdr:col>3</xdr:col>
          <xdr:colOff>4521200</xdr:colOff>
          <xdr:row>128</xdr:row>
          <xdr:rowOff>342900</xdr:rowOff>
        </xdr:to>
        <xdr:sp macro="" textlink="">
          <xdr:nvSpPr>
            <xdr:cNvPr id="174148" name="Button 68" hidden="1">
              <a:extLst>
                <a:ext uri="{63B3BB69-23CF-44E3-9099-C40C66FF867C}">
                  <a14:compatExt spid="_x0000_s174148"/>
                </a:ext>
                <a:ext uri="{FF2B5EF4-FFF2-40B4-BE49-F238E27FC236}">
                  <a16:creationId xmlns:a16="http://schemas.microsoft.com/office/drawing/2014/main" id="{00000000-0008-0000-0000-000044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3873500</xdr:colOff>
          <xdr:row>129</xdr:row>
          <xdr:rowOff>50800</xdr:rowOff>
        </xdr:from>
        <xdr:to>
          <xdr:col>3</xdr:col>
          <xdr:colOff>4521200</xdr:colOff>
          <xdr:row>129</xdr:row>
          <xdr:rowOff>355600</xdr:rowOff>
        </xdr:to>
        <xdr:sp macro="" textlink="">
          <xdr:nvSpPr>
            <xdr:cNvPr id="174149" name="Button 69" hidden="1">
              <a:extLst>
                <a:ext uri="{63B3BB69-23CF-44E3-9099-C40C66FF867C}">
                  <a14:compatExt spid="_x0000_s174149"/>
                </a:ext>
                <a:ext uri="{FF2B5EF4-FFF2-40B4-BE49-F238E27FC236}">
                  <a16:creationId xmlns:a16="http://schemas.microsoft.com/office/drawing/2014/main" id="{00000000-0008-0000-0000-000045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130</xdr:row>
          <xdr:rowOff>25400</xdr:rowOff>
        </xdr:from>
        <xdr:to>
          <xdr:col>3</xdr:col>
          <xdr:colOff>4521200</xdr:colOff>
          <xdr:row>130</xdr:row>
          <xdr:rowOff>304800</xdr:rowOff>
        </xdr:to>
        <xdr:sp macro="" textlink="">
          <xdr:nvSpPr>
            <xdr:cNvPr id="174150" name="Button 70" hidden="1">
              <a:extLst>
                <a:ext uri="{63B3BB69-23CF-44E3-9099-C40C66FF867C}">
                  <a14:compatExt spid="_x0000_s174150"/>
                </a:ext>
                <a:ext uri="{FF2B5EF4-FFF2-40B4-BE49-F238E27FC236}">
                  <a16:creationId xmlns:a16="http://schemas.microsoft.com/office/drawing/2014/main" id="{00000000-0008-0000-0000-000046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3835400</xdr:colOff>
          <xdr:row>131</xdr:row>
          <xdr:rowOff>38100</xdr:rowOff>
        </xdr:from>
        <xdr:to>
          <xdr:col>3</xdr:col>
          <xdr:colOff>4521200</xdr:colOff>
          <xdr:row>131</xdr:row>
          <xdr:rowOff>317500</xdr:rowOff>
        </xdr:to>
        <xdr:sp macro="" textlink="">
          <xdr:nvSpPr>
            <xdr:cNvPr id="174151" name="Button 71" hidden="1">
              <a:extLst>
                <a:ext uri="{63B3BB69-23CF-44E3-9099-C40C66FF867C}">
                  <a14:compatExt spid="_x0000_s174151"/>
                </a:ext>
                <a:ext uri="{FF2B5EF4-FFF2-40B4-BE49-F238E27FC236}">
                  <a16:creationId xmlns:a16="http://schemas.microsoft.com/office/drawing/2014/main" id="{00000000-0008-0000-0000-000047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3822700</xdr:colOff>
          <xdr:row>132</xdr:row>
          <xdr:rowOff>25400</xdr:rowOff>
        </xdr:from>
        <xdr:to>
          <xdr:col>3</xdr:col>
          <xdr:colOff>4521200</xdr:colOff>
          <xdr:row>132</xdr:row>
          <xdr:rowOff>279400</xdr:rowOff>
        </xdr:to>
        <xdr:sp macro="" textlink="">
          <xdr:nvSpPr>
            <xdr:cNvPr id="174152" name="Button 72" hidden="1">
              <a:extLst>
                <a:ext uri="{63B3BB69-23CF-44E3-9099-C40C66FF867C}">
                  <a14:compatExt spid="_x0000_s174152"/>
                </a:ext>
                <a:ext uri="{FF2B5EF4-FFF2-40B4-BE49-F238E27FC236}">
                  <a16:creationId xmlns:a16="http://schemas.microsoft.com/office/drawing/2014/main" id="{00000000-0008-0000-0000-000048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3848100</xdr:colOff>
          <xdr:row>133</xdr:row>
          <xdr:rowOff>25400</xdr:rowOff>
        </xdr:from>
        <xdr:to>
          <xdr:col>3</xdr:col>
          <xdr:colOff>4521200</xdr:colOff>
          <xdr:row>133</xdr:row>
          <xdr:rowOff>241300</xdr:rowOff>
        </xdr:to>
        <xdr:sp macro="" textlink="">
          <xdr:nvSpPr>
            <xdr:cNvPr id="174153" name="Button 73" hidden="1">
              <a:extLst>
                <a:ext uri="{63B3BB69-23CF-44E3-9099-C40C66FF867C}">
                  <a14:compatExt spid="_x0000_s174153"/>
                </a:ext>
                <a:ext uri="{FF2B5EF4-FFF2-40B4-BE49-F238E27FC236}">
                  <a16:creationId xmlns:a16="http://schemas.microsoft.com/office/drawing/2014/main" id="{00000000-0008-0000-0000-000049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0</xdr:colOff>
      <xdr:row>78</xdr:row>
      <xdr:rowOff>0</xdr:rowOff>
    </xdr:from>
    <xdr:ext cx="6832600" cy="0"/>
    <xdr:pic>
      <xdr:nvPicPr>
        <xdr:cNvPr id="2" name="Рисунок 1" descr="page4image8010960">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800" y="1016000"/>
          <a:ext cx="68326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78</xdr:row>
      <xdr:rowOff>0</xdr:rowOff>
    </xdr:from>
    <xdr:ext cx="6832600" cy="0"/>
    <xdr:pic>
      <xdr:nvPicPr>
        <xdr:cNvPr id="3" name="Рисунок 2" descr="page4image158986848">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800" y="1016000"/>
          <a:ext cx="68326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8</xdr:col>
      <xdr:colOff>33129</xdr:colOff>
      <xdr:row>3</xdr:row>
      <xdr:rowOff>33199</xdr:rowOff>
    </xdr:from>
    <xdr:to>
      <xdr:col>9</xdr:col>
      <xdr:colOff>168142</xdr:colOff>
      <xdr:row>3</xdr:row>
      <xdr:rowOff>630029</xdr:rowOff>
    </xdr:to>
    <xdr:pic>
      <xdr:nvPicPr>
        <xdr:cNvPr id="4" name="Рисунок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2043042" y="1700764"/>
          <a:ext cx="1003300" cy="596830"/>
        </a:xfrm>
        <a:prstGeom prst="rect">
          <a:avLst/>
        </a:prstGeom>
      </xdr:spPr>
    </xdr:pic>
    <xdr:clientData/>
  </xdr:twoCellAnchor>
  <xdr:twoCellAnchor editAs="oneCell">
    <xdr:from>
      <xdr:col>14</xdr:col>
      <xdr:colOff>33129</xdr:colOff>
      <xdr:row>3</xdr:row>
      <xdr:rowOff>33199</xdr:rowOff>
    </xdr:from>
    <xdr:to>
      <xdr:col>15</xdr:col>
      <xdr:colOff>65957</xdr:colOff>
      <xdr:row>3</xdr:row>
      <xdr:rowOff>630029</xdr:rowOff>
    </xdr:to>
    <xdr:pic>
      <xdr:nvPicPr>
        <xdr:cNvPr id="5" name="Рисунок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7973390" y="1700764"/>
          <a:ext cx="1003300" cy="596830"/>
        </a:xfrm>
        <a:prstGeom prst="rect">
          <a:avLst/>
        </a:prstGeom>
      </xdr:spPr>
    </xdr:pic>
    <xdr:clientData/>
  </xdr:twoCellAnchor>
  <xdr:twoCellAnchor editAs="oneCell">
    <xdr:from>
      <xdr:col>74</xdr:col>
      <xdr:colOff>33129</xdr:colOff>
      <xdr:row>3</xdr:row>
      <xdr:rowOff>33129</xdr:rowOff>
    </xdr:from>
    <xdr:to>
      <xdr:col>75</xdr:col>
      <xdr:colOff>55175</xdr:colOff>
      <xdr:row>3</xdr:row>
      <xdr:rowOff>337929</xdr:rowOff>
    </xdr:to>
    <xdr:pic>
      <xdr:nvPicPr>
        <xdr:cNvPr id="6" name="Рисунок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tretch>
          <a:fillRect/>
        </a:stretch>
      </xdr:blipFill>
      <xdr:spPr>
        <a:xfrm>
          <a:off x="15173738" y="1700694"/>
          <a:ext cx="812800" cy="304800"/>
        </a:xfrm>
        <a:prstGeom prst="rect">
          <a:avLst/>
        </a:prstGeom>
      </xdr:spPr>
    </xdr:pic>
    <xdr:clientData/>
  </xdr:twoCellAnchor>
  <xdr:twoCellAnchor editAs="oneCell">
    <xdr:from>
      <xdr:col>78</xdr:col>
      <xdr:colOff>33129</xdr:colOff>
      <xdr:row>3</xdr:row>
      <xdr:rowOff>33129</xdr:rowOff>
    </xdr:from>
    <xdr:to>
      <xdr:col>79</xdr:col>
      <xdr:colOff>55174</xdr:colOff>
      <xdr:row>3</xdr:row>
      <xdr:rowOff>337929</xdr:rowOff>
    </xdr:to>
    <xdr:pic>
      <xdr:nvPicPr>
        <xdr:cNvPr id="7" name="Рисунок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18928520" y="1700694"/>
          <a:ext cx="812800" cy="304800"/>
        </a:xfrm>
        <a:prstGeom prst="rect">
          <a:avLst/>
        </a:prstGeom>
      </xdr:spPr>
    </xdr:pic>
    <xdr:clientData/>
  </xdr:twoCellAnchor>
  <xdr:oneCellAnchor>
    <xdr:from>
      <xdr:col>2</xdr:col>
      <xdr:colOff>33129</xdr:colOff>
      <xdr:row>3</xdr:row>
      <xdr:rowOff>33199</xdr:rowOff>
    </xdr:from>
    <xdr:ext cx="1003300" cy="596830"/>
    <xdr:pic>
      <xdr:nvPicPr>
        <xdr:cNvPr id="9" name="Рисунок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a:stretch>
          <a:fillRect/>
        </a:stretch>
      </xdr:blipFill>
      <xdr:spPr>
        <a:xfrm>
          <a:off x="7012607" y="1700764"/>
          <a:ext cx="1003300" cy="596830"/>
        </a:xfrm>
        <a:prstGeom prst="rect">
          <a:avLst/>
        </a:prstGeom>
      </xdr:spPr>
    </xdr:pic>
    <xdr:clientData/>
  </xdr:oneCellAnchor>
  <xdr:oneCellAnchor>
    <xdr:from>
      <xdr:col>69</xdr:col>
      <xdr:colOff>33129</xdr:colOff>
      <xdr:row>3</xdr:row>
      <xdr:rowOff>33129</xdr:rowOff>
    </xdr:from>
    <xdr:ext cx="812800" cy="304800"/>
    <xdr:pic>
      <xdr:nvPicPr>
        <xdr:cNvPr id="11" name="Рисунок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2"/>
        <a:stretch>
          <a:fillRect/>
        </a:stretch>
      </xdr:blipFill>
      <xdr:spPr>
        <a:xfrm>
          <a:off x="24350868" y="1700694"/>
          <a:ext cx="812800" cy="304800"/>
        </a:xfrm>
        <a:prstGeom prst="rect">
          <a:avLst/>
        </a:prstGeom>
      </xdr:spPr>
    </xdr:pic>
    <xdr:clientData/>
  </xdr:oneCellAnchor>
  <xdr:twoCellAnchor editAs="oneCell">
    <xdr:from>
      <xdr:col>134</xdr:col>
      <xdr:colOff>0</xdr:colOff>
      <xdr:row>3</xdr:row>
      <xdr:rowOff>0</xdr:rowOff>
    </xdr:from>
    <xdr:to>
      <xdr:col>134</xdr:col>
      <xdr:colOff>1060174</xdr:colOff>
      <xdr:row>3</xdr:row>
      <xdr:rowOff>626280</xdr:rowOff>
    </xdr:to>
    <xdr:pic>
      <xdr:nvPicPr>
        <xdr:cNvPr id="12" name="Рисунок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stretch>
          <a:fillRect/>
        </a:stretch>
      </xdr:blipFill>
      <xdr:spPr>
        <a:xfrm>
          <a:off x="60435435" y="2912717"/>
          <a:ext cx="1060174" cy="626280"/>
        </a:xfrm>
        <a:prstGeom prst="rect">
          <a:avLst/>
        </a:prstGeom>
      </xdr:spPr>
    </xdr:pic>
    <xdr:clientData/>
  </xdr:twoCellAnchor>
  <xdr:oneCellAnchor>
    <xdr:from>
      <xdr:col>82</xdr:col>
      <xdr:colOff>33129</xdr:colOff>
      <xdr:row>3</xdr:row>
      <xdr:rowOff>33129</xdr:rowOff>
    </xdr:from>
    <xdr:ext cx="812800" cy="304800"/>
    <xdr:pic>
      <xdr:nvPicPr>
        <xdr:cNvPr id="10" name="Рисунок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stretch>
          <a:fillRect/>
        </a:stretch>
      </xdr:blipFill>
      <xdr:spPr>
        <a:xfrm>
          <a:off x="24989827" y="2956525"/>
          <a:ext cx="812800" cy="304800"/>
        </a:xfrm>
        <a:prstGeom prst="rect">
          <a:avLst/>
        </a:prstGeom>
      </xdr:spPr>
    </xdr:pic>
    <xdr:clientData/>
  </xdr:oneCellAnchor>
  <xdr:oneCellAnchor>
    <xdr:from>
      <xdr:col>86</xdr:col>
      <xdr:colOff>33129</xdr:colOff>
      <xdr:row>3</xdr:row>
      <xdr:rowOff>33129</xdr:rowOff>
    </xdr:from>
    <xdr:ext cx="812800" cy="304800"/>
    <xdr:pic>
      <xdr:nvPicPr>
        <xdr:cNvPr id="13" name="Рисунок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a:stretch>
          <a:fillRect/>
        </a:stretch>
      </xdr:blipFill>
      <xdr:spPr>
        <a:xfrm>
          <a:off x="28404450" y="2956525"/>
          <a:ext cx="812800" cy="304800"/>
        </a:xfrm>
        <a:prstGeom prst="rect">
          <a:avLst/>
        </a:prstGeom>
      </xdr:spPr>
    </xdr:pic>
    <xdr:clientData/>
  </xdr:oneCellAnchor>
  <xdr:oneCellAnchor>
    <xdr:from>
      <xdr:col>90</xdr:col>
      <xdr:colOff>33129</xdr:colOff>
      <xdr:row>3</xdr:row>
      <xdr:rowOff>33129</xdr:rowOff>
    </xdr:from>
    <xdr:ext cx="812800" cy="304800"/>
    <xdr:pic>
      <xdr:nvPicPr>
        <xdr:cNvPr id="14" name="Рисунок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a:stretch>
          <a:fillRect/>
        </a:stretch>
      </xdr:blipFill>
      <xdr:spPr>
        <a:xfrm>
          <a:off x="24989827" y="2956525"/>
          <a:ext cx="812800" cy="304800"/>
        </a:xfrm>
        <a:prstGeom prst="rect">
          <a:avLst/>
        </a:prstGeom>
      </xdr:spPr>
    </xdr:pic>
    <xdr:clientData/>
  </xdr:oneCellAnchor>
  <xdr:oneCellAnchor>
    <xdr:from>
      <xdr:col>94</xdr:col>
      <xdr:colOff>33129</xdr:colOff>
      <xdr:row>3</xdr:row>
      <xdr:rowOff>33129</xdr:rowOff>
    </xdr:from>
    <xdr:ext cx="812800" cy="304800"/>
    <xdr:pic>
      <xdr:nvPicPr>
        <xdr:cNvPr id="15" name="Рисунок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a:stretch>
          <a:fillRect/>
        </a:stretch>
      </xdr:blipFill>
      <xdr:spPr>
        <a:xfrm>
          <a:off x="28404450" y="2956525"/>
          <a:ext cx="812800" cy="304800"/>
        </a:xfrm>
        <a:prstGeom prst="rect">
          <a:avLst/>
        </a:prstGeom>
      </xdr:spPr>
    </xdr:pic>
    <xdr:clientData/>
  </xdr:oneCellAnchor>
  <xdr:oneCellAnchor>
    <xdr:from>
      <xdr:col>98</xdr:col>
      <xdr:colOff>33129</xdr:colOff>
      <xdr:row>3</xdr:row>
      <xdr:rowOff>33129</xdr:rowOff>
    </xdr:from>
    <xdr:ext cx="812800" cy="304800"/>
    <xdr:pic>
      <xdr:nvPicPr>
        <xdr:cNvPr id="16" name="Рисунок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32274355" y="2956525"/>
          <a:ext cx="812800" cy="304800"/>
        </a:xfrm>
        <a:prstGeom prst="rect">
          <a:avLst/>
        </a:prstGeom>
      </xdr:spPr>
    </xdr:pic>
    <xdr:clientData/>
  </xdr:oneCellAnchor>
  <xdr:oneCellAnchor>
    <xdr:from>
      <xdr:col>102</xdr:col>
      <xdr:colOff>33129</xdr:colOff>
      <xdr:row>3</xdr:row>
      <xdr:rowOff>33129</xdr:rowOff>
    </xdr:from>
    <xdr:ext cx="812800" cy="304800"/>
    <xdr:pic>
      <xdr:nvPicPr>
        <xdr:cNvPr id="17" name="Рисунок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a:stretch>
          <a:fillRect/>
        </a:stretch>
      </xdr:blipFill>
      <xdr:spPr>
        <a:xfrm>
          <a:off x="35688978" y="2956525"/>
          <a:ext cx="812800" cy="304800"/>
        </a:xfrm>
        <a:prstGeom prst="rect">
          <a:avLst/>
        </a:prstGeom>
      </xdr:spPr>
    </xdr:pic>
    <xdr:clientData/>
  </xdr:oneCellAnchor>
  <xdr:oneCellAnchor>
    <xdr:from>
      <xdr:col>106</xdr:col>
      <xdr:colOff>33129</xdr:colOff>
      <xdr:row>3</xdr:row>
      <xdr:rowOff>33129</xdr:rowOff>
    </xdr:from>
    <xdr:ext cx="812800" cy="304800"/>
    <xdr:pic>
      <xdr:nvPicPr>
        <xdr:cNvPr id="18" name="Рисунок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stretch>
          <a:fillRect/>
        </a:stretch>
      </xdr:blipFill>
      <xdr:spPr>
        <a:xfrm>
          <a:off x="47083035" y="2956525"/>
          <a:ext cx="812800" cy="304800"/>
        </a:xfrm>
        <a:prstGeom prst="rect">
          <a:avLst/>
        </a:prstGeom>
      </xdr:spPr>
    </xdr:pic>
    <xdr:clientData/>
  </xdr:oneCellAnchor>
  <xdr:oneCellAnchor>
    <xdr:from>
      <xdr:col>110</xdr:col>
      <xdr:colOff>33129</xdr:colOff>
      <xdr:row>3</xdr:row>
      <xdr:rowOff>33129</xdr:rowOff>
    </xdr:from>
    <xdr:ext cx="812800" cy="304800"/>
    <xdr:pic>
      <xdr:nvPicPr>
        <xdr:cNvPr id="19" name="Рисунок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2"/>
        <a:stretch>
          <a:fillRect/>
        </a:stretch>
      </xdr:blipFill>
      <xdr:spPr>
        <a:xfrm>
          <a:off x="50497657" y="2956525"/>
          <a:ext cx="812800" cy="304800"/>
        </a:xfrm>
        <a:prstGeom prst="rect">
          <a:avLst/>
        </a:prstGeom>
      </xdr:spPr>
    </xdr:pic>
    <xdr:clientData/>
  </xdr:oneCellAnchor>
  <xdr:oneCellAnchor>
    <xdr:from>
      <xdr:col>20</xdr:col>
      <xdr:colOff>33129</xdr:colOff>
      <xdr:row>3</xdr:row>
      <xdr:rowOff>33199</xdr:rowOff>
    </xdr:from>
    <xdr:ext cx="1003300" cy="596830"/>
    <xdr:pic>
      <xdr:nvPicPr>
        <xdr:cNvPr id="20" name="Рисунок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
        <a:stretch>
          <a:fillRect/>
        </a:stretch>
      </xdr:blipFill>
      <xdr:spPr>
        <a:xfrm>
          <a:off x="4526054" y="2956595"/>
          <a:ext cx="1003300" cy="596830"/>
        </a:xfrm>
        <a:prstGeom prst="rect">
          <a:avLst/>
        </a:prstGeom>
      </xdr:spPr>
    </xdr:pic>
    <xdr:clientData/>
  </xdr:oneCellAnchor>
  <xdr:oneCellAnchor>
    <xdr:from>
      <xdr:col>26</xdr:col>
      <xdr:colOff>33129</xdr:colOff>
      <xdr:row>3</xdr:row>
      <xdr:rowOff>33199</xdr:rowOff>
    </xdr:from>
    <xdr:ext cx="1003300" cy="596830"/>
    <xdr:pic>
      <xdr:nvPicPr>
        <xdr:cNvPr id="21" name="Рисунок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1"/>
        <a:stretch>
          <a:fillRect/>
        </a:stretch>
      </xdr:blipFill>
      <xdr:spPr>
        <a:xfrm>
          <a:off x="7988601" y="2956595"/>
          <a:ext cx="1003300" cy="596830"/>
        </a:xfrm>
        <a:prstGeom prst="rect">
          <a:avLst/>
        </a:prstGeom>
      </xdr:spPr>
    </xdr:pic>
    <xdr:clientData/>
  </xdr:oneCellAnchor>
  <xdr:oneCellAnchor>
    <xdr:from>
      <xdr:col>32</xdr:col>
      <xdr:colOff>33129</xdr:colOff>
      <xdr:row>3</xdr:row>
      <xdr:rowOff>33199</xdr:rowOff>
    </xdr:from>
    <xdr:ext cx="1003300" cy="596830"/>
    <xdr:pic>
      <xdr:nvPicPr>
        <xdr:cNvPr id="22" name="Рисунок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
        <a:stretch>
          <a:fillRect/>
        </a:stretch>
      </xdr:blipFill>
      <xdr:spPr>
        <a:xfrm>
          <a:off x="4526054" y="2956595"/>
          <a:ext cx="1003300" cy="596830"/>
        </a:xfrm>
        <a:prstGeom prst="rect">
          <a:avLst/>
        </a:prstGeom>
      </xdr:spPr>
    </xdr:pic>
    <xdr:clientData/>
  </xdr:oneCellAnchor>
  <xdr:oneCellAnchor>
    <xdr:from>
      <xdr:col>38</xdr:col>
      <xdr:colOff>33129</xdr:colOff>
      <xdr:row>3</xdr:row>
      <xdr:rowOff>33199</xdr:rowOff>
    </xdr:from>
    <xdr:ext cx="1003300" cy="596830"/>
    <xdr:pic>
      <xdr:nvPicPr>
        <xdr:cNvPr id="23" name="Рисунок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1"/>
        <a:stretch>
          <a:fillRect/>
        </a:stretch>
      </xdr:blipFill>
      <xdr:spPr>
        <a:xfrm>
          <a:off x="7988601" y="2956595"/>
          <a:ext cx="1003300" cy="596830"/>
        </a:xfrm>
        <a:prstGeom prst="rect">
          <a:avLst/>
        </a:prstGeom>
      </xdr:spPr>
    </xdr:pic>
    <xdr:clientData/>
  </xdr:oneCellAnchor>
  <xdr:oneCellAnchor>
    <xdr:from>
      <xdr:col>44</xdr:col>
      <xdr:colOff>33129</xdr:colOff>
      <xdr:row>3</xdr:row>
      <xdr:rowOff>33199</xdr:rowOff>
    </xdr:from>
    <xdr:ext cx="1003300" cy="596830"/>
    <xdr:pic>
      <xdr:nvPicPr>
        <xdr:cNvPr id="24" name="Рисунок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1"/>
        <a:stretch>
          <a:fillRect/>
        </a:stretch>
      </xdr:blipFill>
      <xdr:spPr>
        <a:xfrm>
          <a:off x="11451148" y="2956595"/>
          <a:ext cx="1003300" cy="596830"/>
        </a:xfrm>
        <a:prstGeom prst="rect">
          <a:avLst/>
        </a:prstGeom>
      </xdr:spPr>
    </xdr:pic>
    <xdr:clientData/>
  </xdr:oneCellAnchor>
  <xdr:oneCellAnchor>
    <xdr:from>
      <xdr:col>50</xdr:col>
      <xdr:colOff>33129</xdr:colOff>
      <xdr:row>3</xdr:row>
      <xdr:rowOff>33199</xdr:rowOff>
    </xdr:from>
    <xdr:ext cx="1003300" cy="596830"/>
    <xdr:pic>
      <xdr:nvPicPr>
        <xdr:cNvPr id="25" name="Рисунок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1"/>
        <a:stretch>
          <a:fillRect/>
        </a:stretch>
      </xdr:blipFill>
      <xdr:spPr>
        <a:xfrm>
          <a:off x="14913695" y="2956595"/>
          <a:ext cx="1003300" cy="596830"/>
        </a:xfrm>
        <a:prstGeom prst="rect">
          <a:avLst/>
        </a:prstGeom>
      </xdr:spPr>
    </xdr:pic>
    <xdr:clientData/>
  </xdr:oneCellAnchor>
  <xdr:oneCellAnchor>
    <xdr:from>
      <xdr:col>56</xdr:col>
      <xdr:colOff>33129</xdr:colOff>
      <xdr:row>3</xdr:row>
      <xdr:rowOff>33199</xdr:rowOff>
    </xdr:from>
    <xdr:ext cx="1003300" cy="596830"/>
    <xdr:pic>
      <xdr:nvPicPr>
        <xdr:cNvPr id="28" name="Рисунок 27">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1"/>
        <a:stretch>
          <a:fillRect/>
        </a:stretch>
      </xdr:blipFill>
      <xdr:spPr>
        <a:xfrm>
          <a:off x="25301337" y="2956595"/>
          <a:ext cx="1003300" cy="596830"/>
        </a:xfrm>
        <a:prstGeom prst="rect">
          <a:avLst/>
        </a:prstGeom>
      </xdr:spPr>
    </xdr:pic>
    <xdr:clientData/>
  </xdr:oneCellAnchor>
  <xdr:oneCellAnchor>
    <xdr:from>
      <xdr:col>62</xdr:col>
      <xdr:colOff>33129</xdr:colOff>
      <xdr:row>3</xdr:row>
      <xdr:rowOff>33199</xdr:rowOff>
    </xdr:from>
    <xdr:ext cx="1003300" cy="596830"/>
    <xdr:pic>
      <xdr:nvPicPr>
        <xdr:cNvPr id="29" name="Рисунок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1"/>
        <a:stretch>
          <a:fillRect/>
        </a:stretch>
      </xdr:blipFill>
      <xdr:spPr>
        <a:xfrm>
          <a:off x="28763884" y="2956595"/>
          <a:ext cx="1003300" cy="59683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1</xdr:col>
      <xdr:colOff>22478</xdr:colOff>
      <xdr:row>10</xdr:row>
      <xdr:rowOff>11239</xdr:rowOff>
    </xdr:from>
    <xdr:to>
      <xdr:col>1</xdr:col>
      <xdr:colOff>1025778</xdr:colOff>
      <xdr:row>10</xdr:row>
      <xdr:rowOff>608139</xdr:rowOff>
    </xdr:to>
    <xdr:pic>
      <xdr:nvPicPr>
        <xdr:cNvPr id="38" name="Рисунок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1"/>
        <a:stretch>
          <a:fillRect/>
        </a:stretch>
      </xdr:blipFill>
      <xdr:spPr>
        <a:xfrm>
          <a:off x="8404478" y="3681539"/>
          <a:ext cx="1003300" cy="596900"/>
        </a:xfrm>
        <a:prstGeom prst="rect">
          <a:avLst/>
        </a:prstGeom>
      </xdr:spPr>
    </xdr:pic>
    <xdr:clientData/>
  </xdr:twoCellAnchor>
  <xdr:oneCellAnchor>
    <xdr:from>
      <xdr:col>4</xdr:col>
      <xdr:colOff>732366</xdr:colOff>
      <xdr:row>7</xdr:row>
      <xdr:rowOff>300566</xdr:rowOff>
    </xdr:from>
    <xdr:ext cx="65" cy="172098"/>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641166" y="30564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3</xdr:col>
      <xdr:colOff>732366</xdr:colOff>
      <xdr:row>20</xdr:row>
      <xdr:rowOff>0</xdr:rowOff>
    </xdr:from>
    <xdr:ext cx="65" cy="172098"/>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641166" y="853440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4</xdr:col>
      <xdr:colOff>732366</xdr:colOff>
      <xdr:row>7</xdr:row>
      <xdr:rowOff>300566</xdr:rowOff>
    </xdr:from>
    <xdr:ext cx="65" cy="172098"/>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7641166" y="30564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4</xdr:col>
      <xdr:colOff>732366</xdr:colOff>
      <xdr:row>8</xdr:row>
      <xdr:rowOff>300566</xdr:rowOff>
    </xdr:from>
    <xdr:ext cx="65" cy="172098"/>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7641166" y="32596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4</xdr:col>
      <xdr:colOff>732366</xdr:colOff>
      <xdr:row>8</xdr:row>
      <xdr:rowOff>300566</xdr:rowOff>
    </xdr:from>
    <xdr:ext cx="65" cy="172098"/>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7641166" y="32596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4</xdr:col>
      <xdr:colOff>732366</xdr:colOff>
      <xdr:row>8</xdr:row>
      <xdr:rowOff>300566</xdr:rowOff>
    </xdr:from>
    <xdr:ext cx="65" cy="172098"/>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7641166" y="34628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3</xdr:col>
      <xdr:colOff>732366</xdr:colOff>
      <xdr:row>20</xdr:row>
      <xdr:rowOff>0</xdr:rowOff>
    </xdr:from>
    <xdr:ext cx="65" cy="172098"/>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7641166" y="853440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twoCellAnchor>
    <xdr:from>
      <xdr:col>1</xdr:col>
      <xdr:colOff>25401</xdr:colOff>
      <xdr:row>17</xdr:row>
      <xdr:rowOff>25401</xdr:rowOff>
    </xdr:from>
    <xdr:to>
      <xdr:col>1</xdr:col>
      <xdr:colOff>1410012</xdr:colOff>
      <xdr:row>17</xdr:row>
      <xdr:rowOff>203241</xdr:rowOff>
    </xdr:to>
    <xdr:pic>
      <xdr:nvPicPr>
        <xdr:cNvPr id="9" name="Рисунок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636882" y="4399845"/>
          <a:ext cx="1384611" cy="177840"/>
        </a:xfrm>
        <a:prstGeom prst="rect">
          <a:avLst/>
        </a:prstGeom>
      </xdr:spPr>
    </xdr:pic>
    <xdr:clientData/>
  </xdr:twoCellAnchor>
  <xdr:twoCellAnchor>
    <xdr:from>
      <xdr:col>1</xdr:col>
      <xdr:colOff>16934</xdr:colOff>
      <xdr:row>19</xdr:row>
      <xdr:rowOff>16934</xdr:rowOff>
    </xdr:from>
    <xdr:to>
      <xdr:col>1</xdr:col>
      <xdr:colOff>588434</xdr:colOff>
      <xdr:row>19</xdr:row>
      <xdr:rowOff>320326</xdr:rowOff>
    </xdr:to>
    <xdr:pic>
      <xdr:nvPicPr>
        <xdr:cNvPr id="11" name="Рисунок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3"/>
        <a:stretch>
          <a:fillRect/>
        </a:stretch>
      </xdr:blipFill>
      <xdr:spPr>
        <a:xfrm>
          <a:off x="8398934" y="7916334"/>
          <a:ext cx="571500" cy="303392"/>
        </a:xfrm>
        <a:prstGeom prst="rect">
          <a:avLst/>
        </a:prstGeom>
      </xdr:spPr>
    </xdr:pic>
    <xdr:clientData/>
  </xdr:twoCellAnchor>
  <xdr:twoCellAnchor>
    <xdr:from>
      <xdr:col>1</xdr:col>
      <xdr:colOff>25401</xdr:colOff>
      <xdr:row>20</xdr:row>
      <xdr:rowOff>25401</xdr:rowOff>
    </xdr:from>
    <xdr:to>
      <xdr:col>1</xdr:col>
      <xdr:colOff>774701</xdr:colOff>
      <xdr:row>20</xdr:row>
      <xdr:rowOff>317501</xdr:rowOff>
    </xdr:to>
    <xdr:pic>
      <xdr:nvPicPr>
        <xdr:cNvPr id="12" name="Рисунок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4"/>
        <a:stretch>
          <a:fillRect/>
        </a:stretch>
      </xdr:blipFill>
      <xdr:spPr>
        <a:xfrm>
          <a:off x="8407401" y="8559801"/>
          <a:ext cx="749300" cy="292100"/>
        </a:xfrm>
        <a:prstGeom prst="rect">
          <a:avLst/>
        </a:prstGeom>
      </xdr:spPr>
    </xdr:pic>
    <xdr:clientData/>
  </xdr:twoCellAnchor>
  <xdr:twoCellAnchor>
    <xdr:from>
      <xdr:col>1</xdr:col>
      <xdr:colOff>25401</xdr:colOff>
      <xdr:row>23</xdr:row>
      <xdr:rowOff>16934</xdr:rowOff>
    </xdr:from>
    <xdr:to>
      <xdr:col>1</xdr:col>
      <xdr:colOff>508001</xdr:colOff>
      <xdr:row>23</xdr:row>
      <xdr:rowOff>359834</xdr:rowOff>
    </xdr:to>
    <xdr:pic>
      <xdr:nvPicPr>
        <xdr:cNvPr id="13" name="Рисунок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5"/>
        <a:stretch>
          <a:fillRect/>
        </a:stretch>
      </xdr:blipFill>
      <xdr:spPr>
        <a:xfrm>
          <a:off x="8407401" y="10837334"/>
          <a:ext cx="482600" cy="342900"/>
        </a:xfrm>
        <a:prstGeom prst="rect">
          <a:avLst/>
        </a:prstGeom>
      </xdr:spPr>
    </xdr:pic>
    <xdr:clientData/>
  </xdr:twoCellAnchor>
  <xdr:twoCellAnchor>
    <xdr:from>
      <xdr:col>1</xdr:col>
      <xdr:colOff>225930</xdr:colOff>
      <xdr:row>18</xdr:row>
      <xdr:rowOff>25401</xdr:rowOff>
    </xdr:from>
    <xdr:to>
      <xdr:col>1</xdr:col>
      <xdr:colOff>987930</xdr:colOff>
      <xdr:row>18</xdr:row>
      <xdr:rowOff>165101</xdr:rowOff>
    </xdr:to>
    <xdr:pic>
      <xdr:nvPicPr>
        <xdr:cNvPr id="16" name="Рисунок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6"/>
        <a:stretch>
          <a:fillRect/>
        </a:stretch>
      </xdr:blipFill>
      <xdr:spPr>
        <a:xfrm>
          <a:off x="10066573" y="5008851"/>
          <a:ext cx="762000" cy="139700"/>
        </a:xfrm>
        <a:prstGeom prst="rect">
          <a:avLst/>
        </a:prstGeom>
      </xdr:spPr>
    </xdr:pic>
    <xdr:clientData/>
  </xdr:twoCellAnchor>
  <xdr:twoCellAnchor>
    <xdr:from>
      <xdr:col>1</xdr:col>
      <xdr:colOff>16934</xdr:colOff>
      <xdr:row>16</xdr:row>
      <xdr:rowOff>16934</xdr:rowOff>
    </xdr:from>
    <xdr:to>
      <xdr:col>1</xdr:col>
      <xdr:colOff>1071034</xdr:colOff>
      <xdr:row>16</xdr:row>
      <xdr:rowOff>328870</xdr:rowOff>
    </xdr:to>
    <xdr:pic>
      <xdr:nvPicPr>
        <xdr:cNvPr id="17" name="Рисунок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7"/>
        <a:stretch>
          <a:fillRect/>
        </a:stretch>
      </xdr:blipFill>
      <xdr:spPr>
        <a:xfrm>
          <a:off x="8398934" y="6062134"/>
          <a:ext cx="1054100" cy="311936"/>
        </a:xfrm>
        <a:prstGeom prst="rect">
          <a:avLst/>
        </a:prstGeom>
      </xdr:spPr>
    </xdr:pic>
    <xdr:clientData/>
  </xdr:twoCellAnchor>
  <xdr:oneCellAnchor>
    <xdr:from>
      <xdr:col>1</xdr:col>
      <xdr:colOff>22281</xdr:colOff>
      <xdr:row>22</xdr:row>
      <xdr:rowOff>22281</xdr:rowOff>
    </xdr:from>
    <xdr:ext cx="1295400" cy="190500"/>
    <xdr:pic>
      <xdr:nvPicPr>
        <xdr:cNvPr id="27" name="Рисунок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8"/>
        <a:stretch>
          <a:fillRect/>
        </a:stretch>
      </xdr:blipFill>
      <xdr:spPr>
        <a:xfrm>
          <a:off x="8404281" y="9242481"/>
          <a:ext cx="1295400" cy="190500"/>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4737100</xdr:colOff>
          <xdr:row>10</xdr:row>
          <xdr:rowOff>50800</xdr:rowOff>
        </xdr:from>
        <xdr:to>
          <xdr:col>2</xdr:col>
          <xdr:colOff>6210300</xdr:colOff>
          <xdr:row>11</xdr:row>
          <xdr:rowOff>0</xdr:rowOff>
        </xdr:to>
        <xdr:sp macro="" textlink="">
          <xdr:nvSpPr>
            <xdr:cNvPr id="83971" name="Button 3" descr="Вычислить" hidden="1">
              <a:extLst>
                <a:ext uri="{63B3BB69-23CF-44E3-9099-C40C66FF867C}">
                  <a14:compatExt spid="_x0000_s83971"/>
                </a:ext>
                <a:ext uri="{FF2B5EF4-FFF2-40B4-BE49-F238E27FC236}">
                  <a16:creationId xmlns:a16="http://schemas.microsoft.com/office/drawing/2014/main" id="{00000000-0008-0000-0500-0000034801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Вычислить среднее удельное электрическое сопротивление грунта по длине плеча</a:t>
              </a:r>
            </a:p>
          </xdr:txBody>
        </xdr:sp>
        <xdr:clientData fPrintsWithSheet="0"/>
      </xdr:twoCellAnchor>
    </mc:Choice>
    <mc:Fallback/>
  </mc:AlternateContent>
  <xdr:twoCellAnchor>
    <xdr:from>
      <xdr:col>1</xdr:col>
      <xdr:colOff>22478</xdr:colOff>
      <xdr:row>7</xdr:row>
      <xdr:rowOff>22478</xdr:rowOff>
    </xdr:from>
    <xdr:to>
      <xdr:col>1</xdr:col>
      <xdr:colOff>835278</xdr:colOff>
      <xdr:row>7</xdr:row>
      <xdr:rowOff>327278</xdr:rowOff>
    </xdr:to>
    <xdr:pic>
      <xdr:nvPicPr>
        <xdr:cNvPr id="36" name="Рисунок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9"/>
        <a:stretch>
          <a:fillRect/>
        </a:stretch>
      </xdr:blipFill>
      <xdr:spPr>
        <a:xfrm>
          <a:off x="10901770" y="1640885"/>
          <a:ext cx="812800" cy="3048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2908300</xdr:colOff>
          <xdr:row>7</xdr:row>
          <xdr:rowOff>25400</xdr:rowOff>
        </xdr:from>
        <xdr:to>
          <xdr:col>2</xdr:col>
          <xdr:colOff>6438900</xdr:colOff>
          <xdr:row>7</xdr:row>
          <xdr:rowOff>190500</xdr:rowOff>
        </xdr:to>
        <xdr:sp macro="" textlink="">
          <xdr:nvSpPr>
            <xdr:cNvPr id="84055" name="Button 87" descr="Вычислить среднюю толщину стенки левого плеча трубы" hidden="1">
              <a:extLst>
                <a:ext uri="{63B3BB69-23CF-44E3-9099-C40C66FF867C}">
                  <a14:compatExt spid="_x0000_s84055"/>
                </a:ext>
                <a:ext uri="{FF2B5EF4-FFF2-40B4-BE49-F238E27FC236}">
                  <a16:creationId xmlns:a16="http://schemas.microsoft.com/office/drawing/2014/main" id="{00000000-0008-0000-0500-0000574801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Вычислить среднюю  толщину стенки  трубопровода по данным изыксканий</a:t>
              </a:r>
            </a:p>
            <a:p>
              <a:pPr algn="ctr" rtl="0">
                <a:defRPr sz="1000"/>
              </a:pPr>
              <a:endParaRPr lang="ru-RU" sz="8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3962400</xdr:colOff>
          <xdr:row>14</xdr:row>
          <xdr:rowOff>25400</xdr:rowOff>
        </xdr:from>
        <xdr:to>
          <xdr:col>2</xdr:col>
          <xdr:colOff>6413500</xdr:colOff>
          <xdr:row>14</xdr:row>
          <xdr:rowOff>228600</xdr:rowOff>
        </xdr:to>
        <xdr:sp macro="" textlink="">
          <xdr:nvSpPr>
            <xdr:cNvPr id="84068" name="Button 100" descr="Расчет участка труопровода" hidden="1">
              <a:extLst>
                <a:ext uri="{63B3BB69-23CF-44E3-9099-C40C66FF867C}">
                  <a14:compatExt spid="_x0000_s84068"/>
                </a:ext>
                <a:ext uri="{FF2B5EF4-FFF2-40B4-BE49-F238E27FC236}">
                  <a16:creationId xmlns:a16="http://schemas.microsoft.com/office/drawing/2014/main" id="{00000000-0008-0000-0500-000064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Расчет участка трубопровода</a:t>
              </a:r>
            </a:p>
          </xdr:txBody>
        </xdr:sp>
        <xdr:clientData fPrintsWithSheet="0"/>
      </xdr:twoCellAnchor>
    </mc:Choice>
    <mc:Fallback/>
  </mc:AlternateContent>
  <xdr:oneCellAnchor>
    <xdr:from>
      <xdr:col>5</xdr:col>
      <xdr:colOff>732366</xdr:colOff>
      <xdr:row>7</xdr:row>
      <xdr:rowOff>300566</xdr:rowOff>
    </xdr:from>
    <xdr:ext cx="65" cy="172098"/>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34" name="TextBox 33">
          <a:extLst>
            <a:ext uri="{FF2B5EF4-FFF2-40B4-BE49-F238E27FC236}">
              <a16:creationId xmlns:a16="http://schemas.microsoft.com/office/drawing/2014/main" id="{00000000-0008-0000-0500-000022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37" name="TextBox 36">
          <a:extLst>
            <a:ext uri="{FF2B5EF4-FFF2-40B4-BE49-F238E27FC236}">
              <a16:creationId xmlns:a16="http://schemas.microsoft.com/office/drawing/2014/main" id="{00000000-0008-0000-0500-000025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40" name="TextBox 39">
          <a:extLst>
            <a:ext uri="{FF2B5EF4-FFF2-40B4-BE49-F238E27FC236}">
              <a16:creationId xmlns:a16="http://schemas.microsoft.com/office/drawing/2014/main" id="{00000000-0008-0000-0500-000028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42" name="TextBox 41">
          <a:extLst>
            <a:ext uri="{FF2B5EF4-FFF2-40B4-BE49-F238E27FC236}">
              <a16:creationId xmlns:a16="http://schemas.microsoft.com/office/drawing/2014/main" id="{00000000-0008-0000-0500-00002A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46" name="TextBox 45">
          <a:extLst>
            <a:ext uri="{FF2B5EF4-FFF2-40B4-BE49-F238E27FC236}">
              <a16:creationId xmlns:a16="http://schemas.microsoft.com/office/drawing/2014/main" id="{00000000-0008-0000-0500-00002E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47" name="TextBox 46">
          <a:extLst>
            <a:ext uri="{FF2B5EF4-FFF2-40B4-BE49-F238E27FC236}">
              <a16:creationId xmlns:a16="http://schemas.microsoft.com/office/drawing/2014/main" id="{00000000-0008-0000-0500-00002F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51" name="TextBox 50">
          <a:extLst>
            <a:ext uri="{FF2B5EF4-FFF2-40B4-BE49-F238E27FC236}">
              <a16:creationId xmlns:a16="http://schemas.microsoft.com/office/drawing/2014/main" id="{00000000-0008-0000-0500-000033000000}"/>
            </a:ext>
          </a:extLst>
        </xdr:cNvPr>
        <xdr:cNvSpPr txBox="1"/>
      </xdr:nvSpPr>
      <xdr:spPr>
        <a:xfrm>
          <a:off x="8921023" y="2215044"/>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8</xdr:row>
      <xdr:rowOff>300566</xdr:rowOff>
    </xdr:from>
    <xdr:ext cx="65" cy="172098"/>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8</xdr:row>
      <xdr:rowOff>300566</xdr:rowOff>
    </xdr:from>
    <xdr:ext cx="65" cy="172098"/>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630766</xdr:colOff>
      <xdr:row>8</xdr:row>
      <xdr:rowOff>198966</xdr:rowOff>
    </xdr:from>
    <xdr:ext cx="65" cy="172098"/>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9018453" y="268210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8</xdr:row>
      <xdr:rowOff>300566</xdr:rowOff>
    </xdr:from>
    <xdr:ext cx="65" cy="172098"/>
    <xdr:sp macro="" textlink="">
      <xdr:nvSpPr>
        <xdr:cNvPr id="55" name="TextBox 54">
          <a:extLst>
            <a:ext uri="{FF2B5EF4-FFF2-40B4-BE49-F238E27FC236}">
              <a16:creationId xmlns:a16="http://schemas.microsoft.com/office/drawing/2014/main" id="{00000000-0008-0000-0500-000037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8</xdr:row>
      <xdr:rowOff>300566</xdr:rowOff>
    </xdr:from>
    <xdr:ext cx="65" cy="172098"/>
    <xdr:sp macro="" textlink="">
      <xdr:nvSpPr>
        <xdr:cNvPr id="56" name="TextBox 55">
          <a:extLst>
            <a:ext uri="{FF2B5EF4-FFF2-40B4-BE49-F238E27FC236}">
              <a16:creationId xmlns:a16="http://schemas.microsoft.com/office/drawing/2014/main" id="{00000000-0008-0000-0500-000038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8</xdr:row>
      <xdr:rowOff>300566</xdr:rowOff>
    </xdr:from>
    <xdr:ext cx="65" cy="172098"/>
    <xdr:sp macro="" textlink="">
      <xdr:nvSpPr>
        <xdr:cNvPr id="57" name="TextBox 56">
          <a:extLst>
            <a:ext uri="{FF2B5EF4-FFF2-40B4-BE49-F238E27FC236}">
              <a16:creationId xmlns:a16="http://schemas.microsoft.com/office/drawing/2014/main" id="{00000000-0008-0000-0500-000039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8</xdr:row>
      <xdr:rowOff>300566</xdr:rowOff>
    </xdr:from>
    <xdr:ext cx="65" cy="172098"/>
    <xdr:sp macro="" textlink="">
      <xdr:nvSpPr>
        <xdr:cNvPr id="58" name="TextBox 57">
          <a:extLst>
            <a:ext uri="{FF2B5EF4-FFF2-40B4-BE49-F238E27FC236}">
              <a16:creationId xmlns:a16="http://schemas.microsoft.com/office/drawing/2014/main" id="{00000000-0008-0000-0500-00003A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8</xdr:row>
      <xdr:rowOff>300566</xdr:rowOff>
    </xdr:from>
    <xdr:ext cx="65" cy="172098"/>
    <xdr:sp macro="" textlink="">
      <xdr:nvSpPr>
        <xdr:cNvPr id="59" name="TextBox 58">
          <a:extLst>
            <a:ext uri="{FF2B5EF4-FFF2-40B4-BE49-F238E27FC236}">
              <a16:creationId xmlns:a16="http://schemas.microsoft.com/office/drawing/2014/main" id="{00000000-0008-0000-0500-00003B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544750</xdr:colOff>
      <xdr:row>9</xdr:row>
      <xdr:rowOff>85952</xdr:rowOff>
    </xdr:from>
    <xdr:ext cx="172098" cy="65"/>
    <xdr:sp macro="" textlink="">
      <xdr:nvSpPr>
        <xdr:cNvPr id="60" name="TextBox 59">
          <a:extLst>
            <a:ext uri="{FF2B5EF4-FFF2-40B4-BE49-F238E27FC236}">
              <a16:creationId xmlns:a16="http://schemas.microsoft.com/office/drawing/2014/main" id="{00000000-0008-0000-0500-00003C000000}"/>
            </a:ext>
          </a:extLst>
        </xdr:cNvPr>
        <xdr:cNvSpPr txBox="1"/>
      </xdr:nvSpPr>
      <xdr:spPr>
        <a:xfrm rot="5193904">
          <a:off x="10288453" y="268210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8</xdr:row>
      <xdr:rowOff>300566</xdr:rowOff>
    </xdr:from>
    <xdr:ext cx="65" cy="172098"/>
    <xdr:sp macro="" textlink="">
      <xdr:nvSpPr>
        <xdr:cNvPr id="61" name="TextBox 60">
          <a:extLst>
            <a:ext uri="{FF2B5EF4-FFF2-40B4-BE49-F238E27FC236}">
              <a16:creationId xmlns:a16="http://schemas.microsoft.com/office/drawing/2014/main" id="{00000000-0008-0000-0500-00003D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8</xdr:row>
      <xdr:rowOff>300566</xdr:rowOff>
    </xdr:from>
    <xdr:ext cx="65" cy="172098"/>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8</xdr:row>
      <xdr:rowOff>300566</xdr:rowOff>
    </xdr:from>
    <xdr:ext cx="65" cy="172098"/>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8</xdr:row>
      <xdr:rowOff>300566</xdr:rowOff>
    </xdr:from>
    <xdr:ext cx="65" cy="172098"/>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8</xdr:row>
      <xdr:rowOff>300566</xdr:rowOff>
    </xdr:from>
    <xdr:ext cx="65" cy="172098"/>
    <xdr:sp macro="" textlink="">
      <xdr:nvSpPr>
        <xdr:cNvPr id="65" name="TextBox 64">
          <a:extLst>
            <a:ext uri="{FF2B5EF4-FFF2-40B4-BE49-F238E27FC236}">
              <a16:creationId xmlns:a16="http://schemas.microsoft.com/office/drawing/2014/main" id="{00000000-0008-0000-0500-000041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8</xdr:row>
      <xdr:rowOff>300566</xdr:rowOff>
    </xdr:from>
    <xdr:ext cx="65" cy="172098"/>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8</xdr:row>
      <xdr:rowOff>300566</xdr:rowOff>
    </xdr:from>
    <xdr:ext cx="65" cy="172098"/>
    <xdr:sp macro="" textlink="">
      <xdr:nvSpPr>
        <xdr:cNvPr id="67" name="TextBox 66">
          <a:extLst>
            <a:ext uri="{FF2B5EF4-FFF2-40B4-BE49-F238E27FC236}">
              <a16:creationId xmlns:a16="http://schemas.microsoft.com/office/drawing/2014/main" id="{00000000-0008-0000-0500-000043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8</xdr:row>
      <xdr:rowOff>300566</xdr:rowOff>
    </xdr:from>
    <xdr:ext cx="65" cy="172098"/>
    <xdr:sp macro="" textlink="">
      <xdr:nvSpPr>
        <xdr:cNvPr id="68" name="TextBox 67">
          <a:extLst>
            <a:ext uri="{FF2B5EF4-FFF2-40B4-BE49-F238E27FC236}">
              <a16:creationId xmlns:a16="http://schemas.microsoft.com/office/drawing/2014/main" id="{00000000-0008-0000-0500-000044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8</xdr:row>
      <xdr:rowOff>300566</xdr:rowOff>
    </xdr:from>
    <xdr:ext cx="65" cy="172098"/>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8</xdr:row>
      <xdr:rowOff>300566</xdr:rowOff>
    </xdr:from>
    <xdr:ext cx="65" cy="172098"/>
    <xdr:sp macro="" textlink="">
      <xdr:nvSpPr>
        <xdr:cNvPr id="70" name="TextBox 69">
          <a:extLst>
            <a:ext uri="{FF2B5EF4-FFF2-40B4-BE49-F238E27FC236}">
              <a16:creationId xmlns:a16="http://schemas.microsoft.com/office/drawing/2014/main" id="{00000000-0008-0000-0500-000046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8</xdr:row>
      <xdr:rowOff>300566</xdr:rowOff>
    </xdr:from>
    <xdr:ext cx="65" cy="172098"/>
    <xdr:sp macro="" textlink="">
      <xdr:nvSpPr>
        <xdr:cNvPr id="71" name="TextBox 70">
          <a:extLst>
            <a:ext uri="{FF2B5EF4-FFF2-40B4-BE49-F238E27FC236}">
              <a16:creationId xmlns:a16="http://schemas.microsoft.com/office/drawing/2014/main" id="{00000000-0008-0000-0500-000047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8</xdr:row>
      <xdr:rowOff>300566</xdr:rowOff>
    </xdr:from>
    <xdr:ext cx="65" cy="172098"/>
    <xdr:sp macro="" textlink="">
      <xdr:nvSpPr>
        <xdr:cNvPr id="72" name="TextBox 71">
          <a:extLst>
            <a:ext uri="{FF2B5EF4-FFF2-40B4-BE49-F238E27FC236}">
              <a16:creationId xmlns:a16="http://schemas.microsoft.com/office/drawing/2014/main" id="{00000000-0008-0000-0500-000048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8</xdr:row>
      <xdr:rowOff>300566</xdr:rowOff>
    </xdr:from>
    <xdr:ext cx="65" cy="172098"/>
    <xdr:sp macro="" textlink="">
      <xdr:nvSpPr>
        <xdr:cNvPr id="73" name="TextBox 72">
          <a:extLst>
            <a:ext uri="{FF2B5EF4-FFF2-40B4-BE49-F238E27FC236}">
              <a16:creationId xmlns:a16="http://schemas.microsoft.com/office/drawing/2014/main" id="{00000000-0008-0000-0500-000049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8</xdr:row>
      <xdr:rowOff>300566</xdr:rowOff>
    </xdr:from>
    <xdr:ext cx="65" cy="172098"/>
    <xdr:sp macro="" textlink="">
      <xdr:nvSpPr>
        <xdr:cNvPr id="74" name="TextBox 73">
          <a:extLst>
            <a:ext uri="{FF2B5EF4-FFF2-40B4-BE49-F238E27FC236}">
              <a16:creationId xmlns:a16="http://schemas.microsoft.com/office/drawing/2014/main" id="{00000000-0008-0000-0500-00004A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8</xdr:row>
      <xdr:rowOff>300566</xdr:rowOff>
    </xdr:from>
    <xdr:ext cx="65" cy="172098"/>
    <xdr:sp macro="" textlink="">
      <xdr:nvSpPr>
        <xdr:cNvPr id="75" name="TextBox 74">
          <a:extLst>
            <a:ext uri="{FF2B5EF4-FFF2-40B4-BE49-F238E27FC236}">
              <a16:creationId xmlns:a16="http://schemas.microsoft.com/office/drawing/2014/main" id="{00000000-0008-0000-0500-00004B000000}"/>
            </a:ext>
          </a:extLst>
        </xdr:cNvPr>
        <xdr:cNvSpPr txBox="1"/>
      </xdr:nvSpPr>
      <xdr:spPr>
        <a:xfrm>
          <a:off x="8921023" y="249254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76" name="TextBox 75">
          <a:extLst>
            <a:ext uri="{FF2B5EF4-FFF2-40B4-BE49-F238E27FC236}">
              <a16:creationId xmlns:a16="http://schemas.microsoft.com/office/drawing/2014/main" id="{00000000-0008-0000-0500-00004C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8</xdr:row>
      <xdr:rowOff>300566</xdr:rowOff>
    </xdr:from>
    <xdr:ext cx="65" cy="172098"/>
    <xdr:sp macro="" textlink="">
      <xdr:nvSpPr>
        <xdr:cNvPr id="78" name="TextBox 77">
          <a:extLst>
            <a:ext uri="{FF2B5EF4-FFF2-40B4-BE49-F238E27FC236}">
              <a16:creationId xmlns:a16="http://schemas.microsoft.com/office/drawing/2014/main" id="{00000000-0008-0000-0500-00004E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8</xdr:row>
      <xdr:rowOff>300566</xdr:rowOff>
    </xdr:from>
    <xdr:ext cx="65" cy="172098"/>
    <xdr:sp macro="" textlink="">
      <xdr:nvSpPr>
        <xdr:cNvPr id="79" name="TextBox 78">
          <a:extLst>
            <a:ext uri="{FF2B5EF4-FFF2-40B4-BE49-F238E27FC236}">
              <a16:creationId xmlns:a16="http://schemas.microsoft.com/office/drawing/2014/main" id="{00000000-0008-0000-0500-00004F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8</xdr:row>
      <xdr:rowOff>300566</xdr:rowOff>
    </xdr:from>
    <xdr:ext cx="65" cy="172098"/>
    <xdr:sp macro="" textlink="">
      <xdr:nvSpPr>
        <xdr:cNvPr id="80" name="TextBox 79">
          <a:extLst>
            <a:ext uri="{FF2B5EF4-FFF2-40B4-BE49-F238E27FC236}">
              <a16:creationId xmlns:a16="http://schemas.microsoft.com/office/drawing/2014/main" id="{00000000-0008-0000-0500-000050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81" name="TextBox 80">
          <a:extLst>
            <a:ext uri="{FF2B5EF4-FFF2-40B4-BE49-F238E27FC236}">
              <a16:creationId xmlns:a16="http://schemas.microsoft.com/office/drawing/2014/main" id="{00000000-0008-0000-0500-000051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82" name="TextBox 81">
          <a:extLst>
            <a:ext uri="{FF2B5EF4-FFF2-40B4-BE49-F238E27FC236}">
              <a16:creationId xmlns:a16="http://schemas.microsoft.com/office/drawing/2014/main" id="{00000000-0008-0000-0500-000052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83" name="TextBox 82">
          <a:extLst>
            <a:ext uri="{FF2B5EF4-FFF2-40B4-BE49-F238E27FC236}">
              <a16:creationId xmlns:a16="http://schemas.microsoft.com/office/drawing/2014/main" id="{00000000-0008-0000-0500-000053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84" name="TextBox 83">
          <a:extLst>
            <a:ext uri="{FF2B5EF4-FFF2-40B4-BE49-F238E27FC236}">
              <a16:creationId xmlns:a16="http://schemas.microsoft.com/office/drawing/2014/main" id="{00000000-0008-0000-0500-000054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85" name="TextBox 84">
          <a:extLst>
            <a:ext uri="{FF2B5EF4-FFF2-40B4-BE49-F238E27FC236}">
              <a16:creationId xmlns:a16="http://schemas.microsoft.com/office/drawing/2014/main" id="{00000000-0008-0000-0500-000055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86" name="TextBox 85">
          <a:extLst>
            <a:ext uri="{FF2B5EF4-FFF2-40B4-BE49-F238E27FC236}">
              <a16:creationId xmlns:a16="http://schemas.microsoft.com/office/drawing/2014/main" id="{00000000-0008-0000-0500-000056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87" name="TextBox 86">
          <a:extLst>
            <a:ext uri="{FF2B5EF4-FFF2-40B4-BE49-F238E27FC236}">
              <a16:creationId xmlns:a16="http://schemas.microsoft.com/office/drawing/2014/main" id="{00000000-0008-0000-0500-000057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88" name="TextBox 87">
          <a:extLst>
            <a:ext uri="{FF2B5EF4-FFF2-40B4-BE49-F238E27FC236}">
              <a16:creationId xmlns:a16="http://schemas.microsoft.com/office/drawing/2014/main" id="{00000000-0008-0000-0500-000058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89" name="TextBox 88">
          <a:extLst>
            <a:ext uri="{FF2B5EF4-FFF2-40B4-BE49-F238E27FC236}">
              <a16:creationId xmlns:a16="http://schemas.microsoft.com/office/drawing/2014/main" id="{00000000-0008-0000-0500-000059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90" name="TextBox 89">
          <a:extLst>
            <a:ext uri="{FF2B5EF4-FFF2-40B4-BE49-F238E27FC236}">
              <a16:creationId xmlns:a16="http://schemas.microsoft.com/office/drawing/2014/main" id="{00000000-0008-0000-0500-00005A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92" name="TextBox 91">
          <a:extLst>
            <a:ext uri="{FF2B5EF4-FFF2-40B4-BE49-F238E27FC236}">
              <a16:creationId xmlns:a16="http://schemas.microsoft.com/office/drawing/2014/main" id="{00000000-0008-0000-0500-00005C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93" name="TextBox 92">
          <a:extLst>
            <a:ext uri="{FF2B5EF4-FFF2-40B4-BE49-F238E27FC236}">
              <a16:creationId xmlns:a16="http://schemas.microsoft.com/office/drawing/2014/main" id="{00000000-0008-0000-0500-00005D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94" name="TextBox 93">
          <a:extLst>
            <a:ext uri="{FF2B5EF4-FFF2-40B4-BE49-F238E27FC236}">
              <a16:creationId xmlns:a16="http://schemas.microsoft.com/office/drawing/2014/main" id="{00000000-0008-0000-0500-00005E000000}"/>
            </a:ext>
          </a:extLst>
        </xdr:cNvPr>
        <xdr:cNvSpPr txBox="1"/>
      </xdr:nvSpPr>
      <xdr:spPr>
        <a:xfrm>
          <a:off x="11607800"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13</xdr:col>
      <xdr:colOff>732366</xdr:colOff>
      <xdr:row>7</xdr:row>
      <xdr:rowOff>300566</xdr:rowOff>
    </xdr:from>
    <xdr:ext cx="65" cy="172098"/>
    <xdr:sp macro="" textlink="">
      <xdr:nvSpPr>
        <xdr:cNvPr id="95" name="TextBox 94">
          <a:extLst>
            <a:ext uri="{FF2B5EF4-FFF2-40B4-BE49-F238E27FC236}">
              <a16:creationId xmlns:a16="http://schemas.microsoft.com/office/drawing/2014/main" id="{00000000-0008-0000-0500-00005F000000}"/>
            </a:ext>
          </a:extLst>
        </xdr:cNvPr>
        <xdr:cNvSpPr txBox="1"/>
      </xdr:nvSpPr>
      <xdr:spPr>
        <a:xfrm>
          <a:off x="12340166"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13</xdr:col>
      <xdr:colOff>732366</xdr:colOff>
      <xdr:row>7</xdr:row>
      <xdr:rowOff>300566</xdr:rowOff>
    </xdr:from>
    <xdr:ext cx="65" cy="172098"/>
    <xdr:sp macro="" textlink="">
      <xdr:nvSpPr>
        <xdr:cNvPr id="96" name="TextBox 95">
          <a:extLst>
            <a:ext uri="{FF2B5EF4-FFF2-40B4-BE49-F238E27FC236}">
              <a16:creationId xmlns:a16="http://schemas.microsoft.com/office/drawing/2014/main" id="{00000000-0008-0000-0500-000060000000}"/>
            </a:ext>
          </a:extLst>
        </xdr:cNvPr>
        <xdr:cNvSpPr txBox="1"/>
      </xdr:nvSpPr>
      <xdr:spPr>
        <a:xfrm>
          <a:off x="12340166" y="29421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8</xdr:row>
      <xdr:rowOff>300566</xdr:rowOff>
    </xdr:from>
    <xdr:ext cx="65" cy="172098"/>
    <xdr:sp macro="" textlink="">
      <xdr:nvSpPr>
        <xdr:cNvPr id="97" name="TextBox 96">
          <a:extLst>
            <a:ext uri="{FF2B5EF4-FFF2-40B4-BE49-F238E27FC236}">
              <a16:creationId xmlns:a16="http://schemas.microsoft.com/office/drawing/2014/main" id="{00000000-0008-0000-0500-000061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8</xdr:row>
      <xdr:rowOff>300566</xdr:rowOff>
    </xdr:from>
    <xdr:ext cx="65" cy="172098"/>
    <xdr:sp macro="" textlink="">
      <xdr:nvSpPr>
        <xdr:cNvPr id="98" name="TextBox 97">
          <a:extLst>
            <a:ext uri="{FF2B5EF4-FFF2-40B4-BE49-F238E27FC236}">
              <a16:creationId xmlns:a16="http://schemas.microsoft.com/office/drawing/2014/main" id="{00000000-0008-0000-0500-000062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630766</xdr:colOff>
      <xdr:row>8</xdr:row>
      <xdr:rowOff>198966</xdr:rowOff>
    </xdr:from>
    <xdr:ext cx="65" cy="172098"/>
    <xdr:sp macro="" textlink="">
      <xdr:nvSpPr>
        <xdr:cNvPr id="99" name="TextBox 98">
          <a:extLst>
            <a:ext uri="{FF2B5EF4-FFF2-40B4-BE49-F238E27FC236}">
              <a16:creationId xmlns:a16="http://schemas.microsoft.com/office/drawing/2014/main" id="{00000000-0008-0000-0500-000063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8</xdr:row>
      <xdr:rowOff>300566</xdr:rowOff>
    </xdr:from>
    <xdr:ext cx="65" cy="172098"/>
    <xdr:sp macro="" textlink="">
      <xdr:nvSpPr>
        <xdr:cNvPr id="100" name="TextBox 99">
          <a:extLst>
            <a:ext uri="{FF2B5EF4-FFF2-40B4-BE49-F238E27FC236}">
              <a16:creationId xmlns:a16="http://schemas.microsoft.com/office/drawing/2014/main" id="{00000000-0008-0000-0500-000064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8</xdr:row>
      <xdr:rowOff>300566</xdr:rowOff>
    </xdr:from>
    <xdr:ext cx="65" cy="172098"/>
    <xdr:sp macro="" textlink="">
      <xdr:nvSpPr>
        <xdr:cNvPr id="101" name="TextBox 100">
          <a:extLst>
            <a:ext uri="{FF2B5EF4-FFF2-40B4-BE49-F238E27FC236}">
              <a16:creationId xmlns:a16="http://schemas.microsoft.com/office/drawing/2014/main" id="{00000000-0008-0000-0500-000065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8</xdr:row>
      <xdr:rowOff>300566</xdr:rowOff>
    </xdr:from>
    <xdr:ext cx="65" cy="172098"/>
    <xdr:sp macro="" textlink="">
      <xdr:nvSpPr>
        <xdr:cNvPr id="102" name="TextBox 101">
          <a:extLst>
            <a:ext uri="{FF2B5EF4-FFF2-40B4-BE49-F238E27FC236}">
              <a16:creationId xmlns:a16="http://schemas.microsoft.com/office/drawing/2014/main" id="{00000000-0008-0000-0500-000066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8</xdr:row>
      <xdr:rowOff>300566</xdr:rowOff>
    </xdr:from>
    <xdr:ext cx="65" cy="172098"/>
    <xdr:sp macro="" textlink="">
      <xdr:nvSpPr>
        <xdr:cNvPr id="103" name="TextBox 102">
          <a:extLst>
            <a:ext uri="{FF2B5EF4-FFF2-40B4-BE49-F238E27FC236}">
              <a16:creationId xmlns:a16="http://schemas.microsoft.com/office/drawing/2014/main" id="{00000000-0008-0000-0500-000067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8</xdr:row>
      <xdr:rowOff>300566</xdr:rowOff>
    </xdr:from>
    <xdr:ext cx="65" cy="172098"/>
    <xdr:sp macro="" textlink="">
      <xdr:nvSpPr>
        <xdr:cNvPr id="104" name="TextBox 103">
          <a:extLst>
            <a:ext uri="{FF2B5EF4-FFF2-40B4-BE49-F238E27FC236}">
              <a16:creationId xmlns:a16="http://schemas.microsoft.com/office/drawing/2014/main" id="{00000000-0008-0000-0500-000068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544750</xdr:colOff>
      <xdr:row>9</xdr:row>
      <xdr:rowOff>85952</xdr:rowOff>
    </xdr:from>
    <xdr:ext cx="172098" cy="65"/>
    <xdr:sp macro="" textlink="">
      <xdr:nvSpPr>
        <xdr:cNvPr id="105" name="TextBox 104">
          <a:extLst>
            <a:ext uri="{FF2B5EF4-FFF2-40B4-BE49-F238E27FC236}">
              <a16:creationId xmlns:a16="http://schemas.microsoft.com/office/drawing/2014/main" id="{00000000-0008-0000-0500-000069000000}"/>
            </a:ext>
          </a:extLst>
        </xdr:cNvPr>
        <xdr:cNvSpPr txBox="1"/>
      </xdr:nvSpPr>
      <xdr:spPr>
        <a:xfrm rot="5193904">
          <a:off x="11693816" y="314953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8</xdr:row>
      <xdr:rowOff>300566</xdr:rowOff>
    </xdr:from>
    <xdr:ext cx="65" cy="172098"/>
    <xdr:sp macro="" textlink="">
      <xdr:nvSpPr>
        <xdr:cNvPr id="106" name="TextBox 105">
          <a:extLst>
            <a:ext uri="{FF2B5EF4-FFF2-40B4-BE49-F238E27FC236}">
              <a16:creationId xmlns:a16="http://schemas.microsoft.com/office/drawing/2014/main" id="{00000000-0008-0000-0500-00006A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8</xdr:row>
      <xdr:rowOff>300566</xdr:rowOff>
    </xdr:from>
    <xdr:ext cx="65" cy="172098"/>
    <xdr:sp macro="" textlink="">
      <xdr:nvSpPr>
        <xdr:cNvPr id="107" name="TextBox 106">
          <a:extLst>
            <a:ext uri="{FF2B5EF4-FFF2-40B4-BE49-F238E27FC236}">
              <a16:creationId xmlns:a16="http://schemas.microsoft.com/office/drawing/2014/main" id="{00000000-0008-0000-0500-00006B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8</xdr:row>
      <xdr:rowOff>300566</xdr:rowOff>
    </xdr:from>
    <xdr:ext cx="65" cy="172098"/>
    <xdr:sp macro="" textlink="">
      <xdr:nvSpPr>
        <xdr:cNvPr id="108" name="TextBox 107">
          <a:extLst>
            <a:ext uri="{FF2B5EF4-FFF2-40B4-BE49-F238E27FC236}">
              <a16:creationId xmlns:a16="http://schemas.microsoft.com/office/drawing/2014/main" id="{00000000-0008-0000-0500-00006C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8</xdr:row>
      <xdr:rowOff>300566</xdr:rowOff>
    </xdr:from>
    <xdr:ext cx="65" cy="172098"/>
    <xdr:sp macro="" textlink="">
      <xdr:nvSpPr>
        <xdr:cNvPr id="109" name="TextBox 108">
          <a:extLst>
            <a:ext uri="{FF2B5EF4-FFF2-40B4-BE49-F238E27FC236}">
              <a16:creationId xmlns:a16="http://schemas.microsoft.com/office/drawing/2014/main" id="{00000000-0008-0000-0500-00006D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8</xdr:row>
      <xdr:rowOff>300566</xdr:rowOff>
    </xdr:from>
    <xdr:ext cx="65" cy="172098"/>
    <xdr:sp macro="" textlink="">
      <xdr:nvSpPr>
        <xdr:cNvPr id="110" name="TextBox 109">
          <a:extLst>
            <a:ext uri="{FF2B5EF4-FFF2-40B4-BE49-F238E27FC236}">
              <a16:creationId xmlns:a16="http://schemas.microsoft.com/office/drawing/2014/main" id="{00000000-0008-0000-0500-00006E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8</xdr:row>
      <xdr:rowOff>300566</xdr:rowOff>
    </xdr:from>
    <xdr:ext cx="65" cy="172098"/>
    <xdr:sp macro="" textlink="">
      <xdr:nvSpPr>
        <xdr:cNvPr id="111" name="TextBox 110">
          <a:extLst>
            <a:ext uri="{FF2B5EF4-FFF2-40B4-BE49-F238E27FC236}">
              <a16:creationId xmlns:a16="http://schemas.microsoft.com/office/drawing/2014/main" id="{00000000-0008-0000-0500-00006F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8</xdr:row>
      <xdr:rowOff>300566</xdr:rowOff>
    </xdr:from>
    <xdr:ext cx="65" cy="172098"/>
    <xdr:sp macro="" textlink="">
      <xdr:nvSpPr>
        <xdr:cNvPr id="112" name="TextBox 111">
          <a:extLst>
            <a:ext uri="{FF2B5EF4-FFF2-40B4-BE49-F238E27FC236}">
              <a16:creationId xmlns:a16="http://schemas.microsoft.com/office/drawing/2014/main" id="{00000000-0008-0000-0500-000070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8</xdr:row>
      <xdr:rowOff>300566</xdr:rowOff>
    </xdr:from>
    <xdr:ext cx="65" cy="172098"/>
    <xdr:sp macro="" textlink="">
      <xdr:nvSpPr>
        <xdr:cNvPr id="113" name="TextBox 112">
          <a:extLst>
            <a:ext uri="{FF2B5EF4-FFF2-40B4-BE49-F238E27FC236}">
              <a16:creationId xmlns:a16="http://schemas.microsoft.com/office/drawing/2014/main" id="{00000000-0008-0000-0500-000071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8</xdr:row>
      <xdr:rowOff>300566</xdr:rowOff>
    </xdr:from>
    <xdr:ext cx="65" cy="172098"/>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8</xdr:row>
      <xdr:rowOff>300566</xdr:rowOff>
    </xdr:from>
    <xdr:ext cx="65" cy="172098"/>
    <xdr:sp macro="" textlink="">
      <xdr:nvSpPr>
        <xdr:cNvPr id="115" name="TextBox 114">
          <a:extLst>
            <a:ext uri="{FF2B5EF4-FFF2-40B4-BE49-F238E27FC236}">
              <a16:creationId xmlns:a16="http://schemas.microsoft.com/office/drawing/2014/main" id="{00000000-0008-0000-0500-000073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8</xdr:row>
      <xdr:rowOff>300566</xdr:rowOff>
    </xdr:from>
    <xdr:ext cx="65" cy="172098"/>
    <xdr:sp macro="" textlink="">
      <xdr:nvSpPr>
        <xdr:cNvPr id="116" name="TextBox 115">
          <a:extLst>
            <a:ext uri="{FF2B5EF4-FFF2-40B4-BE49-F238E27FC236}">
              <a16:creationId xmlns:a16="http://schemas.microsoft.com/office/drawing/2014/main" id="{00000000-0008-0000-0500-000074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8</xdr:row>
      <xdr:rowOff>300566</xdr:rowOff>
    </xdr:from>
    <xdr:ext cx="65" cy="172098"/>
    <xdr:sp macro="" textlink="">
      <xdr:nvSpPr>
        <xdr:cNvPr id="117" name="TextBox 116">
          <a:extLst>
            <a:ext uri="{FF2B5EF4-FFF2-40B4-BE49-F238E27FC236}">
              <a16:creationId xmlns:a16="http://schemas.microsoft.com/office/drawing/2014/main" id="{00000000-0008-0000-0500-000075000000}"/>
            </a:ext>
          </a:extLst>
        </xdr:cNvPr>
        <xdr:cNvSpPr txBox="1"/>
      </xdr:nvSpPr>
      <xdr:spPr>
        <a:xfrm>
          <a:off x="11607800"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13</xdr:col>
      <xdr:colOff>732366</xdr:colOff>
      <xdr:row>8</xdr:row>
      <xdr:rowOff>300566</xdr:rowOff>
    </xdr:from>
    <xdr:ext cx="65" cy="172098"/>
    <xdr:sp macro="" textlink="">
      <xdr:nvSpPr>
        <xdr:cNvPr id="118" name="TextBox 117">
          <a:extLst>
            <a:ext uri="{FF2B5EF4-FFF2-40B4-BE49-F238E27FC236}">
              <a16:creationId xmlns:a16="http://schemas.microsoft.com/office/drawing/2014/main" id="{00000000-0008-0000-0500-000076000000}"/>
            </a:ext>
          </a:extLst>
        </xdr:cNvPr>
        <xdr:cNvSpPr txBox="1"/>
      </xdr:nvSpPr>
      <xdr:spPr>
        <a:xfrm>
          <a:off x="12340166"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13</xdr:col>
      <xdr:colOff>732366</xdr:colOff>
      <xdr:row>8</xdr:row>
      <xdr:rowOff>300566</xdr:rowOff>
    </xdr:from>
    <xdr:ext cx="65" cy="172098"/>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12340166"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13</xdr:col>
      <xdr:colOff>732366</xdr:colOff>
      <xdr:row>8</xdr:row>
      <xdr:rowOff>300566</xdr:rowOff>
    </xdr:from>
    <xdr:ext cx="65" cy="172098"/>
    <xdr:sp macro="" textlink="">
      <xdr:nvSpPr>
        <xdr:cNvPr id="120" name="TextBox 119">
          <a:extLst>
            <a:ext uri="{FF2B5EF4-FFF2-40B4-BE49-F238E27FC236}">
              <a16:creationId xmlns:a16="http://schemas.microsoft.com/office/drawing/2014/main" id="{00000000-0008-0000-0500-000078000000}"/>
            </a:ext>
          </a:extLst>
        </xdr:cNvPr>
        <xdr:cNvSpPr txBox="1"/>
      </xdr:nvSpPr>
      <xdr:spPr>
        <a:xfrm>
          <a:off x="12340166" y="314536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3</xdr:col>
      <xdr:colOff>732366</xdr:colOff>
      <xdr:row>7</xdr:row>
      <xdr:rowOff>300566</xdr:rowOff>
    </xdr:from>
    <xdr:ext cx="65" cy="172098"/>
    <xdr:sp macro="" textlink="">
      <xdr:nvSpPr>
        <xdr:cNvPr id="121" name="TextBox 120">
          <a:extLst>
            <a:ext uri="{FF2B5EF4-FFF2-40B4-BE49-F238E27FC236}">
              <a16:creationId xmlns:a16="http://schemas.microsoft.com/office/drawing/2014/main" id="{00000000-0008-0000-0500-000079000000}"/>
            </a:ext>
          </a:extLst>
        </xdr:cNvPr>
        <xdr:cNvSpPr txBox="1"/>
      </xdr:nvSpPr>
      <xdr:spPr>
        <a:xfrm>
          <a:off x="11295420" y="2077349"/>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3</xdr:col>
      <xdr:colOff>732366</xdr:colOff>
      <xdr:row>7</xdr:row>
      <xdr:rowOff>300566</xdr:rowOff>
    </xdr:from>
    <xdr:ext cx="65" cy="172098"/>
    <xdr:sp macro="" textlink="">
      <xdr:nvSpPr>
        <xdr:cNvPr id="122" name="TextBox 121">
          <a:extLst>
            <a:ext uri="{FF2B5EF4-FFF2-40B4-BE49-F238E27FC236}">
              <a16:creationId xmlns:a16="http://schemas.microsoft.com/office/drawing/2014/main" id="{00000000-0008-0000-0500-00007A000000}"/>
            </a:ext>
          </a:extLst>
        </xdr:cNvPr>
        <xdr:cNvSpPr txBox="1"/>
      </xdr:nvSpPr>
      <xdr:spPr>
        <a:xfrm>
          <a:off x="11295420" y="2077349"/>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20</xdr:row>
      <xdr:rowOff>0</xdr:rowOff>
    </xdr:from>
    <xdr:ext cx="65" cy="172098"/>
    <xdr:sp macro="" textlink="">
      <xdr:nvSpPr>
        <xdr:cNvPr id="123" name="TextBox 122">
          <a:extLst>
            <a:ext uri="{FF2B5EF4-FFF2-40B4-BE49-F238E27FC236}">
              <a16:creationId xmlns:a16="http://schemas.microsoft.com/office/drawing/2014/main" id="{00000000-0008-0000-0500-00007B000000}"/>
            </a:ext>
          </a:extLst>
        </xdr:cNvPr>
        <xdr:cNvSpPr txBox="1"/>
      </xdr:nvSpPr>
      <xdr:spPr>
        <a:xfrm>
          <a:off x="10128590"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20</xdr:row>
      <xdr:rowOff>0</xdr:rowOff>
    </xdr:from>
    <xdr:ext cx="65" cy="172098"/>
    <xdr:sp macro="" textlink="">
      <xdr:nvSpPr>
        <xdr:cNvPr id="124" name="TextBox 123">
          <a:extLst>
            <a:ext uri="{FF2B5EF4-FFF2-40B4-BE49-F238E27FC236}">
              <a16:creationId xmlns:a16="http://schemas.microsoft.com/office/drawing/2014/main" id="{00000000-0008-0000-0500-00007C000000}"/>
            </a:ext>
          </a:extLst>
        </xdr:cNvPr>
        <xdr:cNvSpPr txBox="1"/>
      </xdr:nvSpPr>
      <xdr:spPr>
        <a:xfrm>
          <a:off x="10128590"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20</xdr:row>
      <xdr:rowOff>0</xdr:rowOff>
    </xdr:from>
    <xdr:ext cx="65" cy="172098"/>
    <xdr:sp macro="" textlink="">
      <xdr:nvSpPr>
        <xdr:cNvPr id="125" name="TextBox 124">
          <a:extLst>
            <a:ext uri="{FF2B5EF4-FFF2-40B4-BE49-F238E27FC236}">
              <a16:creationId xmlns:a16="http://schemas.microsoft.com/office/drawing/2014/main" id="{00000000-0008-0000-0500-00007D000000}"/>
            </a:ext>
          </a:extLst>
        </xdr:cNvPr>
        <xdr:cNvSpPr txBox="1"/>
      </xdr:nvSpPr>
      <xdr:spPr>
        <a:xfrm>
          <a:off x="11724616"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20</xdr:row>
      <xdr:rowOff>0</xdr:rowOff>
    </xdr:from>
    <xdr:ext cx="65" cy="172098"/>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11724616"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20</xdr:row>
      <xdr:rowOff>0</xdr:rowOff>
    </xdr:from>
    <xdr:ext cx="65" cy="172098"/>
    <xdr:sp macro="" textlink="">
      <xdr:nvSpPr>
        <xdr:cNvPr id="127" name="TextBox 126">
          <a:extLst>
            <a:ext uri="{FF2B5EF4-FFF2-40B4-BE49-F238E27FC236}">
              <a16:creationId xmlns:a16="http://schemas.microsoft.com/office/drawing/2014/main" id="{00000000-0008-0000-0500-00007F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20</xdr:row>
      <xdr:rowOff>0</xdr:rowOff>
    </xdr:from>
    <xdr:ext cx="65" cy="172098"/>
    <xdr:sp macro="" textlink="">
      <xdr:nvSpPr>
        <xdr:cNvPr id="128" name="TextBox 127">
          <a:extLst>
            <a:ext uri="{FF2B5EF4-FFF2-40B4-BE49-F238E27FC236}">
              <a16:creationId xmlns:a16="http://schemas.microsoft.com/office/drawing/2014/main" id="{00000000-0008-0000-0500-000080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20</xdr:row>
      <xdr:rowOff>0</xdr:rowOff>
    </xdr:from>
    <xdr:ext cx="65" cy="172098"/>
    <xdr:sp macro="" textlink="">
      <xdr:nvSpPr>
        <xdr:cNvPr id="129" name="TextBox 128">
          <a:extLst>
            <a:ext uri="{FF2B5EF4-FFF2-40B4-BE49-F238E27FC236}">
              <a16:creationId xmlns:a16="http://schemas.microsoft.com/office/drawing/2014/main" id="{00000000-0008-0000-0500-000081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20</xdr:row>
      <xdr:rowOff>0</xdr:rowOff>
    </xdr:from>
    <xdr:ext cx="65" cy="172098"/>
    <xdr:sp macro="" textlink="">
      <xdr:nvSpPr>
        <xdr:cNvPr id="130" name="TextBox 129">
          <a:extLst>
            <a:ext uri="{FF2B5EF4-FFF2-40B4-BE49-F238E27FC236}">
              <a16:creationId xmlns:a16="http://schemas.microsoft.com/office/drawing/2014/main" id="{00000000-0008-0000-0500-000082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20</xdr:row>
      <xdr:rowOff>0</xdr:rowOff>
    </xdr:from>
    <xdr:ext cx="65" cy="172098"/>
    <xdr:sp macro="" textlink="">
      <xdr:nvSpPr>
        <xdr:cNvPr id="131" name="TextBox 130">
          <a:extLst>
            <a:ext uri="{FF2B5EF4-FFF2-40B4-BE49-F238E27FC236}">
              <a16:creationId xmlns:a16="http://schemas.microsoft.com/office/drawing/2014/main" id="{00000000-0008-0000-0500-000083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20</xdr:row>
      <xdr:rowOff>0</xdr:rowOff>
    </xdr:from>
    <xdr:ext cx="65" cy="172098"/>
    <xdr:sp macro="" textlink="">
      <xdr:nvSpPr>
        <xdr:cNvPr id="132" name="TextBox 131">
          <a:extLst>
            <a:ext uri="{FF2B5EF4-FFF2-40B4-BE49-F238E27FC236}">
              <a16:creationId xmlns:a16="http://schemas.microsoft.com/office/drawing/2014/main" id="{00000000-0008-0000-0500-000084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20</xdr:row>
      <xdr:rowOff>0</xdr:rowOff>
    </xdr:from>
    <xdr:ext cx="65" cy="172098"/>
    <xdr:sp macro="" textlink="">
      <xdr:nvSpPr>
        <xdr:cNvPr id="133" name="TextBox 132">
          <a:extLst>
            <a:ext uri="{FF2B5EF4-FFF2-40B4-BE49-F238E27FC236}">
              <a16:creationId xmlns:a16="http://schemas.microsoft.com/office/drawing/2014/main" id="{00000000-0008-0000-0500-000085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20</xdr:row>
      <xdr:rowOff>0</xdr:rowOff>
    </xdr:from>
    <xdr:ext cx="65" cy="172098"/>
    <xdr:sp macro="" textlink="">
      <xdr:nvSpPr>
        <xdr:cNvPr id="134" name="TextBox 133">
          <a:extLst>
            <a:ext uri="{FF2B5EF4-FFF2-40B4-BE49-F238E27FC236}">
              <a16:creationId xmlns:a16="http://schemas.microsoft.com/office/drawing/2014/main" id="{00000000-0008-0000-0500-000086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20</xdr:row>
      <xdr:rowOff>0</xdr:rowOff>
    </xdr:from>
    <xdr:ext cx="65" cy="172098"/>
    <xdr:sp macro="" textlink="">
      <xdr:nvSpPr>
        <xdr:cNvPr id="135" name="TextBox 134">
          <a:extLst>
            <a:ext uri="{FF2B5EF4-FFF2-40B4-BE49-F238E27FC236}">
              <a16:creationId xmlns:a16="http://schemas.microsoft.com/office/drawing/2014/main" id="{00000000-0008-0000-0500-000087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20</xdr:row>
      <xdr:rowOff>0</xdr:rowOff>
    </xdr:from>
    <xdr:ext cx="65" cy="172098"/>
    <xdr:sp macro="" textlink="">
      <xdr:nvSpPr>
        <xdr:cNvPr id="136" name="TextBox 135">
          <a:extLst>
            <a:ext uri="{FF2B5EF4-FFF2-40B4-BE49-F238E27FC236}">
              <a16:creationId xmlns:a16="http://schemas.microsoft.com/office/drawing/2014/main" id="{00000000-0008-0000-0500-000088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20</xdr:row>
      <xdr:rowOff>0</xdr:rowOff>
    </xdr:from>
    <xdr:ext cx="65" cy="172098"/>
    <xdr:sp macro="" textlink="">
      <xdr:nvSpPr>
        <xdr:cNvPr id="137" name="TextBox 136">
          <a:extLst>
            <a:ext uri="{FF2B5EF4-FFF2-40B4-BE49-F238E27FC236}">
              <a16:creationId xmlns:a16="http://schemas.microsoft.com/office/drawing/2014/main" id="{00000000-0008-0000-0500-000089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20</xdr:row>
      <xdr:rowOff>0</xdr:rowOff>
    </xdr:from>
    <xdr:ext cx="65" cy="172098"/>
    <xdr:sp macro="" textlink="">
      <xdr:nvSpPr>
        <xdr:cNvPr id="138" name="TextBox 137">
          <a:extLst>
            <a:ext uri="{FF2B5EF4-FFF2-40B4-BE49-F238E27FC236}">
              <a16:creationId xmlns:a16="http://schemas.microsoft.com/office/drawing/2014/main" id="{00000000-0008-0000-0500-00008A000000}"/>
            </a:ext>
          </a:extLst>
        </xdr:cNvPr>
        <xdr:cNvSpPr txBox="1"/>
      </xdr:nvSpPr>
      <xdr:spPr>
        <a:xfrm>
          <a:off x="12426224" y="55684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4</xdr:col>
      <xdr:colOff>732366</xdr:colOff>
      <xdr:row>7</xdr:row>
      <xdr:rowOff>300566</xdr:rowOff>
    </xdr:from>
    <xdr:ext cx="65" cy="172098"/>
    <xdr:sp macro="" textlink="">
      <xdr:nvSpPr>
        <xdr:cNvPr id="139" name="TextBox 138">
          <a:extLst>
            <a:ext uri="{FF2B5EF4-FFF2-40B4-BE49-F238E27FC236}">
              <a16:creationId xmlns:a16="http://schemas.microsoft.com/office/drawing/2014/main" id="{00000000-0008-0000-0500-00008B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4</xdr:col>
      <xdr:colOff>732366</xdr:colOff>
      <xdr:row>7</xdr:row>
      <xdr:rowOff>300566</xdr:rowOff>
    </xdr:from>
    <xdr:ext cx="65" cy="172098"/>
    <xdr:sp macro="" textlink="">
      <xdr:nvSpPr>
        <xdr:cNvPr id="140" name="TextBox 139">
          <a:extLst>
            <a:ext uri="{FF2B5EF4-FFF2-40B4-BE49-F238E27FC236}">
              <a16:creationId xmlns:a16="http://schemas.microsoft.com/office/drawing/2014/main" id="{00000000-0008-0000-0500-00008C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141" name="TextBox 140">
          <a:extLst>
            <a:ext uri="{FF2B5EF4-FFF2-40B4-BE49-F238E27FC236}">
              <a16:creationId xmlns:a16="http://schemas.microsoft.com/office/drawing/2014/main" id="{00000000-0008-0000-0500-00008D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142" name="TextBox 141">
          <a:extLst>
            <a:ext uri="{FF2B5EF4-FFF2-40B4-BE49-F238E27FC236}">
              <a16:creationId xmlns:a16="http://schemas.microsoft.com/office/drawing/2014/main" id="{00000000-0008-0000-0500-00008E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143" name="TextBox 142">
          <a:extLst>
            <a:ext uri="{FF2B5EF4-FFF2-40B4-BE49-F238E27FC236}">
              <a16:creationId xmlns:a16="http://schemas.microsoft.com/office/drawing/2014/main" id="{00000000-0008-0000-0500-00008F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144" name="TextBox 143">
          <a:extLst>
            <a:ext uri="{FF2B5EF4-FFF2-40B4-BE49-F238E27FC236}">
              <a16:creationId xmlns:a16="http://schemas.microsoft.com/office/drawing/2014/main" id="{00000000-0008-0000-0500-000090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145" name="TextBox 144">
          <a:extLst>
            <a:ext uri="{FF2B5EF4-FFF2-40B4-BE49-F238E27FC236}">
              <a16:creationId xmlns:a16="http://schemas.microsoft.com/office/drawing/2014/main" id="{00000000-0008-0000-0500-000091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146" name="TextBox 145">
          <a:extLst>
            <a:ext uri="{FF2B5EF4-FFF2-40B4-BE49-F238E27FC236}">
              <a16:creationId xmlns:a16="http://schemas.microsoft.com/office/drawing/2014/main" id="{00000000-0008-0000-0500-000092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147" name="TextBox 146">
          <a:extLst>
            <a:ext uri="{FF2B5EF4-FFF2-40B4-BE49-F238E27FC236}">
              <a16:creationId xmlns:a16="http://schemas.microsoft.com/office/drawing/2014/main" id="{00000000-0008-0000-0500-000093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148" name="TextBox 147">
          <a:extLst>
            <a:ext uri="{FF2B5EF4-FFF2-40B4-BE49-F238E27FC236}">
              <a16:creationId xmlns:a16="http://schemas.microsoft.com/office/drawing/2014/main" id="{00000000-0008-0000-0500-000094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149" name="TextBox 148">
          <a:extLst>
            <a:ext uri="{FF2B5EF4-FFF2-40B4-BE49-F238E27FC236}">
              <a16:creationId xmlns:a16="http://schemas.microsoft.com/office/drawing/2014/main" id="{00000000-0008-0000-0500-000095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150" name="TextBox 149">
          <a:extLst>
            <a:ext uri="{FF2B5EF4-FFF2-40B4-BE49-F238E27FC236}">
              <a16:creationId xmlns:a16="http://schemas.microsoft.com/office/drawing/2014/main" id="{00000000-0008-0000-0500-000096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151" name="TextBox 150">
          <a:extLst>
            <a:ext uri="{FF2B5EF4-FFF2-40B4-BE49-F238E27FC236}">
              <a16:creationId xmlns:a16="http://schemas.microsoft.com/office/drawing/2014/main" id="{00000000-0008-0000-0500-000097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152" name="TextBox 151">
          <a:extLst>
            <a:ext uri="{FF2B5EF4-FFF2-40B4-BE49-F238E27FC236}">
              <a16:creationId xmlns:a16="http://schemas.microsoft.com/office/drawing/2014/main" id="{00000000-0008-0000-0500-000098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153" name="TextBox 152">
          <a:extLst>
            <a:ext uri="{FF2B5EF4-FFF2-40B4-BE49-F238E27FC236}">
              <a16:creationId xmlns:a16="http://schemas.microsoft.com/office/drawing/2014/main" id="{00000000-0008-0000-0500-000099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154" name="TextBox 153">
          <a:extLst>
            <a:ext uri="{FF2B5EF4-FFF2-40B4-BE49-F238E27FC236}">
              <a16:creationId xmlns:a16="http://schemas.microsoft.com/office/drawing/2014/main" id="{00000000-0008-0000-0500-00009A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155" name="TextBox 154">
          <a:extLst>
            <a:ext uri="{FF2B5EF4-FFF2-40B4-BE49-F238E27FC236}">
              <a16:creationId xmlns:a16="http://schemas.microsoft.com/office/drawing/2014/main" id="{00000000-0008-0000-0500-00009B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156" name="TextBox 155">
          <a:extLst>
            <a:ext uri="{FF2B5EF4-FFF2-40B4-BE49-F238E27FC236}">
              <a16:creationId xmlns:a16="http://schemas.microsoft.com/office/drawing/2014/main" id="{00000000-0008-0000-0500-00009C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4</xdr:col>
      <xdr:colOff>732366</xdr:colOff>
      <xdr:row>7</xdr:row>
      <xdr:rowOff>300566</xdr:rowOff>
    </xdr:from>
    <xdr:ext cx="65" cy="172098"/>
    <xdr:sp macro="" textlink="">
      <xdr:nvSpPr>
        <xdr:cNvPr id="157" name="TextBox 156">
          <a:extLst>
            <a:ext uri="{FF2B5EF4-FFF2-40B4-BE49-F238E27FC236}">
              <a16:creationId xmlns:a16="http://schemas.microsoft.com/office/drawing/2014/main" id="{00000000-0008-0000-0500-00009D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4</xdr:col>
      <xdr:colOff>732366</xdr:colOff>
      <xdr:row>7</xdr:row>
      <xdr:rowOff>300566</xdr:rowOff>
    </xdr:from>
    <xdr:ext cx="65" cy="172098"/>
    <xdr:sp macro="" textlink="">
      <xdr:nvSpPr>
        <xdr:cNvPr id="158" name="TextBox 157">
          <a:extLst>
            <a:ext uri="{FF2B5EF4-FFF2-40B4-BE49-F238E27FC236}">
              <a16:creationId xmlns:a16="http://schemas.microsoft.com/office/drawing/2014/main" id="{00000000-0008-0000-0500-00009E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159" name="TextBox 158">
          <a:extLst>
            <a:ext uri="{FF2B5EF4-FFF2-40B4-BE49-F238E27FC236}">
              <a16:creationId xmlns:a16="http://schemas.microsoft.com/office/drawing/2014/main" id="{00000000-0008-0000-0500-00009F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160" name="TextBox 159">
          <a:extLst>
            <a:ext uri="{FF2B5EF4-FFF2-40B4-BE49-F238E27FC236}">
              <a16:creationId xmlns:a16="http://schemas.microsoft.com/office/drawing/2014/main" id="{00000000-0008-0000-0500-0000A0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161" name="TextBox 160">
          <a:extLst>
            <a:ext uri="{FF2B5EF4-FFF2-40B4-BE49-F238E27FC236}">
              <a16:creationId xmlns:a16="http://schemas.microsoft.com/office/drawing/2014/main" id="{00000000-0008-0000-0500-0000A1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162" name="TextBox 161">
          <a:extLst>
            <a:ext uri="{FF2B5EF4-FFF2-40B4-BE49-F238E27FC236}">
              <a16:creationId xmlns:a16="http://schemas.microsoft.com/office/drawing/2014/main" id="{00000000-0008-0000-0500-0000A2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163" name="TextBox 162">
          <a:extLst>
            <a:ext uri="{FF2B5EF4-FFF2-40B4-BE49-F238E27FC236}">
              <a16:creationId xmlns:a16="http://schemas.microsoft.com/office/drawing/2014/main" id="{00000000-0008-0000-0500-0000A3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164" name="TextBox 163">
          <a:extLst>
            <a:ext uri="{FF2B5EF4-FFF2-40B4-BE49-F238E27FC236}">
              <a16:creationId xmlns:a16="http://schemas.microsoft.com/office/drawing/2014/main" id="{00000000-0008-0000-0500-0000A4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165" name="TextBox 164">
          <a:extLst>
            <a:ext uri="{FF2B5EF4-FFF2-40B4-BE49-F238E27FC236}">
              <a16:creationId xmlns:a16="http://schemas.microsoft.com/office/drawing/2014/main" id="{00000000-0008-0000-0500-0000A5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166" name="TextBox 165">
          <a:extLst>
            <a:ext uri="{FF2B5EF4-FFF2-40B4-BE49-F238E27FC236}">
              <a16:creationId xmlns:a16="http://schemas.microsoft.com/office/drawing/2014/main" id="{00000000-0008-0000-0500-0000A6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167" name="TextBox 166">
          <a:extLst>
            <a:ext uri="{FF2B5EF4-FFF2-40B4-BE49-F238E27FC236}">
              <a16:creationId xmlns:a16="http://schemas.microsoft.com/office/drawing/2014/main" id="{00000000-0008-0000-0500-0000A7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168" name="TextBox 167">
          <a:extLst>
            <a:ext uri="{FF2B5EF4-FFF2-40B4-BE49-F238E27FC236}">
              <a16:creationId xmlns:a16="http://schemas.microsoft.com/office/drawing/2014/main" id="{00000000-0008-0000-0500-0000A8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169" name="TextBox 168">
          <a:extLst>
            <a:ext uri="{FF2B5EF4-FFF2-40B4-BE49-F238E27FC236}">
              <a16:creationId xmlns:a16="http://schemas.microsoft.com/office/drawing/2014/main" id="{00000000-0008-0000-0500-0000A9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170" name="TextBox 169">
          <a:extLst>
            <a:ext uri="{FF2B5EF4-FFF2-40B4-BE49-F238E27FC236}">
              <a16:creationId xmlns:a16="http://schemas.microsoft.com/office/drawing/2014/main" id="{00000000-0008-0000-0500-0000AA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171" name="TextBox 170">
          <a:extLst>
            <a:ext uri="{FF2B5EF4-FFF2-40B4-BE49-F238E27FC236}">
              <a16:creationId xmlns:a16="http://schemas.microsoft.com/office/drawing/2014/main" id="{00000000-0008-0000-0500-0000AB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172" name="TextBox 171">
          <a:extLst>
            <a:ext uri="{FF2B5EF4-FFF2-40B4-BE49-F238E27FC236}">
              <a16:creationId xmlns:a16="http://schemas.microsoft.com/office/drawing/2014/main" id="{00000000-0008-0000-0500-0000AC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173" name="TextBox 172">
          <a:extLst>
            <a:ext uri="{FF2B5EF4-FFF2-40B4-BE49-F238E27FC236}">
              <a16:creationId xmlns:a16="http://schemas.microsoft.com/office/drawing/2014/main" id="{00000000-0008-0000-0500-0000AD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174" name="TextBox 173">
          <a:extLst>
            <a:ext uri="{FF2B5EF4-FFF2-40B4-BE49-F238E27FC236}">
              <a16:creationId xmlns:a16="http://schemas.microsoft.com/office/drawing/2014/main" id="{00000000-0008-0000-0500-0000AE000000}"/>
            </a:ext>
          </a:extLst>
        </xdr:cNvPr>
        <xdr:cNvSpPr txBox="1"/>
      </xdr:nvSpPr>
      <xdr:spPr>
        <a:xfrm>
          <a:off x="10128590"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175" name="TextBox 174">
          <a:extLst>
            <a:ext uri="{FF2B5EF4-FFF2-40B4-BE49-F238E27FC236}">
              <a16:creationId xmlns:a16="http://schemas.microsoft.com/office/drawing/2014/main" id="{00000000-0008-0000-0500-0000AF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176" name="TextBox 175">
          <a:extLst>
            <a:ext uri="{FF2B5EF4-FFF2-40B4-BE49-F238E27FC236}">
              <a16:creationId xmlns:a16="http://schemas.microsoft.com/office/drawing/2014/main" id="{00000000-0008-0000-0500-0000B0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8</xdr:row>
      <xdr:rowOff>300566</xdr:rowOff>
    </xdr:from>
    <xdr:ext cx="65" cy="172098"/>
    <xdr:sp macro="" textlink="">
      <xdr:nvSpPr>
        <xdr:cNvPr id="177" name="TextBox 176">
          <a:extLst>
            <a:ext uri="{FF2B5EF4-FFF2-40B4-BE49-F238E27FC236}">
              <a16:creationId xmlns:a16="http://schemas.microsoft.com/office/drawing/2014/main" id="{00000000-0008-0000-0500-0000B1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8</xdr:row>
      <xdr:rowOff>300566</xdr:rowOff>
    </xdr:from>
    <xdr:ext cx="65" cy="172098"/>
    <xdr:sp macro="" textlink="">
      <xdr:nvSpPr>
        <xdr:cNvPr id="178" name="TextBox 177">
          <a:extLst>
            <a:ext uri="{FF2B5EF4-FFF2-40B4-BE49-F238E27FC236}">
              <a16:creationId xmlns:a16="http://schemas.microsoft.com/office/drawing/2014/main" id="{00000000-0008-0000-0500-0000B2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8</xdr:row>
      <xdr:rowOff>300566</xdr:rowOff>
    </xdr:from>
    <xdr:ext cx="65" cy="172098"/>
    <xdr:sp macro="" textlink="">
      <xdr:nvSpPr>
        <xdr:cNvPr id="179" name="TextBox 178">
          <a:extLst>
            <a:ext uri="{FF2B5EF4-FFF2-40B4-BE49-F238E27FC236}">
              <a16:creationId xmlns:a16="http://schemas.microsoft.com/office/drawing/2014/main" id="{00000000-0008-0000-0500-0000B3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180" name="TextBox 179">
          <a:extLst>
            <a:ext uri="{FF2B5EF4-FFF2-40B4-BE49-F238E27FC236}">
              <a16:creationId xmlns:a16="http://schemas.microsoft.com/office/drawing/2014/main" id="{00000000-0008-0000-0500-0000B4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181" name="TextBox 180">
          <a:extLst>
            <a:ext uri="{FF2B5EF4-FFF2-40B4-BE49-F238E27FC236}">
              <a16:creationId xmlns:a16="http://schemas.microsoft.com/office/drawing/2014/main" id="{00000000-0008-0000-0500-0000B5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182" name="TextBox 181">
          <a:extLst>
            <a:ext uri="{FF2B5EF4-FFF2-40B4-BE49-F238E27FC236}">
              <a16:creationId xmlns:a16="http://schemas.microsoft.com/office/drawing/2014/main" id="{00000000-0008-0000-0500-0000B6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183" name="TextBox 182">
          <a:extLst>
            <a:ext uri="{FF2B5EF4-FFF2-40B4-BE49-F238E27FC236}">
              <a16:creationId xmlns:a16="http://schemas.microsoft.com/office/drawing/2014/main" id="{00000000-0008-0000-0500-0000B7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184" name="TextBox 183">
          <a:extLst>
            <a:ext uri="{FF2B5EF4-FFF2-40B4-BE49-F238E27FC236}">
              <a16:creationId xmlns:a16="http://schemas.microsoft.com/office/drawing/2014/main" id="{00000000-0008-0000-0500-0000B8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185" name="TextBox 184">
          <a:extLst>
            <a:ext uri="{FF2B5EF4-FFF2-40B4-BE49-F238E27FC236}">
              <a16:creationId xmlns:a16="http://schemas.microsoft.com/office/drawing/2014/main" id="{00000000-0008-0000-0500-0000B9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8</xdr:row>
      <xdr:rowOff>300566</xdr:rowOff>
    </xdr:from>
    <xdr:ext cx="65" cy="172098"/>
    <xdr:sp macro="" textlink="">
      <xdr:nvSpPr>
        <xdr:cNvPr id="186" name="TextBox 185">
          <a:extLst>
            <a:ext uri="{FF2B5EF4-FFF2-40B4-BE49-F238E27FC236}">
              <a16:creationId xmlns:a16="http://schemas.microsoft.com/office/drawing/2014/main" id="{00000000-0008-0000-0500-0000BA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8</xdr:row>
      <xdr:rowOff>300566</xdr:rowOff>
    </xdr:from>
    <xdr:ext cx="65" cy="172098"/>
    <xdr:sp macro="" textlink="">
      <xdr:nvSpPr>
        <xdr:cNvPr id="187" name="TextBox 186">
          <a:extLst>
            <a:ext uri="{FF2B5EF4-FFF2-40B4-BE49-F238E27FC236}">
              <a16:creationId xmlns:a16="http://schemas.microsoft.com/office/drawing/2014/main" id="{00000000-0008-0000-0500-0000BB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8</xdr:row>
      <xdr:rowOff>300566</xdr:rowOff>
    </xdr:from>
    <xdr:ext cx="65" cy="172098"/>
    <xdr:sp macro="" textlink="">
      <xdr:nvSpPr>
        <xdr:cNvPr id="188" name="TextBox 187">
          <a:extLst>
            <a:ext uri="{FF2B5EF4-FFF2-40B4-BE49-F238E27FC236}">
              <a16:creationId xmlns:a16="http://schemas.microsoft.com/office/drawing/2014/main" id="{00000000-0008-0000-0500-0000BC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189" name="TextBox 188">
          <a:extLst>
            <a:ext uri="{FF2B5EF4-FFF2-40B4-BE49-F238E27FC236}">
              <a16:creationId xmlns:a16="http://schemas.microsoft.com/office/drawing/2014/main" id="{00000000-0008-0000-0500-0000BD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190" name="TextBox 189">
          <a:extLst>
            <a:ext uri="{FF2B5EF4-FFF2-40B4-BE49-F238E27FC236}">
              <a16:creationId xmlns:a16="http://schemas.microsoft.com/office/drawing/2014/main" id="{00000000-0008-0000-0500-0000BE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191" name="TextBox 190">
          <a:extLst>
            <a:ext uri="{FF2B5EF4-FFF2-40B4-BE49-F238E27FC236}">
              <a16:creationId xmlns:a16="http://schemas.microsoft.com/office/drawing/2014/main" id="{00000000-0008-0000-0500-0000BF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192" name="TextBox 191">
          <a:extLst>
            <a:ext uri="{FF2B5EF4-FFF2-40B4-BE49-F238E27FC236}">
              <a16:creationId xmlns:a16="http://schemas.microsoft.com/office/drawing/2014/main" id="{00000000-0008-0000-0500-0000C0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193" name="TextBox 192">
          <a:extLst>
            <a:ext uri="{FF2B5EF4-FFF2-40B4-BE49-F238E27FC236}">
              <a16:creationId xmlns:a16="http://schemas.microsoft.com/office/drawing/2014/main" id="{00000000-0008-0000-0500-0000C1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194" name="TextBox 193">
          <a:extLst>
            <a:ext uri="{FF2B5EF4-FFF2-40B4-BE49-F238E27FC236}">
              <a16:creationId xmlns:a16="http://schemas.microsoft.com/office/drawing/2014/main" id="{00000000-0008-0000-0500-0000C2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8</xdr:row>
      <xdr:rowOff>300566</xdr:rowOff>
    </xdr:from>
    <xdr:ext cx="65" cy="172098"/>
    <xdr:sp macro="" textlink="">
      <xdr:nvSpPr>
        <xdr:cNvPr id="195" name="TextBox 194">
          <a:extLst>
            <a:ext uri="{FF2B5EF4-FFF2-40B4-BE49-F238E27FC236}">
              <a16:creationId xmlns:a16="http://schemas.microsoft.com/office/drawing/2014/main" id="{00000000-0008-0000-0500-0000C3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8</xdr:row>
      <xdr:rowOff>300566</xdr:rowOff>
    </xdr:from>
    <xdr:ext cx="65" cy="172098"/>
    <xdr:sp macro="" textlink="">
      <xdr:nvSpPr>
        <xdr:cNvPr id="196" name="TextBox 195">
          <a:extLst>
            <a:ext uri="{FF2B5EF4-FFF2-40B4-BE49-F238E27FC236}">
              <a16:creationId xmlns:a16="http://schemas.microsoft.com/office/drawing/2014/main" id="{00000000-0008-0000-0500-0000C4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8</xdr:row>
      <xdr:rowOff>300566</xdr:rowOff>
    </xdr:from>
    <xdr:ext cx="65" cy="172098"/>
    <xdr:sp macro="" textlink="">
      <xdr:nvSpPr>
        <xdr:cNvPr id="197" name="TextBox 196">
          <a:extLst>
            <a:ext uri="{FF2B5EF4-FFF2-40B4-BE49-F238E27FC236}">
              <a16:creationId xmlns:a16="http://schemas.microsoft.com/office/drawing/2014/main" id="{00000000-0008-0000-0500-0000C5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198" name="TextBox 197">
          <a:extLst>
            <a:ext uri="{FF2B5EF4-FFF2-40B4-BE49-F238E27FC236}">
              <a16:creationId xmlns:a16="http://schemas.microsoft.com/office/drawing/2014/main" id="{00000000-0008-0000-0500-0000C6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199" name="TextBox 198">
          <a:extLst>
            <a:ext uri="{FF2B5EF4-FFF2-40B4-BE49-F238E27FC236}">
              <a16:creationId xmlns:a16="http://schemas.microsoft.com/office/drawing/2014/main" id="{00000000-0008-0000-0500-0000C7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200" name="TextBox 199">
          <a:extLst>
            <a:ext uri="{FF2B5EF4-FFF2-40B4-BE49-F238E27FC236}">
              <a16:creationId xmlns:a16="http://schemas.microsoft.com/office/drawing/2014/main" id="{00000000-0008-0000-0500-0000C8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201" name="TextBox 200">
          <a:extLst>
            <a:ext uri="{FF2B5EF4-FFF2-40B4-BE49-F238E27FC236}">
              <a16:creationId xmlns:a16="http://schemas.microsoft.com/office/drawing/2014/main" id="{00000000-0008-0000-0500-0000C9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202" name="TextBox 201">
          <a:extLst>
            <a:ext uri="{FF2B5EF4-FFF2-40B4-BE49-F238E27FC236}">
              <a16:creationId xmlns:a16="http://schemas.microsoft.com/office/drawing/2014/main" id="{00000000-0008-0000-0500-0000CA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203" name="TextBox 202">
          <a:extLst>
            <a:ext uri="{FF2B5EF4-FFF2-40B4-BE49-F238E27FC236}">
              <a16:creationId xmlns:a16="http://schemas.microsoft.com/office/drawing/2014/main" id="{00000000-0008-0000-0500-0000CB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8</xdr:row>
      <xdr:rowOff>300566</xdr:rowOff>
    </xdr:from>
    <xdr:ext cx="65" cy="172098"/>
    <xdr:sp macro="" textlink="">
      <xdr:nvSpPr>
        <xdr:cNvPr id="204" name="TextBox 203">
          <a:extLst>
            <a:ext uri="{FF2B5EF4-FFF2-40B4-BE49-F238E27FC236}">
              <a16:creationId xmlns:a16="http://schemas.microsoft.com/office/drawing/2014/main" id="{00000000-0008-0000-0500-0000CC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8</xdr:row>
      <xdr:rowOff>300566</xdr:rowOff>
    </xdr:from>
    <xdr:ext cx="65" cy="172098"/>
    <xdr:sp macro="" textlink="">
      <xdr:nvSpPr>
        <xdr:cNvPr id="205" name="TextBox 204">
          <a:extLst>
            <a:ext uri="{FF2B5EF4-FFF2-40B4-BE49-F238E27FC236}">
              <a16:creationId xmlns:a16="http://schemas.microsoft.com/office/drawing/2014/main" id="{00000000-0008-0000-0500-0000CD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8</xdr:row>
      <xdr:rowOff>300566</xdr:rowOff>
    </xdr:from>
    <xdr:ext cx="65" cy="172098"/>
    <xdr:sp macro="" textlink="">
      <xdr:nvSpPr>
        <xdr:cNvPr id="206" name="TextBox 205">
          <a:extLst>
            <a:ext uri="{FF2B5EF4-FFF2-40B4-BE49-F238E27FC236}">
              <a16:creationId xmlns:a16="http://schemas.microsoft.com/office/drawing/2014/main" id="{00000000-0008-0000-0500-0000CE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207" name="TextBox 206">
          <a:extLst>
            <a:ext uri="{FF2B5EF4-FFF2-40B4-BE49-F238E27FC236}">
              <a16:creationId xmlns:a16="http://schemas.microsoft.com/office/drawing/2014/main" id="{00000000-0008-0000-0500-0000CF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208" name="TextBox 207">
          <a:extLst>
            <a:ext uri="{FF2B5EF4-FFF2-40B4-BE49-F238E27FC236}">
              <a16:creationId xmlns:a16="http://schemas.microsoft.com/office/drawing/2014/main" id="{00000000-0008-0000-0500-0000D0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209" name="TextBox 208">
          <a:extLst>
            <a:ext uri="{FF2B5EF4-FFF2-40B4-BE49-F238E27FC236}">
              <a16:creationId xmlns:a16="http://schemas.microsoft.com/office/drawing/2014/main" id="{00000000-0008-0000-0500-0000D1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210" name="TextBox 209">
          <a:extLst>
            <a:ext uri="{FF2B5EF4-FFF2-40B4-BE49-F238E27FC236}">
              <a16:creationId xmlns:a16="http://schemas.microsoft.com/office/drawing/2014/main" id="{00000000-0008-0000-0500-0000D2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211" name="TextBox 210">
          <a:extLst>
            <a:ext uri="{FF2B5EF4-FFF2-40B4-BE49-F238E27FC236}">
              <a16:creationId xmlns:a16="http://schemas.microsoft.com/office/drawing/2014/main" id="{00000000-0008-0000-0500-0000D3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212" name="TextBox 211">
          <a:extLst>
            <a:ext uri="{FF2B5EF4-FFF2-40B4-BE49-F238E27FC236}">
              <a16:creationId xmlns:a16="http://schemas.microsoft.com/office/drawing/2014/main" id="{00000000-0008-0000-0500-0000D4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8</xdr:row>
      <xdr:rowOff>300566</xdr:rowOff>
    </xdr:from>
    <xdr:ext cx="65" cy="172098"/>
    <xdr:sp macro="" textlink="">
      <xdr:nvSpPr>
        <xdr:cNvPr id="213" name="TextBox 212">
          <a:extLst>
            <a:ext uri="{FF2B5EF4-FFF2-40B4-BE49-F238E27FC236}">
              <a16:creationId xmlns:a16="http://schemas.microsoft.com/office/drawing/2014/main" id="{00000000-0008-0000-0500-0000D5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8</xdr:row>
      <xdr:rowOff>300566</xdr:rowOff>
    </xdr:from>
    <xdr:ext cx="65" cy="172098"/>
    <xdr:sp macro="" textlink="">
      <xdr:nvSpPr>
        <xdr:cNvPr id="214" name="TextBox 213">
          <a:extLst>
            <a:ext uri="{FF2B5EF4-FFF2-40B4-BE49-F238E27FC236}">
              <a16:creationId xmlns:a16="http://schemas.microsoft.com/office/drawing/2014/main" id="{00000000-0008-0000-0500-0000D6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8</xdr:row>
      <xdr:rowOff>300566</xdr:rowOff>
    </xdr:from>
    <xdr:ext cx="65" cy="172098"/>
    <xdr:sp macro="" textlink="">
      <xdr:nvSpPr>
        <xdr:cNvPr id="215" name="TextBox 214">
          <a:extLst>
            <a:ext uri="{FF2B5EF4-FFF2-40B4-BE49-F238E27FC236}">
              <a16:creationId xmlns:a16="http://schemas.microsoft.com/office/drawing/2014/main" id="{00000000-0008-0000-0500-0000D7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216" name="TextBox 215">
          <a:extLst>
            <a:ext uri="{FF2B5EF4-FFF2-40B4-BE49-F238E27FC236}">
              <a16:creationId xmlns:a16="http://schemas.microsoft.com/office/drawing/2014/main" id="{00000000-0008-0000-0500-0000D8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217" name="TextBox 216">
          <a:extLst>
            <a:ext uri="{FF2B5EF4-FFF2-40B4-BE49-F238E27FC236}">
              <a16:creationId xmlns:a16="http://schemas.microsoft.com/office/drawing/2014/main" id="{00000000-0008-0000-0500-0000D9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218" name="TextBox 217">
          <a:extLst>
            <a:ext uri="{FF2B5EF4-FFF2-40B4-BE49-F238E27FC236}">
              <a16:creationId xmlns:a16="http://schemas.microsoft.com/office/drawing/2014/main" id="{00000000-0008-0000-0500-0000DA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219" name="TextBox 218">
          <a:extLst>
            <a:ext uri="{FF2B5EF4-FFF2-40B4-BE49-F238E27FC236}">
              <a16:creationId xmlns:a16="http://schemas.microsoft.com/office/drawing/2014/main" id="{00000000-0008-0000-0500-0000DB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220" name="TextBox 219">
          <a:extLst>
            <a:ext uri="{FF2B5EF4-FFF2-40B4-BE49-F238E27FC236}">
              <a16:creationId xmlns:a16="http://schemas.microsoft.com/office/drawing/2014/main" id="{00000000-0008-0000-0500-0000DC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221" name="TextBox 220">
          <a:extLst>
            <a:ext uri="{FF2B5EF4-FFF2-40B4-BE49-F238E27FC236}">
              <a16:creationId xmlns:a16="http://schemas.microsoft.com/office/drawing/2014/main" id="{00000000-0008-0000-0500-0000DD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8</xdr:row>
      <xdr:rowOff>300566</xdr:rowOff>
    </xdr:from>
    <xdr:ext cx="65" cy="172098"/>
    <xdr:sp macro="" textlink="">
      <xdr:nvSpPr>
        <xdr:cNvPr id="222" name="TextBox 221">
          <a:extLst>
            <a:ext uri="{FF2B5EF4-FFF2-40B4-BE49-F238E27FC236}">
              <a16:creationId xmlns:a16="http://schemas.microsoft.com/office/drawing/2014/main" id="{00000000-0008-0000-0500-0000DE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8</xdr:row>
      <xdr:rowOff>300566</xdr:rowOff>
    </xdr:from>
    <xdr:ext cx="65" cy="172098"/>
    <xdr:sp macro="" textlink="">
      <xdr:nvSpPr>
        <xdr:cNvPr id="223" name="TextBox 222">
          <a:extLst>
            <a:ext uri="{FF2B5EF4-FFF2-40B4-BE49-F238E27FC236}">
              <a16:creationId xmlns:a16="http://schemas.microsoft.com/office/drawing/2014/main" id="{00000000-0008-0000-0500-0000DF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8</xdr:row>
      <xdr:rowOff>300566</xdr:rowOff>
    </xdr:from>
    <xdr:ext cx="65" cy="172098"/>
    <xdr:sp macro="" textlink="">
      <xdr:nvSpPr>
        <xdr:cNvPr id="224" name="TextBox 223">
          <a:extLst>
            <a:ext uri="{FF2B5EF4-FFF2-40B4-BE49-F238E27FC236}">
              <a16:creationId xmlns:a16="http://schemas.microsoft.com/office/drawing/2014/main" id="{00000000-0008-0000-0500-0000E0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225" name="TextBox 224">
          <a:extLst>
            <a:ext uri="{FF2B5EF4-FFF2-40B4-BE49-F238E27FC236}">
              <a16:creationId xmlns:a16="http://schemas.microsoft.com/office/drawing/2014/main" id="{00000000-0008-0000-0500-0000E1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226" name="TextBox 225">
          <a:extLst>
            <a:ext uri="{FF2B5EF4-FFF2-40B4-BE49-F238E27FC236}">
              <a16:creationId xmlns:a16="http://schemas.microsoft.com/office/drawing/2014/main" id="{00000000-0008-0000-0500-0000E2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227" name="TextBox 226">
          <a:extLst>
            <a:ext uri="{FF2B5EF4-FFF2-40B4-BE49-F238E27FC236}">
              <a16:creationId xmlns:a16="http://schemas.microsoft.com/office/drawing/2014/main" id="{00000000-0008-0000-0500-0000E3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228" name="TextBox 227">
          <a:extLst>
            <a:ext uri="{FF2B5EF4-FFF2-40B4-BE49-F238E27FC236}">
              <a16:creationId xmlns:a16="http://schemas.microsoft.com/office/drawing/2014/main" id="{00000000-0008-0000-0500-0000E4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229" name="TextBox 228">
          <a:extLst>
            <a:ext uri="{FF2B5EF4-FFF2-40B4-BE49-F238E27FC236}">
              <a16:creationId xmlns:a16="http://schemas.microsoft.com/office/drawing/2014/main" id="{00000000-0008-0000-0500-0000E5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230" name="TextBox 229">
          <a:extLst>
            <a:ext uri="{FF2B5EF4-FFF2-40B4-BE49-F238E27FC236}">
              <a16:creationId xmlns:a16="http://schemas.microsoft.com/office/drawing/2014/main" id="{00000000-0008-0000-0500-0000E6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8</xdr:row>
      <xdr:rowOff>300566</xdr:rowOff>
    </xdr:from>
    <xdr:ext cx="65" cy="172098"/>
    <xdr:sp macro="" textlink="">
      <xdr:nvSpPr>
        <xdr:cNvPr id="231" name="TextBox 230">
          <a:extLst>
            <a:ext uri="{FF2B5EF4-FFF2-40B4-BE49-F238E27FC236}">
              <a16:creationId xmlns:a16="http://schemas.microsoft.com/office/drawing/2014/main" id="{00000000-0008-0000-0500-0000E7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8</xdr:row>
      <xdr:rowOff>300566</xdr:rowOff>
    </xdr:from>
    <xdr:ext cx="65" cy="172098"/>
    <xdr:sp macro="" textlink="">
      <xdr:nvSpPr>
        <xdr:cNvPr id="232" name="TextBox 231">
          <a:extLst>
            <a:ext uri="{FF2B5EF4-FFF2-40B4-BE49-F238E27FC236}">
              <a16:creationId xmlns:a16="http://schemas.microsoft.com/office/drawing/2014/main" id="{00000000-0008-0000-0500-0000E8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8</xdr:row>
      <xdr:rowOff>300566</xdr:rowOff>
    </xdr:from>
    <xdr:ext cx="65" cy="172098"/>
    <xdr:sp macro="" textlink="">
      <xdr:nvSpPr>
        <xdr:cNvPr id="233" name="TextBox 232">
          <a:extLst>
            <a:ext uri="{FF2B5EF4-FFF2-40B4-BE49-F238E27FC236}">
              <a16:creationId xmlns:a16="http://schemas.microsoft.com/office/drawing/2014/main" id="{00000000-0008-0000-0500-0000E9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234" name="TextBox 233">
          <a:extLst>
            <a:ext uri="{FF2B5EF4-FFF2-40B4-BE49-F238E27FC236}">
              <a16:creationId xmlns:a16="http://schemas.microsoft.com/office/drawing/2014/main" id="{00000000-0008-0000-0500-0000EA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235" name="TextBox 234">
          <a:extLst>
            <a:ext uri="{FF2B5EF4-FFF2-40B4-BE49-F238E27FC236}">
              <a16:creationId xmlns:a16="http://schemas.microsoft.com/office/drawing/2014/main" id="{00000000-0008-0000-0500-0000EB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236" name="TextBox 235">
          <a:extLst>
            <a:ext uri="{FF2B5EF4-FFF2-40B4-BE49-F238E27FC236}">
              <a16:creationId xmlns:a16="http://schemas.microsoft.com/office/drawing/2014/main" id="{00000000-0008-0000-0500-0000EC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237" name="TextBox 236">
          <a:extLst>
            <a:ext uri="{FF2B5EF4-FFF2-40B4-BE49-F238E27FC236}">
              <a16:creationId xmlns:a16="http://schemas.microsoft.com/office/drawing/2014/main" id="{00000000-0008-0000-0500-0000ED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238" name="TextBox 237">
          <a:extLst>
            <a:ext uri="{FF2B5EF4-FFF2-40B4-BE49-F238E27FC236}">
              <a16:creationId xmlns:a16="http://schemas.microsoft.com/office/drawing/2014/main" id="{00000000-0008-0000-0500-0000EE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239" name="TextBox 238">
          <a:extLst>
            <a:ext uri="{FF2B5EF4-FFF2-40B4-BE49-F238E27FC236}">
              <a16:creationId xmlns:a16="http://schemas.microsoft.com/office/drawing/2014/main" id="{00000000-0008-0000-0500-0000EF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8</xdr:row>
      <xdr:rowOff>300566</xdr:rowOff>
    </xdr:from>
    <xdr:ext cx="65" cy="172098"/>
    <xdr:sp macro="" textlink="">
      <xdr:nvSpPr>
        <xdr:cNvPr id="240" name="TextBox 239">
          <a:extLst>
            <a:ext uri="{FF2B5EF4-FFF2-40B4-BE49-F238E27FC236}">
              <a16:creationId xmlns:a16="http://schemas.microsoft.com/office/drawing/2014/main" id="{00000000-0008-0000-0500-0000F0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8</xdr:row>
      <xdr:rowOff>300566</xdr:rowOff>
    </xdr:from>
    <xdr:ext cx="65" cy="172098"/>
    <xdr:sp macro="" textlink="">
      <xdr:nvSpPr>
        <xdr:cNvPr id="241" name="TextBox 240">
          <a:extLst>
            <a:ext uri="{FF2B5EF4-FFF2-40B4-BE49-F238E27FC236}">
              <a16:creationId xmlns:a16="http://schemas.microsoft.com/office/drawing/2014/main" id="{00000000-0008-0000-0500-0000F1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8</xdr:row>
      <xdr:rowOff>300566</xdr:rowOff>
    </xdr:from>
    <xdr:ext cx="65" cy="172098"/>
    <xdr:sp macro="" textlink="">
      <xdr:nvSpPr>
        <xdr:cNvPr id="242" name="TextBox 241">
          <a:extLst>
            <a:ext uri="{FF2B5EF4-FFF2-40B4-BE49-F238E27FC236}">
              <a16:creationId xmlns:a16="http://schemas.microsoft.com/office/drawing/2014/main" id="{00000000-0008-0000-0500-0000F2000000}"/>
            </a:ext>
          </a:extLst>
        </xdr:cNvPr>
        <xdr:cNvSpPr txBox="1"/>
      </xdr:nvSpPr>
      <xdr:spPr>
        <a:xfrm>
          <a:off x="10919009" y="3227428"/>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243" name="TextBox 242">
          <a:extLst>
            <a:ext uri="{FF2B5EF4-FFF2-40B4-BE49-F238E27FC236}">
              <a16:creationId xmlns:a16="http://schemas.microsoft.com/office/drawing/2014/main" id="{00000000-0008-0000-0500-0000F3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244" name="TextBox 243">
          <a:extLst>
            <a:ext uri="{FF2B5EF4-FFF2-40B4-BE49-F238E27FC236}">
              <a16:creationId xmlns:a16="http://schemas.microsoft.com/office/drawing/2014/main" id="{00000000-0008-0000-0500-0000F4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245" name="TextBox 244">
          <a:extLst>
            <a:ext uri="{FF2B5EF4-FFF2-40B4-BE49-F238E27FC236}">
              <a16:creationId xmlns:a16="http://schemas.microsoft.com/office/drawing/2014/main" id="{00000000-0008-0000-0500-0000F5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246" name="TextBox 245">
          <a:extLst>
            <a:ext uri="{FF2B5EF4-FFF2-40B4-BE49-F238E27FC236}">
              <a16:creationId xmlns:a16="http://schemas.microsoft.com/office/drawing/2014/main" id="{00000000-0008-0000-0500-0000F6000000}"/>
            </a:ext>
          </a:extLst>
        </xdr:cNvPr>
        <xdr:cNvSpPr txBox="1"/>
      </xdr:nvSpPr>
      <xdr:spPr>
        <a:xfrm>
          <a:off x="10919009" y="302316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4</xdr:col>
      <xdr:colOff>732366</xdr:colOff>
      <xdr:row>7</xdr:row>
      <xdr:rowOff>300566</xdr:rowOff>
    </xdr:from>
    <xdr:ext cx="65" cy="172098"/>
    <xdr:sp macro="" textlink="">
      <xdr:nvSpPr>
        <xdr:cNvPr id="247" name="TextBox 246">
          <a:extLst>
            <a:ext uri="{FF2B5EF4-FFF2-40B4-BE49-F238E27FC236}">
              <a16:creationId xmlns:a16="http://schemas.microsoft.com/office/drawing/2014/main" id="{00000000-0008-0000-0500-0000F700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249" name="TextBox 248">
          <a:extLst>
            <a:ext uri="{FF2B5EF4-FFF2-40B4-BE49-F238E27FC236}">
              <a16:creationId xmlns:a16="http://schemas.microsoft.com/office/drawing/2014/main" id="{00000000-0008-0000-0500-0000F900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7</xdr:row>
      <xdr:rowOff>300566</xdr:rowOff>
    </xdr:from>
    <xdr:ext cx="65" cy="172098"/>
    <xdr:sp macro="" textlink="">
      <xdr:nvSpPr>
        <xdr:cNvPr id="250" name="TextBox 249">
          <a:extLst>
            <a:ext uri="{FF2B5EF4-FFF2-40B4-BE49-F238E27FC236}">
              <a16:creationId xmlns:a16="http://schemas.microsoft.com/office/drawing/2014/main" id="{00000000-0008-0000-0500-0000FA00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251" name="TextBox 250">
          <a:extLst>
            <a:ext uri="{FF2B5EF4-FFF2-40B4-BE49-F238E27FC236}">
              <a16:creationId xmlns:a16="http://schemas.microsoft.com/office/drawing/2014/main" id="{00000000-0008-0000-0500-0000FB00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7</xdr:row>
      <xdr:rowOff>300566</xdr:rowOff>
    </xdr:from>
    <xdr:ext cx="65" cy="172098"/>
    <xdr:sp macro="" textlink="">
      <xdr:nvSpPr>
        <xdr:cNvPr id="252" name="TextBox 251">
          <a:extLst>
            <a:ext uri="{FF2B5EF4-FFF2-40B4-BE49-F238E27FC236}">
              <a16:creationId xmlns:a16="http://schemas.microsoft.com/office/drawing/2014/main" id="{00000000-0008-0000-0500-0000FC00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253" name="TextBox 252">
          <a:extLst>
            <a:ext uri="{FF2B5EF4-FFF2-40B4-BE49-F238E27FC236}">
              <a16:creationId xmlns:a16="http://schemas.microsoft.com/office/drawing/2014/main" id="{00000000-0008-0000-0500-0000FD00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7</xdr:row>
      <xdr:rowOff>300566</xdr:rowOff>
    </xdr:from>
    <xdr:ext cx="65" cy="172098"/>
    <xdr:sp macro="" textlink="">
      <xdr:nvSpPr>
        <xdr:cNvPr id="254" name="TextBox 253">
          <a:extLst>
            <a:ext uri="{FF2B5EF4-FFF2-40B4-BE49-F238E27FC236}">
              <a16:creationId xmlns:a16="http://schemas.microsoft.com/office/drawing/2014/main" id="{00000000-0008-0000-0500-0000FE00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255" name="TextBox 254">
          <a:extLst>
            <a:ext uri="{FF2B5EF4-FFF2-40B4-BE49-F238E27FC236}">
              <a16:creationId xmlns:a16="http://schemas.microsoft.com/office/drawing/2014/main" id="{00000000-0008-0000-0500-0000FF00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7</xdr:row>
      <xdr:rowOff>300566</xdr:rowOff>
    </xdr:from>
    <xdr:ext cx="65" cy="172098"/>
    <xdr:sp macro="" textlink="">
      <xdr:nvSpPr>
        <xdr:cNvPr id="256" name="TextBox 255">
          <a:extLst>
            <a:ext uri="{FF2B5EF4-FFF2-40B4-BE49-F238E27FC236}">
              <a16:creationId xmlns:a16="http://schemas.microsoft.com/office/drawing/2014/main" id="{00000000-0008-0000-0500-00000001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257" name="TextBox 256">
          <a:extLst>
            <a:ext uri="{FF2B5EF4-FFF2-40B4-BE49-F238E27FC236}">
              <a16:creationId xmlns:a16="http://schemas.microsoft.com/office/drawing/2014/main" id="{00000000-0008-0000-0500-00000101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7</xdr:row>
      <xdr:rowOff>300566</xdr:rowOff>
    </xdr:from>
    <xdr:ext cx="65" cy="172098"/>
    <xdr:sp macro="" textlink="">
      <xdr:nvSpPr>
        <xdr:cNvPr id="258" name="TextBox 257">
          <a:extLst>
            <a:ext uri="{FF2B5EF4-FFF2-40B4-BE49-F238E27FC236}">
              <a16:creationId xmlns:a16="http://schemas.microsoft.com/office/drawing/2014/main" id="{00000000-0008-0000-0500-00000201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259" name="TextBox 258">
          <a:extLst>
            <a:ext uri="{FF2B5EF4-FFF2-40B4-BE49-F238E27FC236}">
              <a16:creationId xmlns:a16="http://schemas.microsoft.com/office/drawing/2014/main" id="{00000000-0008-0000-0500-00000301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7</xdr:row>
      <xdr:rowOff>300566</xdr:rowOff>
    </xdr:from>
    <xdr:ext cx="65" cy="172098"/>
    <xdr:sp macro="" textlink="">
      <xdr:nvSpPr>
        <xdr:cNvPr id="260" name="TextBox 259">
          <a:extLst>
            <a:ext uri="{FF2B5EF4-FFF2-40B4-BE49-F238E27FC236}">
              <a16:creationId xmlns:a16="http://schemas.microsoft.com/office/drawing/2014/main" id="{00000000-0008-0000-0500-00000401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261" name="TextBox 260">
          <a:extLst>
            <a:ext uri="{FF2B5EF4-FFF2-40B4-BE49-F238E27FC236}">
              <a16:creationId xmlns:a16="http://schemas.microsoft.com/office/drawing/2014/main" id="{00000000-0008-0000-0500-00000501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7</xdr:row>
      <xdr:rowOff>300566</xdr:rowOff>
    </xdr:from>
    <xdr:ext cx="65" cy="172098"/>
    <xdr:sp macro="" textlink="">
      <xdr:nvSpPr>
        <xdr:cNvPr id="262" name="TextBox 261">
          <a:extLst>
            <a:ext uri="{FF2B5EF4-FFF2-40B4-BE49-F238E27FC236}">
              <a16:creationId xmlns:a16="http://schemas.microsoft.com/office/drawing/2014/main" id="{00000000-0008-0000-0500-00000601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263" name="TextBox 262">
          <a:extLst>
            <a:ext uri="{FF2B5EF4-FFF2-40B4-BE49-F238E27FC236}">
              <a16:creationId xmlns:a16="http://schemas.microsoft.com/office/drawing/2014/main" id="{00000000-0008-0000-0500-00000701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7</xdr:row>
      <xdr:rowOff>300566</xdr:rowOff>
    </xdr:from>
    <xdr:ext cx="65" cy="172098"/>
    <xdr:sp macro="" textlink="">
      <xdr:nvSpPr>
        <xdr:cNvPr id="264" name="TextBox 263">
          <a:extLst>
            <a:ext uri="{FF2B5EF4-FFF2-40B4-BE49-F238E27FC236}">
              <a16:creationId xmlns:a16="http://schemas.microsoft.com/office/drawing/2014/main" id="{00000000-0008-0000-0500-000008010000}"/>
            </a:ext>
          </a:extLst>
        </xdr:cNvPr>
        <xdr:cNvSpPr txBox="1"/>
      </xdr:nvSpPr>
      <xdr:spPr>
        <a:xfrm>
          <a:off x="10134822" y="301747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14</xdr:col>
      <xdr:colOff>0</xdr:colOff>
      <xdr:row>7</xdr:row>
      <xdr:rowOff>300566</xdr:rowOff>
    </xdr:from>
    <xdr:ext cx="65" cy="172098"/>
    <xdr:sp macro="" textlink="">
      <xdr:nvSpPr>
        <xdr:cNvPr id="265" name="TextBox 264">
          <a:extLst>
            <a:ext uri="{FF2B5EF4-FFF2-40B4-BE49-F238E27FC236}">
              <a16:creationId xmlns:a16="http://schemas.microsoft.com/office/drawing/2014/main" id="{00000000-0008-0000-0500-000009010000}"/>
            </a:ext>
          </a:extLst>
        </xdr:cNvPr>
        <xdr:cNvSpPr txBox="1"/>
      </xdr:nvSpPr>
      <xdr:spPr>
        <a:xfrm>
          <a:off x="10122669" y="286404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14</xdr:col>
      <xdr:colOff>0</xdr:colOff>
      <xdr:row>7</xdr:row>
      <xdr:rowOff>300566</xdr:rowOff>
    </xdr:from>
    <xdr:ext cx="65" cy="172098"/>
    <xdr:sp macro="" textlink="">
      <xdr:nvSpPr>
        <xdr:cNvPr id="266" name="TextBox 265">
          <a:extLst>
            <a:ext uri="{FF2B5EF4-FFF2-40B4-BE49-F238E27FC236}">
              <a16:creationId xmlns:a16="http://schemas.microsoft.com/office/drawing/2014/main" id="{00000000-0008-0000-0500-00000A010000}"/>
            </a:ext>
          </a:extLst>
        </xdr:cNvPr>
        <xdr:cNvSpPr txBox="1"/>
      </xdr:nvSpPr>
      <xdr:spPr>
        <a:xfrm>
          <a:off x="10122669" y="2864042"/>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10</xdr:row>
      <xdr:rowOff>300566</xdr:rowOff>
    </xdr:from>
    <xdr:ext cx="65" cy="172098"/>
    <xdr:sp macro="" textlink="">
      <xdr:nvSpPr>
        <xdr:cNvPr id="267" name="TextBox 266">
          <a:extLst>
            <a:ext uri="{FF2B5EF4-FFF2-40B4-BE49-F238E27FC236}">
              <a16:creationId xmlns:a16="http://schemas.microsoft.com/office/drawing/2014/main" id="{00000000-0008-0000-0500-00000B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10</xdr:row>
      <xdr:rowOff>300566</xdr:rowOff>
    </xdr:from>
    <xdr:ext cx="65" cy="172098"/>
    <xdr:sp macro="" textlink="">
      <xdr:nvSpPr>
        <xdr:cNvPr id="268" name="TextBox 267">
          <a:extLst>
            <a:ext uri="{FF2B5EF4-FFF2-40B4-BE49-F238E27FC236}">
              <a16:creationId xmlns:a16="http://schemas.microsoft.com/office/drawing/2014/main" id="{00000000-0008-0000-0500-00000C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630766</xdr:colOff>
      <xdr:row>10</xdr:row>
      <xdr:rowOff>198966</xdr:rowOff>
    </xdr:from>
    <xdr:ext cx="65" cy="172098"/>
    <xdr:sp macro="" textlink="">
      <xdr:nvSpPr>
        <xdr:cNvPr id="269" name="TextBox 268">
          <a:extLst>
            <a:ext uri="{FF2B5EF4-FFF2-40B4-BE49-F238E27FC236}">
              <a16:creationId xmlns:a16="http://schemas.microsoft.com/office/drawing/2014/main" id="{00000000-0008-0000-0500-00000D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10</xdr:row>
      <xdr:rowOff>300566</xdr:rowOff>
    </xdr:from>
    <xdr:ext cx="65" cy="172098"/>
    <xdr:sp macro="" textlink="">
      <xdr:nvSpPr>
        <xdr:cNvPr id="270" name="TextBox 269">
          <a:extLst>
            <a:ext uri="{FF2B5EF4-FFF2-40B4-BE49-F238E27FC236}">
              <a16:creationId xmlns:a16="http://schemas.microsoft.com/office/drawing/2014/main" id="{00000000-0008-0000-0500-00000E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10</xdr:row>
      <xdr:rowOff>300566</xdr:rowOff>
    </xdr:from>
    <xdr:ext cx="65" cy="172098"/>
    <xdr:sp macro="" textlink="">
      <xdr:nvSpPr>
        <xdr:cNvPr id="271" name="TextBox 270">
          <a:extLst>
            <a:ext uri="{FF2B5EF4-FFF2-40B4-BE49-F238E27FC236}">
              <a16:creationId xmlns:a16="http://schemas.microsoft.com/office/drawing/2014/main" id="{00000000-0008-0000-0500-00000F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10</xdr:row>
      <xdr:rowOff>300566</xdr:rowOff>
    </xdr:from>
    <xdr:ext cx="65" cy="172098"/>
    <xdr:sp macro="" textlink="">
      <xdr:nvSpPr>
        <xdr:cNvPr id="272" name="TextBox 271">
          <a:extLst>
            <a:ext uri="{FF2B5EF4-FFF2-40B4-BE49-F238E27FC236}">
              <a16:creationId xmlns:a16="http://schemas.microsoft.com/office/drawing/2014/main" id="{00000000-0008-0000-0500-000010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10</xdr:row>
      <xdr:rowOff>300566</xdr:rowOff>
    </xdr:from>
    <xdr:ext cx="65" cy="172098"/>
    <xdr:sp macro="" textlink="">
      <xdr:nvSpPr>
        <xdr:cNvPr id="273" name="TextBox 272">
          <a:extLst>
            <a:ext uri="{FF2B5EF4-FFF2-40B4-BE49-F238E27FC236}">
              <a16:creationId xmlns:a16="http://schemas.microsoft.com/office/drawing/2014/main" id="{00000000-0008-0000-0500-000011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10</xdr:row>
      <xdr:rowOff>300566</xdr:rowOff>
    </xdr:from>
    <xdr:ext cx="65" cy="172098"/>
    <xdr:sp macro="" textlink="">
      <xdr:nvSpPr>
        <xdr:cNvPr id="274" name="TextBox 273">
          <a:extLst>
            <a:ext uri="{FF2B5EF4-FFF2-40B4-BE49-F238E27FC236}">
              <a16:creationId xmlns:a16="http://schemas.microsoft.com/office/drawing/2014/main" id="{00000000-0008-0000-0500-000012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544750</xdr:colOff>
      <xdr:row>11</xdr:row>
      <xdr:rowOff>85952</xdr:rowOff>
    </xdr:from>
    <xdr:ext cx="172098" cy="65"/>
    <xdr:sp macro="" textlink="">
      <xdr:nvSpPr>
        <xdr:cNvPr id="275" name="TextBox 274">
          <a:extLst>
            <a:ext uri="{FF2B5EF4-FFF2-40B4-BE49-F238E27FC236}">
              <a16:creationId xmlns:a16="http://schemas.microsoft.com/office/drawing/2014/main" id="{00000000-0008-0000-0500-000013010000}"/>
            </a:ext>
          </a:extLst>
        </xdr:cNvPr>
        <xdr:cNvSpPr txBox="1"/>
      </xdr:nvSpPr>
      <xdr:spPr>
        <a:xfrm rot="5193904">
          <a:off x="11054198" y="325190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10</xdr:row>
      <xdr:rowOff>300566</xdr:rowOff>
    </xdr:from>
    <xdr:ext cx="65" cy="172098"/>
    <xdr:sp macro="" textlink="">
      <xdr:nvSpPr>
        <xdr:cNvPr id="276" name="TextBox 275">
          <a:extLst>
            <a:ext uri="{FF2B5EF4-FFF2-40B4-BE49-F238E27FC236}">
              <a16:creationId xmlns:a16="http://schemas.microsoft.com/office/drawing/2014/main" id="{00000000-0008-0000-0500-000014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10</xdr:row>
      <xdr:rowOff>300566</xdr:rowOff>
    </xdr:from>
    <xdr:ext cx="65" cy="172098"/>
    <xdr:sp macro="" textlink="">
      <xdr:nvSpPr>
        <xdr:cNvPr id="277" name="TextBox 276">
          <a:extLst>
            <a:ext uri="{FF2B5EF4-FFF2-40B4-BE49-F238E27FC236}">
              <a16:creationId xmlns:a16="http://schemas.microsoft.com/office/drawing/2014/main" id="{00000000-0008-0000-0500-000015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10</xdr:row>
      <xdr:rowOff>300566</xdr:rowOff>
    </xdr:from>
    <xdr:ext cx="65" cy="172098"/>
    <xdr:sp macro="" textlink="">
      <xdr:nvSpPr>
        <xdr:cNvPr id="278" name="TextBox 277">
          <a:extLst>
            <a:ext uri="{FF2B5EF4-FFF2-40B4-BE49-F238E27FC236}">
              <a16:creationId xmlns:a16="http://schemas.microsoft.com/office/drawing/2014/main" id="{00000000-0008-0000-0500-000016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10</xdr:row>
      <xdr:rowOff>300566</xdr:rowOff>
    </xdr:from>
    <xdr:ext cx="65" cy="172098"/>
    <xdr:sp macro="" textlink="">
      <xdr:nvSpPr>
        <xdr:cNvPr id="279" name="TextBox 278">
          <a:extLst>
            <a:ext uri="{FF2B5EF4-FFF2-40B4-BE49-F238E27FC236}">
              <a16:creationId xmlns:a16="http://schemas.microsoft.com/office/drawing/2014/main" id="{00000000-0008-0000-0500-000017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10</xdr:row>
      <xdr:rowOff>300566</xdr:rowOff>
    </xdr:from>
    <xdr:ext cx="65" cy="172098"/>
    <xdr:sp macro="" textlink="">
      <xdr:nvSpPr>
        <xdr:cNvPr id="280" name="TextBox 279">
          <a:extLst>
            <a:ext uri="{FF2B5EF4-FFF2-40B4-BE49-F238E27FC236}">
              <a16:creationId xmlns:a16="http://schemas.microsoft.com/office/drawing/2014/main" id="{00000000-0008-0000-0500-000018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10</xdr:row>
      <xdr:rowOff>300566</xdr:rowOff>
    </xdr:from>
    <xdr:ext cx="65" cy="172098"/>
    <xdr:sp macro="" textlink="">
      <xdr:nvSpPr>
        <xdr:cNvPr id="281" name="TextBox 280">
          <a:extLst>
            <a:ext uri="{FF2B5EF4-FFF2-40B4-BE49-F238E27FC236}">
              <a16:creationId xmlns:a16="http://schemas.microsoft.com/office/drawing/2014/main" id="{00000000-0008-0000-0500-000019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10</xdr:row>
      <xdr:rowOff>300566</xdr:rowOff>
    </xdr:from>
    <xdr:ext cx="65" cy="172098"/>
    <xdr:sp macro="" textlink="">
      <xdr:nvSpPr>
        <xdr:cNvPr id="282" name="TextBox 281">
          <a:extLst>
            <a:ext uri="{FF2B5EF4-FFF2-40B4-BE49-F238E27FC236}">
              <a16:creationId xmlns:a16="http://schemas.microsoft.com/office/drawing/2014/main" id="{00000000-0008-0000-0500-00001A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10</xdr:row>
      <xdr:rowOff>300566</xdr:rowOff>
    </xdr:from>
    <xdr:ext cx="65" cy="172098"/>
    <xdr:sp macro="" textlink="">
      <xdr:nvSpPr>
        <xdr:cNvPr id="283" name="TextBox 282">
          <a:extLst>
            <a:ext uri="{FF2B5EF4-FFF2-40B4-BE49-F238E27FC236}">
              <a16:creationId xmlns:a16="http://schemas.microsoft.com/office/drawing/2014/main" id="{00000000-0008-0000-0500-00001B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10</xdr:row>
      <xdr:rowOff>300566</xdr:rowOff>
    </xdr:from>
    <xdr:ext cx="65" cy="172098"/>
    <xdr:sp macro="" textlink="">
      <xdr:nvSpPr>
        <xdr:cNvPr id="284" name="TextBox 283">
          <a:extLst>
            <a:ext uri="{FF2B5EF4-FFF2-40B4-BE49-F238E27FC236}">
              <a16:creationId xmlns:a16="http://schemas.microsoft.com/office/drawing/2014/main" id="{00000000-0008-0000-0500-00001C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10</xdr:row>
      <xdr:rowOff>300566</xdr:rowOff>
    </xdr:from>
    <xdr:ext cx="65" cy="172098"/>
    <xdr:sp macro="" textlink="">
      <xdr:nvSpPr>
        <xdr:cNvPr id="285" name="TextBox 284">
          <a:extLst>
            <a:ext uri="{FF2B5EF4-FFF2-40B4-BE49-F238E27FC236}">
              <a16:creationId xmlns:a16="http://schemas.microsoft.com/office/drawing/2014/main" id="{00000000-0008-0000-0500-00001D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10</xdr:row>
      <xdr:rowOff>300566</xdr:rowOff>
    </xdr:from>
    <xdr:ext cx="65" cy="172098"/>
    <xdr:sp macro="" textlink="">
      <xdr:nvSpPr>
        <xdr:cNvPr id="286" name="TextBox 285">
          <a:extLst>
            <a:ext uri="{FF2B5EF4-FFF2-40B4-BE49-F238E27FC236}">
              <a16:creationId xmlns:a16="http://schemas.microsoft.com/office/drawing/2014/main" id="{00000000-0008-0000-0500-00001E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10</xdr:row>
      <xdr:rowOff>300566</xdr:rowOff>
    </xdr:from>
    <xdr:ext cx="65" cy="172098"/>
    <xdr:sp macro="" textlink="">
      <xdr:nvSpPr>
        <xdr:cNvPr id="287" name="TextBox 286">
          <a:extLst>
            <a:ext uri="{FF2B5EF4-FFF2-40B4-BE49-F238E27FC236}">
              <a16:creationId xmlns:a16="http://schemas.microsoft.com/office/drawing/2014/main" id="{00000000-0008-0000-0500-00001F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10</xdr:row>
      <xdr:rowOff>300566</xdr:rowOff>
    </xdr:from>
    <xdr:ext cx="65" cy="172098"/>
    <xdr:sp macro="" textlink="">
      <xdr:nvSpPr>
        <xdr:cNvPr id="288" name="TextBox 287">
          <a:extLst>
            <a:ext uri="{FF2B5EF4-FFF2-40B4-BE49-F238E27FC236}">
              <a16:creationId xmlns:a16="http://schemas.microsoft.com/office/drawing/2014/main" id="{00000000-0008-0000-0500-000020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10</xdr:row>
      <xdr:rowOff>300566</xdr:rowOff>
    </xdr:from>
    <xdr:ext cx="65" cy="172098"/>
    <xdr:sp macro="" textlink="">
      <xdr:nvSpPr>
        <xdr:cNvPr id="289" name="TextBox 288">
          <a:extLst>
            <a:ext uri="{FF2B5EF4-FFF2-40B4-BE49-F238E27FC236}">
              <a16:creationId xmlns:a16="http://schemas.microsoft.com/office/drawing/2014/main" id="{00000000-0008-0000-0500-000021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10</xdr:row>
      <xdr:rowOff>300566</xdr:rowOff>
    </xdr:from>
    <xdr:ext cx="65" cy="172098"/>
    <xdr:sp macro="" textlink="">
      <xdr:nvSpPr>
        <xdr:cNvPr id="290" name="TextBox 289">
          <a:extLst>
            <a:ext uri="{FF2B5EF4-FFF2-40B4-BE49-F238E27FC236}">
              <a16:creationId xmlns:a16="http://schemas.microsoft.com/office/drawing/2014/main" id="{00000000-0008-0000-0500-000022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10</xdr:row>
      <xdr:rowOff>300566</xdr:rowOff>
    </xdr:from>
    <xdr:ext cx="65" cy="172098"/>
    <xdr:sp macro="" textlink="">
      <xdr:nvSpPr>
        <xdr:cNvPr id="291" name="TextBox 290">
          <a:extLst>
            <a:ext uri="{FF2B5EF4-FFF2-40B4-BE49-F238E27FC236}">
              <a16:creationId xmlns:a16="http://schemas.microsoft.com/office/drawing/2014/main" id="{00000000-0008-0000-0500-000023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10</xdr:row>
      <xdr:rowOff>300566</xdr:rowOff>
    </xdr:from>
    <xdr:ext cx="65" cy="172098"/>
    <xdr:sp macro="" textlink="">
      <xdr:nvSpPr>
        <xdr:cNvPr id="292" name="TextBox 291">
          <a:extLst>
            <a:ext uri="{FF2B5EF4-FFF2-40B4-BE49-F238E27FC236}">
              <a16:creationId xmlns:a16="http://schemas.microsoft.com/office/drawing/2014/main" id="{00000000-0008-0000-0500-000024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10</xdr:row>
      <xdr:rowOff>300566</xdr:rowOff>
    </xdr:from>
    <xdr:ext cx="65" cy="172098"/>
    <xdr:sp macro="" textlink="">
      <xdr:nvSpPr>
        <xdr:cNvPr id="293" name="TextBox 292">
          <a:extLst>
            <a:ext uri="{FF2B5EF4-FFF2-40B4-BE49-F238E27FC236}">
              <a16:creationId xmlns:a16="http://schemas.microsoft.com/office/drawing/2014/main" id="{00000000-0008-0000-0500-000025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10</xdr:row>
      <xdr:rowOff>300566</xdr:rowOff>
    </xdr:from>
    <xdr:ext cx="65" cy="172098"/>
    <xdr:sp macro="" textlink="">
      <xdr:nvSpPr>
        <xdr:cNvPr id="294" name="TextBox 293">
          <a:extLst>
            <a:ext uri="{FF2B5EF4-FFF2-40B4-BE49-F238E27FC236}">
              <a16:creationId xmlns:a16="http://schemas.microsoft.com/office/drawing/2014/main" id="{00000000-0008-0000-0500-000026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10</xdr:row>
      <xdr:rowOff>300566</xdr:rowOff>
    </xdr:from>
    <xdr:ext cx="65" cy="172098"/>
    <xdr:sp macro="" textlink="">
      <xdr:nvSpPr>
        <xdr:cNvPr id="295" name="TextBox 294">
          <a:extLst>
            <a:ext uri="{FF2B5EF4-FFF2-40B4-BE49-F238E27FC236}">
              <a16:creationId xmlns:a16="http://schemas.microsoft.com/office/drawing/2014/main" id="{00000000-0008-0000-0500-000027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630766</xdr:colOff>
      <xdr:row>10</xdr:row>
      <xdr:rowOff>198966</xdr:rowOff>
    </xdr:from>
    <xdr:ext cx="65" cy="172098"/>
    <xdr:sp macro="" textlink="">
      <xdr:nvSpPr>
        <xdr:cNvPr id="296" name="TextBox 295">
          <a:extLst>
            <a:ext uri="{FF2B5EF4-FFF2-40B4-BE49-F238E27FC236}">
              <a16:creationId xmlns:a16="http://schemas.microsoft.com/office/drawing/2014/main" id="{00000000-0008-0000-0500-000028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10</xdr:row>
      <xdr:rowOff>300566</xdr:rowOff>
    </xdr:from>
    <xdr:ext cx="65" cy="172098"/>
    <xdr:sp macro="" textlink="">
      <xdr:nvSpPr>
        <xdr:cNvPr id="297" name="TextBox 296">
          <a:extLst>
            <a:ext uri="{FF2B5EF4-FFF2-40B4-BE49-F238E27FC236}">
              <a16:creationId xmlns:a16="http://schemas.microsoft.com/office/drawing/2014/main" id="{00000000-0008-0000-0500-000029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10</xdr:row>
      <xdr:rowOff>300566</xdr:rowOff>
    </xdr:from>
    <xdr:ext cx="65" cy="172098"/>
    <xdr:sp macro="" textlink="">
      <xdr:nvSpPr>
        <xdr:cNvPr id="298" name="TextBox 297">
          <a:extLst>
            <a:ext uri="{FF2B5EF4-FFF2-40B4-BE49-F238E27FC236}">
              <a16:creationId xmlns:a16="http://schemas.microsoft.com/office/drawing/2014/main" id="{00000000-0008-0000-0500-00002A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10</xdr:row>
      <xdr:rowOff>300566</xdr:rowOff>
    </xdr:from>
    <xdr:ext cx="65" cy="172098"/>
    <xdr:sp macro="" textlink="">
      <xdr:nvSpPr>
        <xdr:cNvPr id="299" name="TextBox 298">
          <a:extLst>
            <a:ext uri="{FF2B5EF4-FFF2-40B4-BE49-F238E27FC236}">
              <a16:creationId xmlns:a16="http://schemas.microsoft.com/office/drawing/2014/main" id="{00000000-0008-0000-0500-00002B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10</xdr:row>
      <xdr:rowOff>300566</xdr:rowOff>
    </xdr:from>
    <xdr:ext cx="65" cy="172098"/>
    <xdr:sp macro="" textlink="">
      <xdr:nvSpPr>
        <xdr:cNvPr id="300" name="TextBox 299">
          <a:extLst>
            <a:ext uri="{FF2B5EF4-FFF2-40B4-BE49-F238E27FC236}">
              <a16:creationId xmlns:a16="http://schemas.microsoft.com/office/drawing/2014/main" id="{00000000-0008-0000-0500-00002C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10</xdr:row>
      <xdr:rowOff>300566</xdr:rowOff>
    </xdr:from>
    <xdr:ext cx="65" cy="172098"/>
    <xdr:sp macro="" textlink="">
      <xdr:nvSpPr>
        <xdr:cNvPr id="301" name="TextBox 300">
          <a:extLst>
            <a:ext uri="{FF2B5EF4-FFF2-40B4-BE49-F238E27FC236}">
              <a16:creationId xmlns:a16="http://schemas.microsoft.com/office/drawing/2014/main" id="{00000000-0008-0000-0500-00002D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544750</xdr:colOff>
      <xdr:row>11</xdr:row>
      <xdr:rowOff>85952</xdr:rowOff>
    </xdr:from>
    <xdr:ext cx="172098" cy="65"/>
    <xdr:sp macro="" textlink="">
      <xdr:nvSpPr>
        <xdr:cNvPr id="302" name="TextBox 301">
          <a:extLst>
            <a:ext uri="{FF2B5EF4-FFF2-40B4-BE49-F238E27FC236}">
              <a16:creationId xmlns:a16="http://schemas.microsoft.com/office/drawing/2014/main" id="{00000000-0008-0000-0500-00002E010000}"/>
            </a:ext>
          </a:extLst>
        </xdr:cNvPr>
        <xdr:cNvSpPr txBox="1"/>
      </xdr:nvSpPr>
      <xdr:spPr>
        <a:xfrm rot="5193904">
          <a:off x="11054198" y="3251906"/>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10</xdr:row>
      <xdr:rowOff>300566</xdr:rowOff>
    </xdr:from>
    <xdr:ext cx="65" cy="172098"/>
    <xdr:sp macro="" textlink="">
      <xdr:nvSpPr>
        <xdr:cNvPr id="303" name="TextBox 302">
          <a:extLst>
            <a:ext uri="{FF2B5EF4-FFF2-40B4-BE49-F238E27FC236}">
              <a16:creationId xmlns:a16="http://schemas.microsoft.com/office/drawing/2014/main" id="{00000000-0008-0000-0500-00002F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10</xdr:row>
      <xdr:rowOff>300566</xdr:rowOff>
    </xdr:from>
    <xdr:ext cx="65" cy="172098"/>
    <xdr:sp macro="" textlink="">
      <xdr:nvSpPr>
        <xdr:cNvPr id="304" name="TextBox 303">
          <a:extLst>
            <a:ext uri="{FF2B5EF4-FFF2-40B4-BE49-F238E27FC236}">
              <a16:creationId xmlns:a16="http://schemas.microsoft.com/office/drawing/2014/main" id="{00000000-0008-0000-0500-000030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10</xdr:row>
      <xdr:rowOff>300566</xdr:rowOff>
    </xdr:from>
    <xdr:ext cx="65" cy="172098"/>
    <xdr:sp macro="" textlink="">
      <xdr:nvSpPr>
        <xdr:cNvPr id="305" name="TextBox 304">
          <a:extLst>
            <a:ext uri="{FF2B5EF4-FFF2-40B4-BE49-F238E27FC236}">
              <a16:creationId xmlns:a16="http://schemas.microsoft.com/office/drawing/2014/main" id="{00000000-0008-0000-0500-000031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10</xdr:row>
      <xdr:rowOff>300566</xdr:rowOff>
    </xdr:from>
    <xdr:ext cx="65" cy="172098"/>
    <xdr:sp macro="" textlink="">
      <xdr:nvSpPr>
        <xdr:cNvPr id="306" name="TextBox 305">
          <a:extLst>
            <a:ext uri="{FF2B5EF4-FFF2-40B4-BE49-F238E27FC236}">
              <a16:creationId xmlns:a16="http://schemas.microsoft.com/office/drawing/2014/main" id="{00000000-0008-0000-0500-000032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10</xdr:row>
      <xdr:rowOff>300566</xdr:rowOff>
    </xdr:from>
    <xdr:ext cx="65" cy="172098"/>
    <xdr:sp macro="" textlink="">
      <xdr:nvSpPr>
        <xdr:cNvPr id="307" name="TextBox 306">
          <a:extLst>
            <a:ext uri="{FF2B5EF4-FFF2-40B4-BE49-F238E27FC236}">
              <a16:creationId xmlns:a16="http://schemas.microsoft.com/office/drawing/2014/main" id="{00000000-0008-0000-0500-000033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10</xdr:row>
      <xdr:rowOff>300566</xdr:rowOff>
    </xdr:from>
    <xdr:ext cx="65" cy="172098"/>
    <xdr:sp macro="" textlink="">
      <xdr:nvSpPr>
        <xdr:cNvPr id="308" name="TextBox 307">
          <a:extLst>
            <a:ext uri="{FF2B5EF4-FFF2-40B4-BE49-F238E27FC236}">
              <a16:creationId xmlns:a16="http://schemas.microsoft.com/office/drawing/2014/main" id="{00000000-0008-0000-0500-000034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10</xdr:row>
      <xdr:rowOff>300566</xdr:rowOff>
    </xdr:from>
    <xdr:ext cx="65" cy="172098"/>
    <xdr:sp macro="" textlink="">
      <xdr:nvSpPr>
        <xdr:cNvPr id="309" name="TextBox 308">
          <a:extLst>
            <a:ext uri="{FF2B5EF4-FFF2-40B4-BE49-F238E27FC236}">
              <a16:creationId xmlns:a16="http://schemas.microsoft.com/office/drawing/2014/main" id="{00000000-0008-0000-0500-000035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10</xdr:row>
      <xdr:rowOff>300566</xdr:rowOff>
    </xdr:from>
    <xdr:ext cx="65" cy="172098"/>
    <xdr:sp macro="" textlink="">
      <xdr:nvSpPr>
        <xdr:cNvPr id="310" name="TextBox 309">
          <a:extLst>
            <a:ext uri="{FF2B5EF4-FFF2-40B4-BE49-F238E27FC236}">
              <a16:creationId xmlns:a16="http://schemas.microsoft.com/office/drawing/2014/main" id="{00000000-0008-0000-0500-000036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10</xdr:row>
      <xdr:rowOff>300566</xdr:rowOff>
    </xdr:from>
    <xdr:ext cx="65" cy="172098"/>
    <xdr:sp macro="" textlink="">
      <xdr:nvSpPr>
        <xdr:cNvPr id="311" name="TextBox 310">
          <a:extLst>
            <a:ext uri="{FF2B5EF4-FFF2-40B4-BE49-F238E27FC236}">
              <a16:creationId xmlns:a16="http://schemas.microsoft.com/office/drawing/2014/main" id="{00000000-0008-0000-0500-000037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10</xdr:row>
      <xdr:rowOff>300566</xdr:rowOff>
    </xdr:from>
    <xdr:ext cx="65" cy="172098"/>
    <xdr:sp macro="" textlink="">
      <xdr:nvSpPr>
        <xdr:cNvPr id="312" name="TextBox 311">
          <a:extLst>
            <a:ext uri="{FF2B5EF4-FFF2-40B4-BE49-F238E27FC236}">
              <a16:creationId xmlns:a16="http://schemas.microsoft.com/office/drawing/2014/main" id="{00000000-0008-0000-0500-000038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10</xdr:row>
      <xdr:rowOff>300566</xdr:rowOff>
    </xdr:from>
    <xdr:ext cx="65" cy="172098"/>
    <xdr:sp macro="" textlink="">
      <xdr:nvSpPr>
        <xdr:cNvPr id="313" name="TextBox 312">
          <a:extLst>
            <a:ext uri="{FF2B5EF4-FFF2-40B4-BE49-F238E27FC236}">
              <a16:creationId xmlns:a16="http://schemas.microsoft.com/office/drawing/2014/main" id="{00000000-0008-0000-0500-000039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10</xdr:row>
      <xdr:rowOff>300566</xdr:rowOff>
    </xdr:from>
    <xdr:ext cx="65" cy="172098"/>
    <xdr:sp macro="" textlink="">
      <xdr:nvSpPr>
        <xdr:cNvPr id="314" name="TextBox 313">
          <a:extLst>
            <a:ext uri="{FF2B5EF4-FFF2-40B4-BE49-F238E27FC236}">
              <a16:creationId xmlns:a16="http://schemas.microsoft.com/office/drawing/2014/main" id="{00000000-0008-0000-0500-00003A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13</xdr:col>
      <xdr:colOff>732366</xdr:colOff>
      <xdr:row>10</xdr:row>
      <xdr:rowOff>300566</xdr:rowOff>
    </xdr:from>
    <xdr:ext cx="65" cy="172098"/>
    <xdr:sp macro="" textlink="">
      <xdr:nvSpPr>
        <xdr:cNvPr id="315" name="TextBox 314">
          <a:extLst>
            <a:ext uri="{FF2B5EF4-FFF2-40B4-BE49-F238E27FC236}">
              <a16:creationId xmlns:a16="http://schemas.microsoft.com/office/drawing/2014/main" id="{00000000-0008-0000-0500-00003B010000}"/>
            </a:ext>
          </a:extLst>
        </xdr:cNvPr>
        <xdr:cNvSpPr txBox="1"/>
      </xdr:nvSpPr>
      <xdr:spPr>
        <a:xfrm>
          <a:off x="11700548"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13</xdr:col>
      <xdr:colOff>732366</xdr:colOff>
      <xdr:row>10</xdr:row>
      <xdr:rowOff>300566</xdr:rowOff>
    </xdr:from>
    <xdr:ext cx="65" cy="172098"/>
    <xdr:sp macro="" textlink="">
      <xdr:nvSpPr>
        <xdr:cNvPr id="316" name="TextBox 315">
          <a:extLst>
            <a:ext uri="{FF2B5EF4-FFF2-40B4-BE49-F238E27FC236}">
              <a16:creationId xmlns:a16="http://schemas.microsoft.com/office/drawing/2014/main" id="{00000000-0008-0000-0500-00003C010000}"/>
            </a:ext>
          </a:extLst>
        </xdr:cNvPr>
        <xdr:cNvSpPr txBox="1"/>
      </xdr:nvSpPr>
      <xdr:spPr>
        <a:xfrm>
          <a:off x="11700548"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13</xdr:col>
      <xdr:colOff>732366</xdr:colOff>
      <xdr:row>10</xdr:row>
      <xdr:rowOff>300566</xdr:rowOff>
    </xdr:from>
    <xdr:ext cx="65" cy="172098"/>
    <xdr:sp macro="" textlink="">
      <xdr:nvSpPr>
        <xdr:cNvPr id="317" name="TextBox 316">
          <a:extLst>
            <a:ext uri="{FF2B5EF4-FFF2-40B4-BE49-F238E27FC236}">
              <a16:creationId xmlns:a16="http://schemas.microsoft.com/office/drawing/2014/main" id="{00000000-0008-0000-0500-00003D010000}"/>
            </a:ext>
          </a:extLst>
        </xdr:cNvPr>
        <xdr:cNvSpPr txBox="1"/>
      </xdr:nvSpPr>
      <xdr:spPr>
        <a:xfrm>
          <a:off x="11700548"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10</xdr:row>
      <xdr:rowOff>300566</xdr:rowOff>
    </xdr:from>
    <xdr:ext cx="65" cy="172098"/>
    <xdr:sp macro="" textlink="">
      <xdr:nvSpPr>
        <xdr:cNvPr id="318" name="TextBox 317">
          <a:extLst>
            <a:ext uri="{FF2B5EF4-FFF2-40B4-BE49-F238E27FC236}">
              <a16:creationId xmlns:a16="http://schemas.microsoft.com/office/drawing/2014/main" id="{00000000-0008-0000-0500-00003E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10</xdr:row>
      <xdr:rowOff>300566</xdr:rowOff>
    </xdr:from>
    <xdr:ext cx="65" cy="172098"/>
    <xdr:sp macro="" textlink="">
      <xdr:nvSpPr>
        <xdr:cNvPr id="319" name="TextBox 318">
          <a:extLst>
            <a:ext uri="{FF2B5EF4-FFF2-40B4-BE49-F238E27FC236}">
              <a16:creationId xmlns:a16="http://schemas.microsoft.com/office/drawing/2014/main" id="{00000000-0008-0000-0500-00003F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10</xdr:row>
      <xdr:rowOff>300566</xdr:rowOff>
    </xdr:from>
    <xdr:ext cx="65" cy="172098"/>
    <xdr:sp macro="" textlink="">
      <xdr:nvSpPr>
        <xdr:cNvPr id="320" name="TextBox 319">
          <a:extLst>
            <a:ext uri="{FF2B5EF4-FFF2-40B4-BE49-F238E27FC236}">
              <a16:creationId xmlns:a16="http://schemas.microsoft.com/office/drawing/2014/main" id="{00000000-0008-0000-0500-000040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10</xdr:row>
      <xdr:rowOff>300566</xdr:rowOff>
    </xdr:from>
    <xdr:ext cx="65" cy="172098"/>
    <xdr:sp macro="" textlink="">
      <xdr:nvSpPr>
        <xdr:cNvPr id="321" name="TextBox 320">
          <a:extLst>
            <a:ext uri="{FF2B5EF4-FFF2-40B4-BE49-F238E27FC236}">
              <a16:creationId xmlns:a16="http://schemas.microsoft.com/office/drawing/2014/main" id="{00000000-0008-0000-0500-000041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10</xdr:row>
      <xdr:rowOff>300566</xdr:rowOff>
    </xdr:from>
    <xdr:ext cx="65" cy="172098"/>
    <xdr:sp macro="" textlink="">
      <xdr:nvSpPr>
        <xdr:cNvPr id="322" name="TextBox 321">
          <a:extLst>
            <a:ext uri="{FF2B5EF4-FFF2-40B4-BE49-F238E27FC236}">
              <a16:creationId xmlns:a16="http://schemas.microsoft.com/office/drawing/2014/main" id="{00000000-0008-0000-0500-000042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10</xdr:row>
      <xdr:rowOff>300566</xdr:rowOff>
    </xdr:from>
    <xdr:ext cx="65" cy="172098"/>
    <xdr:sp macro="" textlink="">
      <xdr:nvSpPr>
        <xdr:cNvPr id="323" name="TextBox 322">
          <a:extLst>
            <a:ext uri="{FF2B5EF4-FFF2-40B4-BE49-F238E27FC236}">
              <a16:creationId xmlns:a16="http://schemas.microsoft.com/office/drawing/2014/main" id="{00000000-0008-0000-0500-000043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10</xdr:row>
      <xdr:rowOff>300566</xdr:rowOff>
    </xdr:from>
    <xdr:ext cx="65" cy="172098"/>
    <xdr:sp macro="" textlink="">
      <xdr:nvSpPr>
        <xdr:cNvPr id="324" name="TextBox 323">
          <a:extLst>
            <a:ext uri="{FF2B5EF4-FFF2-40B4-BE49-F238E27FC236}">
              <a16:creationId xmlns:a16="http://schemas.microsoft.com/office/drawing/2014/main" id="{00000000-0008-0000-0500-000044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10</xdr:row>
      <xdr:rowOff>300566</xdr:rowOff>
    </xdr:from>
    <xdr:ext cx="65" cy="172098"/>
    <xdr:sp macro="" textlink="">
      <xdr:nvSpPr>
        <xdr:cNvPr id="325" name="TextBox 324">
          <a:extLst>
            <a:ext uri="{FF2B5EF4-FFF2-40B4-BE49-F238E27FC236}">
              <a16:creationId xmlns:a16="http://schemas.microsoft.com/office/drawing/2014/main" id="{00000000-0008-0000-0500-000045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10</xdr:row>
      <xdr:rowOff>300566</xdr:rowOff>
    </xdr:from>
    <xdr:ext cx="65" cy="172098"/>
    <xdr:sp macro="" textlink="">
      <xdr:nvSpPr>
        <xdr:cNvPr id="326" name="TextBox 325">
          <a:extLst>
            <a:ext uri="{FF2B5EF4-FFF2-40B4-BE49-F238E27FC236}">
              <a16:creationId xmlns:a16="http://schemas.microsoft.com/office/drawing/2014/main" id="{00000000-0008-0000-0500-000046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10</xdr:row>
      <xdr:rowOff>300566</xdr:rowOff>
    </xdr:from>
    <xdr:ext cx="65" cy="172098"/>
    <xdr:sp macro="" textlink="">
      <xdr:nvSpPr>
        <xdr:cNvPr id="327" name="TextBox 326">
          <a:extLst>
            <a:ext uri="{FF2B5EF4-FFF2-40B4-BE49-F238E27FC236}">
              <a16:creationId xmlns:a16="http://schemas.microsoft.com/office/drawing/2014/main" id="{00000000-0008-0000-0500-000047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10</xdr:row>
      <xdr:rowOff>300566</xdr:rowOff>
    </xdr:from>
    <xdr:ext cx="65" cy="172098"/>
    <xdr:sp macro="" textlink="">
      <xdr:nvSpPr>
        <xdr:cNvPr id="328" name="TextBox 327">
          <a:extLst>
            <a:ext uri="{FF2B5EF4-FFF2-40B4-BE49-F238E27FC236}">
              <a16:creationId xmlns:a16="http://schemas.microsoft.com/office/drawing/2014/main" id="{00000000-0008-0000-0500-000048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10</xdr:row>
      <xdr:rowOff>300566</xdr:rowOff>
    </xdr:from>
    <xdr:ext cx="65" cy="172098"/>
    <xdr:sp macro="" textlink="">
      <xdr:nvSpPr>
        <xdr:cNvPr id="329" name="TextBox 328">
          <a:extLst>
            <a:ext uri="{FF2B5EF4-FFF2-40B4-BE49-F238E27FC236}">
              <a16:creationId xmlns:a16="http://schemas.microsoft.com/office/drawing/2014/main" id="{00000000-0008-0000-0500-000049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10</xdr:row>
      <xdr:rowOff>300566</xdr:rowOff>
    </xdr:from>
    <xdr:ext cx="65" cy="172098"/>
    <xdr:sp macro="" textlink="">
      <xdr:nvSpPr>
        <xdr:cNvPr id="330" name="TextBox 329">
          <a:extLst>
            <a:ext uri="{FF2B5EF4-FFF2-40B4-BE49-F238E27FC236}">
              <a16:creationId xmlns:a16="http://schemas.microsoft.com/office/drawing/2014/main" id="{00000000-0008-0000-0500-00004A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10</xdr:row>
      <xdr:rowOff>300566</xdr:rowOff>
    </xdr:from>
    <xdr:ext cx="65" cy="172098"/>
    <xdr:sp macro="" textlink="">
      <xdr:nvSpPr>
        <xdr:cNvPr id="331" name="TextBox 330">
          <a:extLst>
            <a:ext uri="{FF2B5EF4-FFF2-40B4-BE49-F238E27FC236}">
              <a16:creationId xmlns:a16="http://schemas.microsoft.com/office/drawing/2014/main" id="{00000000-0008-0000-0500-00004B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10</xdr:row>
      <xdr:rowOff>300566</xdr:rowOff>
    </xdr:from>
    <xdr:ext cx="65" cy="172098"/>
    <xdr:sp macro="" textlink="">
      <xdr:nvSpPr>
        <xdr:cNvPr id="332" name="TextBox 331">
          <a:extLst>
            <a:ext uri="{FF2B5EF4-FFF2-40B4-BE49-F238E27FC236}">
              <a16:creationId xmlns:a16="http://schemas.microsoft.com/office/drawing/2014/main" id="{00000000-0008-0000-0500-00004C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10</xdr:row>
      <xdr:rowOff>300566</xdr:rowOff>
    </xdr:from>
    <xdr:ext cx="65" cy="172098"/>
    <xdr:sp macro="" textlink="">
      <xdr:nvSpPr>
        <xdr:cNvPr id="333" name="TextBox 332">
          <a:extLst>
            <a:ext uri="{FF2B5EF4-FFF2-40B4-BE49-F238E27FC236}">
              <a16:creationId xmlns:a16="http://schemas.microsoft.com/office/drawing/2014/main" id="{00000000-0008-0000-0500-00004D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10</xdr:row>
      <xdr:rowOff>300566</xdr:rowOff>
    </xdr:from>
    <xdr:ext cx="65" cy="172098"/>
    <xdr:sp macro="" textlink="">
      <xdr:nvSpPr>
        <xdr:cNvPr id="334" name="TextBox 333">
          <a:extLst>
            <a:ext uri="{FF2B5EF4-FFF2-40B4-BE49-F238E27FC236}">
              <a16:creationId xmlns:a16="http://schemas.microsoft.com/office/drawing/2014/main" id="{00000000-0008-0000-0500-00004E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10</xdr:row>
      <xdr:rowOff>300566</xdr:rowOff>
    </xdr:from>
    <xdr:ext cx="65" cy="172098"/>
    <xdr:sp macro="" textlink="">
      <xdr:nvSpPr>
        <xdr:cNvPr id="335" name="TextBox 334">
          <a:extLst>
            <a:ext uri="{FF2B5EF4-FFF2-40B4-BE49-F238E27FC236}">
              <a16:creationId xmlns:a16="http://schemas.microsoft.com/office/drawing/2014/main" id="{00000000-0008-0000-0500-00004F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10</xdr:row>
      <xdr:rowOff>300566</xdr:rowOff>
    </xdr:from>
    <xdr:ext cx="65" cy="172098"/>
    <xdr:sp macro="" textlink="">
      <xdr:nvSpPr>
        <xdr:cNvPr id="336" name="TextBox 335">
          <a:extLst>
            <a:ext uri="{FF2B5EF4-FFF2-40B4-BE49-F238E27FC236}">
              <a16:creationId xmlns:a16="http://schemas.microsoft.com/office/drawing/2014/main" id="{00000000-0008-0000-0500-000050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10</xdr:row>
      <xdr:rowOff>300566</xdr:rowOff>
    </xdr:from>
    <xdr:ext cx="65" cy="172098"/>
    <xdr:sp macro="" textlink="">
      <xdr:nvSpPr>
        <xdr:cNvPr id="337" name="TextBox 336">
          <a:extLst>
            <a:ext uri="{FF2B5EF4-FFF2-40B4-BE49-F238E27FC236}">
              <a16:creationId xmlns:a16="http://schemas.microsoft.com/office/drawing/2014/main" id="{00000000-0008-0000-0500-000051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10</xdr:row>
      <xdr:rowOff>300566</xdr:rowOff>
    </xdr:from>
    <xdr:ext cx="65" cy="172098"/>
    <xdr:sp macro="" textlink="">
      <xdr:nvSpPr>
        <xdr:cNvPr id="338" name="TextBox 337">
          <a:extLst>
            <a:ext uri="{FF2B5EF4-FFF2-40B4-BE49-F238E27FC236}">
              <a16:creationId xmlns:a16="http://schemas.microsoft.com/office/drawing/2014/main" id="{00000000-0008-0000-0500-000052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10</xdr:row>
      <xdr:rowOff>300566</xdr:rowOff>
    </xdr:from>
    <xdr:ext cx="65" cy="172098"/>
    <xdr:sp macro="" textlink="">
      <xdr:nvSpPr>
        <xdr:cNvPr id="339" name="TextBox 338">
          <a:extLst>
            <a:ext uri="{FF2B5EF4-FFF2-40B4-BE49-F238E27FC236}">
              <a16:creationId xmlns:a16="http://schemas.microsoft.com/office/drawing/2014/main" id="{00000000-0008-0000-0500-000053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10</xdr:row>
      <xdr:rowOff>300566</xdr:rowOff>
    </xdr:from>
    <xdr:ext cx="65" cy="172098"/>
    <xdr:sp macro="" textlink="">
      <xdr:nvSpPr>
        <xdr:cNvPr id="340" name="TextBox 339">
          <a:extLst>
            <a:ext uri="{FF2B5EF4-FFF2-40B4-BE49-F238E27FC236}">
              <a16:creationId xmlns:a16="http://schemas.microsoft.com/office/drawing/2014/main" id="{00000000-0008-0000-0500-000054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10</xdr:row>
      <xdr:rowOff>300566</xdr:rowOff>
    </xdr:from>
    <xdr:ext cx="65" cy="172098"/>
    <xdr:sp macro="" textlink="">
      <xdr:nvSpPr>
        <xdr:cNvPr id="341" name="TextBox 340">
          <a:extLst>
            <a:ext uri="{FF2B5EF4-FFF2-40B4-BE49-F238E27FC236}">
              <a16:creationId xmlns:a16="http://schemas.microsoft.com/office/drawing/2014/main" id="{00000000-0008-0000-0500-000055010000}"/>
            </a:ext>
          </a:extLst>
        </xdr:cNvPr>
        <xdr:cNvSpPr txBox="1"/>
      </xdr:nvSpPr>
      <xdr:spPr>
        <a:xfrm>
          <a:off x="10968182" y="324889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342" name="TextBox 341">
          <a:extLst>
            <a:ext uri="{FF2B5EF4-FFF2-40B4-BE49-F238E27FC236}">
              <a16:creationId xmlns:a16="http://schemas.microsoft.com/office/drawing/2014/main" id="{00000000-0008-0000-0500-000056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343" name="TextBox 342">
          <a:extLst>
            <a:ext uri="{FF2B5EF4-FFF2-40B4-BE49-F238E27FC236}">
              <a16:creationId xmlns:a16="http://schemas.microsoft.com/office/drawing/2014/main" id="{00000000-0008-0000-0500-000057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344" name="TextBox 343">
          <a:extLst>
            <a:ext uri="{FF2B5EF4-FFF2-40B4-BE49-F238E27FC236}">
              <a16:creationId xmlns:a16="http://schemas.microsoft.com/office/drawing/2014/main" id="{00000000-0008-0000-0500-000058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345" name="TextBox 344">
          <a:extLst>
            <a:ext uri="{FF2B5EF4-FFF2-40B4-BE49-F238E27FC236}">
              <a16:creationId xmlns:a16="http://schemas.microsoft.com/office/drawing/2014/main" id="{00000000-0008-0000-0500-000059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346" name="TextBox 345">
          <a:extLst>
            <a:ext uri="{FF2B5EF4-FFF2-40B4-BE49-F238E27FC236}">
              <a16:creationId xmlns:a16="http://schemas.microsoft.com/office/drawing/2014/main" id="{00000000-0008-0000-0500-00005A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347" name="TextBox 346">
          <a:extLst>
            <a:ext uri="{FF2B5EF4-FFF2-40B4-BE49-F238E27FC236}">
              <a16:creationId xmlns:a16="http://schemas.microsoft.com/office/drawing/2014/main" id="{00000000-0008-0000-0500-00005B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348" name="TextBox 347">
          <a:extLst>
            <a:ext uri="{FF2B5EF4-FFF2-40B4-BE49-F238E27FC236}">
              <a16:creationId xmlns:a16="http://schemas.microsoft.com/office/drawing/2014/main" id="{00000000-0008-0000-0500-00005C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349" name="TextBox 348">
          <a:extLst>
            <a:ext uri="{FF2B5EF4-FFF2-40B4-BE49-F238E27FC236}">
              <a16:creationId xmlns:a16="http://schemas.microsoft.com/office/drawing/2014/main" id="{00000000-0008-0000-0500-00005D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350" name="TextBox 349">
          <a:extLst>
            <a:ext uri="{FF2B5EF4-FFF2-40B4-BE49-F238E27FC236}">
              <a16:creationId xmlns:a16="http://schemas.microsoft.com/office/drawing/2014/main" id="{00000000-0008-0000-0500-00005E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351" name="TextBox 350">
          <a:extLst>
            <a:ext uri="{FF2B5EF4-FFF2-40B4-BE49-F238E27FC236}">
              <a16:creationId xmlns:a16="http://schemas.microsoft.com/office/drawing/2014/main" id="{00000000-0008-0000-0500-00005F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352" name="TextBox 351">
          <a:extLst>
            <a:ext uri="{FF2B5EF4-FFF2-40B4-BE49-F238E27FC236}">
              <a16:creationId xmlns:a16="http://schemas.microsoft.com/office/drawing/2014/main" id="{00000000-0008-0000-0500-000060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353" name="TextBox 352">
          <a:extLst>
            <a:ext uri="{FF2B5EF4-FFF2-40B4-BE49-F238E27FC236}">
              <a16:creationId xmlns:a16="http://schemas.microsoft.com/office/drawing/2014/main" id="{00000000-0008-0000-0500-000061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354" name="TextBox 353">
          <a:extLst>
            <a:ext uri="{FF2B5EF4-FFF2-40B4-BE49-F238E27FC236}">
              <a16:creationId xmlns:a16="http://schemas.microsoft.com/office/drawing/2014/main" id="{00000000-0008-0000-0500-000062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355" name="TextBox 354">
          <a:extLst>
            <a:ext uri="{FF2B5EF4-FFF2-40B4-BE49-F238E27FC236}">
              <a16:creationId xmlns:a16="http://schemas.microsoft.com/office/drawing/2014/main" id="{00000000-0008-0000-0500-000063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356" name="TextBox 355">
          <a:extLst>
            <a:ext uri="{FF2B5EF4-FFF2-40B4-BE49-F238E27FC236}">
              <a16:creationId xmlns:a16="http://schemas.microsoft.com/office/drawing/2014/main" id="{00000000-0008-0000-0500-000064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357" name="TextBox 356">
          <a:extLst>
            <a:ext uri="{FF2B5EF4-FFF2-40B4-BE49-F238E27FC236}">
              <a16:creationId xmlns:a16="http://schemas.microsoft.com/office/drawing/2014/main" id="{00000000-0008-0000-0500-000065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358" name="TextBox 357">
          <a:extLst>
            <a:ext uri="{FF2B5EF4-FFF2-40B4-BE49-F238E27FC236}">
              <a16:creationId xmlns:a16="http://schemas.microsoft.com/office/drawing/2014/main" id="{00000000-0008-0000-0500-000066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359" name="TextBox 358">
          <a:extLst>
            <a:ext uri="{FF2B5EF4-FFF2-40B4-BE49-F238E27FC236}">
              <a16:creationId xmlns:a16="http://schemas.microsoft.com/office/drawing/2014/main" id="{00000000-0008-0000-0500-000067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360" name="TextBox 359">
          <a:extLst>
            <a:ext uri="{FF2B5EF4-FFF2-40B4-BE49-F238E27FC236}">
              <a16:creationId xmlns:a16="http://schemas.microsoft.com/office/drawing/2014/main" id="{00000000-0008-0000-0500-000068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361" name="TextBox 360">
          <a:extLst>
            <a:ext uri="{FF2B5EF4-FFF2-40B4-BE49-F238E27FC236}">
              <a16:creationId xmlns:a16="http://schemas.microsoft.com/office/drawing/2014/main" id="{00000000-0008-0000-0500-000069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362" name="TextBox 361">
          <a:extLst>
            <a:ext uri="{FF2B5EF4-FFF2-40B4-BE49-F238E27FC236}">
              <a16:creationId xmlns:a16="http://schemas.microsoft.com/office/drawing/2014/main" id="{00000000-0008-0000-0500-00006A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363" name="TextBox 362">
          <a:extLst>
            <a:ext uri="{FF2B5EF4-FFF2-40B4-BE49-F238E27FC236}">
              <a16:creationId xmlns:a16="http://schemas.microsoft.com/office/drawing/2014/main" id="{00000000-0008-0000-0500-00006B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364" name="TextBox 363">
          <a:extLst>
            <a:ext uri="{FF2B5EF4-FFF2-40B4-BE49-F238E27FC236}">
              <a16:creationId xmlns:a16="http://schemas.microsoft.com/office/drawing/2014/main" id="{00000000-0008-0000-0500-00006C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365" name="TextBox 364">
          <a:extLst>
            <a:ext uri="{FF2B5EF4-FFF2-40B4-BE49-F238E27FC236}">
              <a16:creationId xmlns:a16="http://schemas.microsoft.com/office/drawing/2014/main" id="{00000000-0008-0000-0500-00006D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366" name="TextBox 365">
          <a:extLst>
            <a:ext uri="{FF2B5EF4-FFF2-40B4-BE49-F238E27FC236}">
              <a16:creationId xmlns:a16="http://schemas.microsoft.com/office/drawing/2014/main" id="{00000000-0008-0000-0500-00006E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367" name="TextBox 366">
          <a:extLst>
            <a:ext uri="{FF2B5EF4-FFF2-40B4-BE49-F238E27FC236}">
              <a16:creationId xmlns:a16="http://schemas.microsoft.com/office/drawing/2014/main" id="{00000000-0008-0000-0500-00006F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368" name="TextBox 367">
          <a:extLst>
            <a:ext uri="{FF2B5EF4-FFF2-40B4-BE49-F238E27FC236}">
              <a16:creationId xmlns:a16="http://schemas.microsoft.com/office/drawing/2014/main" id="{00000000-0008-0000-0500-000070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369" name="TextBox 368">
          <a:extLst>
            <a:ext uri="{FF2B5EF4-FFF2-40B4-BE49-F238E27FC236}">
              <a16:creationId xmlns:a16="http://schemas.microsoft.com/office/drawing/2014/main" id="{00000000-0008-0000-0500-000071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370" name="TextBox 369">
          <a:extLst>
            <a:ext uri="{FF2B5EF4-FFF2-40B4-BE49-F238E27FC236}">
              <a16:creationId xmlns:a16="http://schemas.microsoft.com/office/drawing/2014/main" id="{00000000-0008-0000-0500-000072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371" name="TextBox 370">
          <a:extLst>
            <a:ext uri="{FF2B5EF4-FFF2-40B4-BE49-F238E27FC236}">
              <a16:creationId xmlns:a16="http://schemas.microsoft.com/office/drawing/2014/main" id="{00000000-0008-0000-0500-000073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372" name="TextBox 371">
          <a:extLst>
            <a:ext uri="{FF2B5EF4-FFF2-40B4-BE49-F238E27FC236}">
              <a16:creationId xmlns:a16="http://schemas.microsoft.com/office/drawing/2014/main" id="{00000000-0008-0000-0500-000074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373" name="TextBox 372">
          <a:extLst>
            <a:ext uri="{FF2B5EF4-FFF2-40B4-BE49-F238E27FC236}">
              <a16:creationId xmlns:a16="http://schemas.microsoft.com/office/drawing/2014/main" id="{00000000-0008-0000-0500-000075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13</xdr:col>
      <xdr:colOff>732366</xdr:colOff>
      <xdr:row>12</xdr:row>
      <xdr:rowOff>300566</xdr:rowOff>
    </xdr:from>
    <xdr:ext cx="65" cy="172098"/>
    <xdr:sp macro="" textlink="">
      <xdr:nvSpPr>
        <xdr:cNvPr id="374" name="TextBox 373">
          <a:extLst>
            <a:ext uri="{FF2B5EF4-FFF2-40B4-BE49-F238E27FC236}">
              <a16:creationId xmlns:a16="http://schemas.microsoft.com/office/drawing/2014/main" id="{00000000-0008-0000-0500-000076010000}"/>
            </a:ext>
          </a:extLst>
        </xdr:cNvPr>
        <xdr:cNvSpPr txBox="1"/>
      </xdr:nvSpPr>
      <xdr:spPr>
        <a:xfrm>
          <a:off x="11700548"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13</xdr:col>
      <xdr:colOff>732366</xdr:colOff>
      <xdr:row>12</xdr:row>
      <xdr:rowOff>300566</xdr:rowOff>
    </xdr:from>
    <xdr:ext cx="65" cy="172098"/>
    <xdr:sp macro="" textlink="">
      <xdr:nvSpPr>
        <xdr:cNvPr id="375" name="TextBox 374">
          <a:extLst>
            <a:ext uri="{FF2B5EF4-FFF2-40B4-BE49-F238E27FC236}">
              <a16:creationId xmlns:a16="http://schemas.microsoft.com/office/drawing/2014/main" id="{00000000-0008-0000-0500-000077010000}"/>
            </a:ext>
          </a:extLst>
        </xdr:cNvPr>
        <xdr:cNvSpPr txBox="1"/>
      </xdr:nvSpPr>
      <xdr:spPr>
        <a:xfrm>
          <a:off x="11700548"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376" name="TextBox 375">
          <a:extLst>
            <a:ext uri="{FF2B5EF4-FFF2-40B4-BE49-F238E27FC236}">
              <a16:creationId xmlns:a16="http://schemas.microsoft.com/office/drawing/2014/main" id="{00000000-0008-0000-0500-000078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377" name="TextBox 376">
          <a:extLst>
            <a:ext uri="{FF2B5EF4-FFF2-40B4-BE49-F238E27FC236}">
              <a16:creationId xmlns:a16="http://schemas.microsoft.com/office/drawing/2014/main" id="{00000000-0008-0000-0500-000079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378" name="TextBox 377">
          <a:extLst>
            <a:ext uri="{FF2B5EF4-FFF2-40B4-BE49-F238E27FC236}">
              <a16:creationId xmlns:a16="http://schemas.microsoft.com/office/drawing/2014/main" id="{00000000-0008-0000-0500-00007A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379" name="TextBox 378">
          <a:extLst>
            <a:ext uri="{FF2B5EF4-FFF2-40B4-BE49-F238E27FC236}">
              <a16:creationId xmlns:a16="http://schemas.microsoft.com/office/drawing/2014/main" id="{00000000-0008-0000-0500-00007B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380" name="TextBox 379">
          <a:extLst>
            <a:ext uri="{FF2B5EF4-FFF2-40B4-BE49-F238E27FC236}">
              <a16:creationId xmlns:a16="http://schemas.microsoft.com/office/drawing/2014/main" id="{00000000-0008-0000-0500-00007C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381" name="TextBox 380">
          <a:extLst>
            <a:ext uri="{FF2B5EF4-FFF2-40B4-BE49-F238E27FC236}">
              <a16:creationId xmlns:a16="http://schemas.microsoft.com/office/drawing/2014/main" id="{00000000-0008-0000-0500-00007D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382" name="TextBox 381">
          <a:extLst>
            <a:ext uri="{FF2B5EF4-FFF2-40B4-BE49-F238E27FC236}">
              <a16:creationId xmlns:a16="http://schemas.microsoft.com/office/drawing/2014/main" id="{00000000-0008-0000-0500-00007E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383" name="TextBox 382">
          <a:extLst>
            <a:ext uri="{FF2B5EF4-FFF2-40B4-BE49-F238E27FC236}">
              <a16:creationId xmlns:a16="http://schemas.microsoft.com/office/drawing/2014/main" id="{00000000-0008-0000-0500-00007F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384" name="TextBox 383">
          <a:extLst>
            <a:ext uri="{FF2B5EF4-FFF2-40B4-BE49-F238E27FC236}">
              <a16:creationId xmlns:a16="http://schemas.microsoft.com/office/drawing/2014/main" id="{00000000-0008-0000-0500-000080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385" name="TextBox 384">
          <a:extLst>
            <a:ext uri="{FF2B5EF4-FFF2-40B4-BE49-F238E27FC236}">
              <a16:creationId xmlns:a16="http://schemas.microsoft.com/office/drawing/2014/main" id="{00000000-0008-0000-0500-000081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386" name="TextBox 385">
          <a:extLst>
            <a:ext uri="{FF2B5EF4-FFF2-40B4-BE49-F238E27FC236}">
              <a16:creationId xmlns:a16="http://schemas.microsoft.com/office/drawing/2014/main" id="{00000000-0008-0000-0500-000082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387" name="TextBox 386">
          <a:extLst>
            <a:ext uri="{FF2B5EF4-FFF2-40B4-BE49-F238E27FC236}">
              <a16:creationId xmlns:a16="http://schemas.microsoft.com/office/drawing/2014/main" id="{00000000-0008-0000-0500-000083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388" name="TextBox 387">
          <a:extLst>
            <a:ext uri="{FF2B5EF4-FFF2-40B4-BE49-F238E27FC236}">
              <a16:creationId xmlns:a16="http://schemas.microsoft.com/office/drawing/2014/main" id="{00000000-0008-0000-0500-000084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389" name="TextBox 388">
          <a:extLst>
            <a:ext uri="{FF2B5EF4-FFF2-40B4-BE49-F238E27FC236}">
              <a16:creationId xmlns:a16="http://schemas.microsoft.com/office/drawing/2014/main" id="{00000000-0008-0000-0500-000085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390" name="TextBox 389">
          <a:extLst>
            <a:ext uri="{FF2B5EF4-FFF2-40B4-BE49-F238E27FC236}">
              <a16:creationId xmlns:a16="http://schemas.microsoft.com/office/drawing/2014/main" id="{00000000-0008-0000-0500-000086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391" name="TextBox 390">
          <a:extLst>
            <a:ext uri="{FF2B5EF4-FFF2-40B4-BE49-F238E27FC236}">
              <a16:creationId xmlns:a16="http://schemas.microsoft.com/office/drawing/2014/main" id="{00000000-0008-0000-0500-000087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392" name="TextBox 391">
          <a:extLst>
            <a:ext uri="{FF2B5EF4-FFF2-40B4-BE49-F238E27FC236}">
              <a16:creationId xmlns:a16="http://schemas.microsoft.com/office/drawing/2014/main" id="{00000000-0008-0000-0500-000088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393" name="TextBox 392">
          <a:extLst>
            <a:ext uri="{FF2B5EF4-FFF2-40B4-BE49-F238E27FC236}">
              <a16:creationId xmlns:a16="http://schemas.microsoft.com/office/drawing/2014/main" id="{00000000-0008-0000-0500-000089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394" name="TextBox 393">
          <a:extLst>
            <a:ext uri="{FF2B5EF4-FFF2-40B4-BE49-F238E27FC236}">
              <a16:creationId xmlns:a16="http://schemas.microsoft.com/office/drawing/2014/main" id="{00000000-0008-0000-0500-00008A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395" name="TextBox 394">
          <a:extLst>
            <a:ext uri="{FF2B5EF4-FFF2-40B4-BE49-F238E27FC236}">
              <a16:creationId xmlns:a16="http://schemas.microsoft.com/office/drawing/2014/main" id="{00000000-0008-0000-0500-00008B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396" name="TextBox 395">
          <a:extLst>
            <a:ext uri="{FF2B5EF4-FFF2-40B4-BE49-F238E27FC236}">
              <a16:creationId xmlns:a16="http://schemas.microsoft.com/office/drawing/2014/main" id="{00000000-0008-0000-0500-00008C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397" name="TextBox 396">
          <a:extLst>
            <a:ext uri="{FF2B5EF4-FFF2-40B4-BE49-F238E27FC236}">
              <a16:creationId xmlns:a16="http://schemas.microsoft.com/office/drawing/2014/main" id="{00000000-0008-0000-0500-00008D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398" name="TextBox 397">
          <a:extLst>
            <a:ext uri="{FF2B5EF4-FFF2-40B4-BE49-F238E27FC236}">
              <a16:creationId xmlns:a16="http://schemas.microsoft.com/office/drawing/2014/main" id="{00000000-0008-0000-0500-00008E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399" name="TextBox 398">
          <a:extLst>
            <a:ext uri="{FF2B5EF4-FFF2-40B4-BE49-F238E27FC236}">
              <a16:creationId xmlns:a16="http://schemas.microsoft.com/office/drawing/2014/main" id="{00000000-0008-0000-0500-00008F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400" name="TextBox 399">
          <a:extLst>
            <a:ext uri="{FF2B5EF4-FFF2-40B4-BE49-F238E27FC236}">
              <a16:creationId xmlns:a16="http://schemas.microsoft.com/office/drawing/2014/main" id="{00000000-0008-0000-0500-000090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401" name="TextBox 400">
          <a:extLst>
            <a:ext uri="{FF2B5EF4-FFF2-40B4-BE49-F238E27FC236}">
              <a16:creationId xmlns:a16="http://schemas.microsoft.com/office/drawing/2014/main" id="{00000000-0008-0000-0500-000091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402" name="TextBox 401">
          <a:extLst>
            <a:ext uri="{FF2B5EF4-FFF2-40B4-BE49-F238E27FC236}">
              <a16:creationId xmlns:a16="http://schemas.microsoft.com/office/drawing/2014/main" id="{00000000-0008-0000-0500-000092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403" name="TextBox 402">
          <a:extLst>
            <a:ext uri="{FF2B5EF4-FFF2-40B4-BE49-F238E27FC236}">
              <a16:creationId xmlns:a16="http://schemas.microsoft.com/office/drawing/2014/main" id="{00000000-0008-0000-0500-000093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404" name="TextBox 403">
          <a:extLst>
            <a:ext uri="{FF2B5EF4-FFF2-40B4-BE49-F238E27FC236}">
              <a16:creationId xmlns:a16="http://schemas.microsoft.com/office/drawing/2014/main" id="{00000000-0008-0000-0500-000094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405" name="TextBox 404">
          <a:extLst>
            <a:ext uri="{FF2B5EF4-FFF2-40B4-BE49-F238E27FC236}">
              <a16:creationId xmlns:a16="http://schemas.microsoft.com/office/drawing/2014/main" id="{00000000-0008-0000-0500-000095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406" name="TextBox 405">
          <a:extLst>
            <a:ext uri="{FF2B5EF4-FFF2-40B4-BE49-F238E27FC236}">
              <a16:creationId xmlns:a16="http://schemas.microsoft.com/office/drawing/2014/main" id="{00000000-0008-0000-0500-000096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407" name="TextBox 406">
          <a:extLst>
            <a:ext uri="{FF2B5EF4-FFF2-40B4-BE49-F238E27FC236}">
              <a16:creationId xmlns:a16="http://schemas.microsoft.com/office/drawing/2014/main" id="{00000000-0008-0000-0500-000097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408" name="TextBox 407">
          <a:extLst>
            <a:ext uri="{FF2B5EF4-FFF2-40B4-BE49-F238E27FC236}">
              <a16:creationId xmlns:a16="http://schemas.microsoft.com/office/drawing/2014/main" id="{00000000-0008-0000-0500-000098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409" name="TextBox 408">
          <a:extLst>
            <a:ext uri="{FF2B5EF4-FFF2-40B4-BE49-F238E27FC236}">
              <a16:creationId xmlns:a16="http://schemas.microsoft.com/office/drawing/2014/main" id="{00000000-0008-0000-0500-000099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410" name="TextBox 409">
          <a:extLst>
            <a:ext uri="{FF2B5EF4-FFF2-40B4-BE49-F238E27FC236}">
              <a16:creationId xmlns:a16="http://schemas.microsoft.com/office/drawing/2014/main" id="{00000000-0008-0000-0500-00009A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411" name="TextBox 410">
          <a:extLst>
            <a:ext uri="{FF2B5EF4-FFF2-40B4-BE49-F238E27FC236}">
              <a16:creationId xmlns:a16="http://schemas.microsoft.com/office/drawing/2014/main" id="{00000000-0008-0000-0500-00009B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412" name="TextBox 411">
          <a:extLst>
            <a:ext uri="{FF2B5EF4-FFF2-40B4-BE49-F238E27FC236}">
              <a16:creationId xmlns:a16="http://schemas.microsoft.com/office/drawing/2014/main" id="{00000000-0008-0000-0500-00009C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413" name="TextBox 412">
          <a:extLst>
            <a:ext uri="{FF2B5EF4-FFF2-40B4-BE49-F238E27FC236}">
              <a16:creationId xmlns:a16="http://schemas.microsoft.com/office/drawing/2014/main" id="{00000000-0008-0000-0500-00009D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414" name="TextBox 413">
          <a:extLst>
            <a:ext uri="{FF2B5EF4-FFF2-40B4-BE49-F238E27FC236}">
              <a16:creationId xmlns:a16="http://schemas.microsoft.com/office/drawing/2014/main" id="{00000000-0008-0000-0500-00009E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415" name="TextBox 414">
          <a:extLst>
            <a:ext uri="{FF2B5EF4-FFF2-40B4-BE49-F238E27FC236}">
              <a16:creationId xmlns:a16="http://schemas.microsoft.com/office/drawing/2014/main" id="{00000000-0008-0000-0500-00009F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416" name="TextBox 415">
          <a:extLst>
            <a:ext uri="{FF2B5EF4-FFF2-40B4-BE49-F238E27FC236}">
              <a16:creationId xmlns:a16="http://schemas.microsoft.com/office/drawing/2014/main" id="{00000000-0008-0000-0500-0000A0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417" name="TextBox 416">
          <a:extLst>
            <a:ext uri="{FF2B5EF4-FFF2-40B4-BE49-F238E27FC236}">
              <a16:creationId xmlns:a16="http://schemas.microsoft.com/office/drawing/2014/main" id="{00000000-0008-0000-0500-0000A1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418" name="TextBox 417">
          <a:extLst>
            <a:ext uri="{FF2B5EF4-FFF2-40B4-BE49-F238E27FC236}">
              <a16:creationId xmlns:a16="http://schemas.microsoft.com/office/drawing/2014/main" id="{00000000-0008-0000-0500-0000A2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419" name="TextBox 418">
          <a:extLst>
            <a:ext uri="{FF2B5EF4-FFF2-40B4-BE49-F238E27FC236}">
              <a16:creationId xmlns:a16="http://schemas.microsoft.com/office/drawing/2014/main" id="{00000000-0008-0000-0500-0000A3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420" name="TextBox 419">
          <a:extLst>
            <a:ext uri="{FF2B5EF4-FFF2-40B4-BE49-F238E27FC236}">
              <a16:creationId xmlns:a16="http://schemas.microsoft.com/office/drawing/2014/main" id="{00000000-0008-0000-0500-0000A4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421" name="TextBox 420">
          <a:extLst>
            <a:ext uri="{FF2B5EF4-FFF2-40B4-BE49-F238E27FC236}">
              <a16:creationId xmlns:a16="http://schemas.microsoft.com/office/drawing/2014/main" id="{00000000-0008-0000-0500-0000A5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422" name="TextBox 421">
          <a:extLst>
            <a:ext uri="{FF2B5EF4-FFF2-40B4-BE49-F238E27FC236}">
              <a16:creationId xmlns:a16="http://schemas.microsoft.com/office/drawing/2014/main" id="{00000000-0008-0000-0500-0000A6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423" name="TextBox 422">
          <a:extLst>
            <a:ext uri="{FF2B5EF4-FFF2-40B4-BE49-F238E27FC236}">
              <a16:creationId xmlns:a16="http://schemas.microsoft.com/office/drawing/2014/main" id="{00000000-0008-0000-0500-0000A7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424" name="TextBox 423">
          <a:extLst>
            <a:ext uri="{FF2B5EF4-FFF2-40B4-BE49-F238E27FC236}">
              <a16:creationId xmlns:a16="http://schemas.microsoft.com/office/drawing/2014/main" id="{00000000-0008-0000-0500-0000A8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425" name="TextBox 424">
          <a:extLst>
            <a:ext uri="{FF2B5EF4-FFF2-40B4-BE49-F238E27FC236}">
              <a16:creationId xmlns:a16="http://schemas.microsoft.com/office/drawing/2014/main" id="{00000000-0008-0000-0500-0000A9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426" name="TextBox 425">
          <a:extLst>
            <a:ext uri="{FF2B5EF4-FFF2-40B4-BE49-F238E27FC236}">
              <a16:creationId xmlns:a16="http://schemas.microsoft.com/office/drawing/2014/main" id="{00000000-0008-0000-0500-0000AA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427" name="TextBox 426">
          <a:extLst>
            <a:ext uri="{FF2B5EF4-FFF2-40B4-BE49-F238E27FC236}">
              <a16:creationId xmlns:a16="http://schemas.microsoft.com/office/drawing/2014/main" id="{00000000-0008-0000-0500-0000AB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428" name="TextBox 427">
          <a:extLst>
            <a:ext uri="{FF2B5EF4-FFF2-40B4-BE49-F238E27FC236}">
              <a16:creationId xmlns:a16="http://schemas.microsoft.com/office/drawing/2014/main" id="{00000000-0008-0000-0500-0000AC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429" name="TextBox 428">
          <a:extLst>
            <a:ext uri="{FF2B5EF4-FFF2-40B4-BE49-F238E27FC236}">
              <a16:creationId xmlns:a16="http://schemas.microsoft.com/office/drawing/2014/main" id="{00000000-0008-0000-0500-0000AD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430" name="TextBox 429">
          <a:extLst>
            <a:ext uri="{FF2B5EF4-FFF2-40B4-BE49-F238E27FC236}">
              <a16:creationId xmlns:a16="http://schemas.microsoft.com/office/drawing/2014/main" id="{00000000-0008-0000-0500-0000AE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431" name="TextBox 430">
          <a:extLst>
            <a:ext uri="{FF2B5EF4-FFF2-40B4-BE49-F238E27FC236}">
              <a16:creationId xmlns:a16="http://schemas.microsoft.com/office/drawing/2014/main" id="{00000000-0008-0000-0500-0000AF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432" name="TextBox 431">
          <a:extLst>
            <a:ext uri="{FF2B5EF4-FFF2-40B4-BE49-F238E27FC236}">
              <a16:creationId xmlns:a16="http://schemas.microsoft.com/office/drawing/2014/main" id="{00000000-0008-0000-0500-0000B0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433" name="TextBox 432">
          <a:extLst>
            <a:ext uri="{FF2B5EF4-FFF2-40B4-BE49-F238E27FC236}">
              <a16:creationId xmlns:a16="http://schemas.microsoft.com/office/drawing/2014/main" id="{00000000-0008-0000-0500-0000B1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434" name="TextBox 433">
          <a:extLst>
            <a:ext uri="{FF2B5EF4-FFF2-40B4-BE49-F238E27FC236}">
              <a16:creationId xmlns:a16="http://schemas.microsoft.com/office/drawing/2014/main" id="{00000000-0008-0000-0500-0000B2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435" name="TextBox 434">
          <a:extLst>
            <a:ext uri="{FF2B5EF4-FFF2-40B4-BE49-F238E27FC236}">
              <a16:creationId xmlns:a16="http://schemas.microsoft.com/office/drawing/2014/main" id="{00000000-0008-0000-0500-0000B3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436" name="TextBox 435">
          <a:extLst>
            <a:ext uri="{FF2B5EF4-FFF2-40B4-BE49-F238E27FC236}">
              <a16:creationId xmlns:a16="http://schemas.microsoft.com/office/drawing/2014/main" id="{00000000-0008-0000-0500-0000B4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437" name="TextBox 436">
          <a:extLst>
            <a:ext uri="{FF2B5EF4-FFF2-40B4-BE49-F238E27FC236}">
              <a16:creationId xmlns:a16="http://schemas.microsoft.com/office/drawing/2014/main" id="{00000000-0008-0000-0500-0000B5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438" name="TextBox 437">
          <a:extLst>
            <a:ext uri="{FF2B5EF4-FFF2-40B4-BE49-F238E27FC236}">
              <a16:creationId xmlns:a16="http://schemas.microsoft.com/office/drawing/2014/main" id="{00000000-0008-0000-0500-0000B6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439" name="TextBox 438">
          <a:extLst>
            <a:ext uri="{FF2B5EF4-FFF2-40B4-BE49-F238E27FC236}">
              <a16:creationId xmlns:a16="http://schemas.microsoft.com/office/drawing/2014/main" id="{00000000-0008-0000-0500-0000B7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440" name="TextBox 439">
          <a:extLst>
            <a:ext uri="{FF2B5EF4-FFF2-40B4-BE49-F238E27FC236}">
              <a16:creationId xmlns:a16="http://schemas.microsoft.com/office/drawing/2014/main" id="{00000000-0008-0000-0500-0000B8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441" name="TextBox 440">
          <a:extLst>
            <a:ext uri="{FF2B5EF4-FFF2-40B4-BE49-F238E27FC236}">
              <a16:creationId xmlns:a16="http://schemas.microsoft.com/office/drawing/2014/main" id="{00000000-0008-0000-0500-0000B9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442" name="TextBox 441">
          <a:extLst>
            <a:ext uri="{FF2B5EF4-FFF2-40B4-BE49-F238E27FC236}">
              <a16:creationId xmlns:a16="http://schemas.microsoft.com/office/drawing/2014/main" id="{00000000-0008-0000-0500-0000BA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443" name="TextBox 442">
          <a:extLst>
            <a:ext uri="{FF2B5EF4-FFF2-40B4-BE49-F238E27FC236}">
              <a16:creationId xmlns:a16="http://schemas.microsoft.com/office/drawing/2014/main" id="{00000000-0008-0000-0500-0000BB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444" name="TextBox 443">
          <a:extLst>
            <a:ext uri="{FF2B5EF4-FFF2-40B4-BE49-F238E27FC236}">
              <a16:creationId xmlns:a16="http://schemas.microsoft.com/office/drawing/2014/main" id="{00000000-0008-0000-0500-0000BC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445" name="TextBox 444">
          <a:extLst>
            <a:ext uri="{FF2B5EF4-FFF2-40B4-BE49-F238E27FC236}">
              <a16:creationId xmlns:a16="http://schemas.microsoft.com/office/drawing/2014/main" id="{00000000-0008-0000-0500-0000BD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446" name="TextBox 445">
          <a:extLst>
            <a:ext uri="{FF2B5EF4-FFF2-40B4-BE49-F238E27FC236}">
              <a16:creationId xmlns:a16="http://schemas.microsoft.com/office/drawing/2014/main" id="{00000000-0008-0000-0500-0000BE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447" name="TextBox 446">
          <a:extLst>
            <a:ext uri="{FF2B5EF4-FFF2-40B4-BE49-F238E27FC236}">
              <a16:creationId xmlns:a16="http://schemas.microsoft.com/office/drawing/2014/main" id="{00000000-0008-0000-0500-0000BF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448" name="TextBox 447">
          <a:extLst>
            <a:ext uri="{FF2B5EF4-FFF2-40B4-BE49-F238E27FC236}">
              <a16:creationId xmlns:a16="http://schemas.microsoft.com/office/drawing/2014/main" id="{00000000-0008-0000-0500-0000C0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449" name="TextBox 448">
          <a:extLst>
            <a:ext uri="{FF2B5EF4-FFF2-40B4-BE49-F238E27FC236}">
              <a16:creationId xmlns:a16="http://schemas.microsoft.com/office/drawing/2014/main" id="{00000000-0008-0000-0500-0000C1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450" name="TextBox 449">
          <a:extLst>
            <a:ext uri="{FF2B5EF4-FFF2-40B4-BE49-F238E27FC236}">
              <a16:creationId xmlns:a16="http://schemas.microsoft.com/office/drawing/2014/main" id="{00000000-0008-0000-0500-0000C2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451" name="TextBox 450">
          <a:extLst>
            <a:ext uri="{FF2B5EF4-FFF2-40B4-BE49-F238E27FC236}">
              <a16:creationId xmlns:a16="http://schemas.microsoft.com/office/drawing/2014/main" id="{00000000-0008-0000-0500-0000C3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452" name="TextBox 451">
          <a:extLst>
            <a:ext uri="{FF2B5EF4-FFF2-40B4-BE49-F238E27FC236}">
              <a16:creationId xmlns:a16="http://schemas.microsoft.com/office/drawing/2014/main" id="{00000000-0008-0000-0500-0000C4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453" name="TextBox 452">
          <a:extLst>
            <a:ext uri="{FF2B5EF4-FFF2-40B4-BE49-F238E27FC236}">
              <a16:creationId xmlns:a16="http://schemas.microsoft.com/office/drawing/2014/main" id="{00000000-0008-0000-0500-0000C5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454" name="TextBox 453">
          <a:extLst>
            <a:ext uri="{FF2B5EF4-FFF2-40B4-BE49-F238E27FC236}">
              <a16:creationId xmlns:a16="http://schemas.microsoft.com/office/drawing/2014/main" id="{00000000-0008-0000-0500-0000C6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455" name="TextBox 454">
          <a:extLst>
            <a:ext uri="{FF2B5EF4-FFF2-40B4-BE49-F238E27FC236}">
              <a16:creationId xmlns:a16="http://schemas.microsoft.com/office/drawing/2014/main" id="{00000000-0008-0000-0500-0000C7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456" name="TextBox 455">
          <a:extLst>
            <a:ext uri="{FF2B5EF4-FFF2-40B4-BE49-F238E27FC236}">
              <a16:creationId xmlns:a16="http://schemas.microsoft.com/office/drawing/2014/main" id="{00000000-0008-0000-0500-0000C8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5</xdr:col>
      <xdr:colOff>732366</xdr:colOff>
      <xdr:row>12</xdr:row>
      <xdr:rowOff>300566</xdr:rowOff>
    </xdr:from>
    <xdr:ext cx="65" cy="172098"/>
    <xdr:sp macro="" textlink="">
      <xdr:nvSpPr>
        <xdr:cNvPr id="457" name="TextBox 456">
          <a:extLst>
            <a:ext uri="{FF2B5EF4-FFF2-40B4-BE49-F238E27FC236}">
              <a16:creationId xmlns:a16="http://schemas.microsoft.com/office/drawing/2014/main" id="{00000000-0008-0000-0500-0000C9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458" name="TextBox 457">
          <a:extLst>
            <a:ext uri="{FF2B5EF4-FFF2-40B4-BE49-F238E27FC236}">
              <a16:creationId xmlns:a16="http://schemas.microsoft.com/office/drawing/2014/main" id="{00000000-0008-0000-0500-0000CA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6</xdr:col>
      <xdr:colOff>732366</xdr:colOff>
      <xdr:row>12</xdr:row>
      <xdr:rowOff>300566</xdr:rowOff>
    </xdr:from>
    <xdr:ext cx="65" cy="172098"/>
    <xdr:sp macro="" textlink="">
      <xdr:nvSpPr>
        <xdr:cNvPr id="459" name="TextBox 458">
          <a:extLst>
            <a:ext uri="{FF2B5EF4-FFF2-40B4-BE49-F238E27FC236}">
              <a16:creationId xmlns:a16="http://schemas.microsoft.com/office/drawing/2014/main" id="{00000000-0008-0000-0500-0000CB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460" name="TextBox 459">
          <a:extLst>
            <a:ext uri="{FF2B5EF4-FFF2-40B4-BE49-F238E27FC236}">
              <a16:creationId xmlns:a16="http://schemas.microsoft.com/office/drawing/2014/main" id="{00000000-0008-0000-0500-0000CC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7</xdr:col>
      <xdr:colOff>732366</xdr:colOff>
      <xdr:row>12</xdr:row>
      <xdr:rowOff>300566</xdr:rowOff>
    </xdr:from>
    <xdr:ext cx="65" cy="172098"/>
    <xdr:sp macro="" textlink="">
      <xdr:nvSpPr>
        <xdr:cNvPr id="461" name="TextBox 460">
          <a:extLst>
            <a:ext uri="{FF2B5EF4-FFF2-40B4-BE49-F238E27FC236}">
              <a16:creationId xmlns:a16="http://schemas.microsoft.com/office/drawing/2014/main" id="{00000000-0008-0000-0500-0000CD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462" name="TextBox 461">
          <a:extLst>
            <a:ext uri="{FF2B5EF4-FFF2-40B4-BE49-F238E27FC236}">
              <a16:creationId xmlns:a16="http://schemas.microsoft.com/office/drawing/2014/main" id="{00000000-0008-0000-0500-0000CE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8</xdr:col>
      <xdr:colOff>732366</xdr:colOff>
      <xdr:row>12</xdr:row>
      <xdr:rowOff>300566</xdr:rowOff>
    </xdr:from>
    <xdr:ext cx="65" cy="172098"/>
    <xdr:sp macro="" textlink="">
      <xdr:nvSpPr>
        <xdr:cNvPr id="463" name="TextBox 462">
          <a:extLst>
            <a:ext uri="{FF2B5EF4-FFF2-40B4-BE49-F238E27FC236}">
              <a16:creationId xmlns:a16="http://schemas.microsoft.com/office/drawing/2014/main" id="{00000000-0008-0000-0500-0000CF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464" name="TextBox 463">
          <a:extLst>
            <a:ext uri="{FF2B5EF4-FFF2-40B4-BE49-F238E27FC236}">
              <a16:creationId xmlns:a16="http://schemas.microsoft.com/office/drawing/2014/main" id="{00000000-0008-0000-0500-0000D0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9</xdr:col>
      <xdr:colOff>732366</xdr:colOff>
      <xdr:row>12</xdr:row>
      <xdr:rowOff>300566</xdr:rowOff>
    </xdr:from>
    <xdr:ext cx="65" cy="172098"/>
    <xdr:sp macro="" textlink="">
      <xdr:nvSpPr>
        <xdr:cNvPr id="465" name="TextBox 464">
          <a:extLst>
            <a:ext uri="{FF2B5EF4-FFF2-40B4-BE49-F238E27FC236}">
              <a16:creationId xmlns:a16="http://schemas.microsoft.com/office/drawing/2014/main" id="{00000000-0008-0000-0500-0000D1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466" name="TextBox 465">
          <a:extLst>
            <a:ext uri="{FF2B5EF4-FFF2-40B4-BE49-F238E27FC236}">
              <a16:creationId xmlns:a16="http://schemas.microsoft.com/office/drawing/2014/main" id="{00000000-0008-0000-0500-0000D2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10</xdr:col>
      <xdr:colOff>732366</xdr:colOff>
      <xdr:row>12</xdr:row>
      <xdr:rowOff>300566</xdr:rowOff>
    </xdr:from>
    <xdr:ext cx="65" cy="172098"/>
    <xdr:sp macro="" textlink="">
      <xdr:nvSpPr>
        <xdr:cNvPr id="467" name="TextBox 466">
          <a:extLst>
            <a:ext uri="{FF2B5EF4-FFF2-40B4-BE49-F238E27FC236}">
              <a16:creationId xmlns:a16="http://schemas.microsoft.com/office/drawing/2014/main" id="{00000000-0008-0000-0500-0000D3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468" name="TextBox 467">
          <a:extLst>
            <a:ext uri="{FF2B5EF4-FFF2-40B4-BE49-F238E27FC236}">
              <a16:creationId xmlns:a16="http://schemas.microsoft.com/office/drawing/2014/main" id="{00000000-0008-0000-0500-0000D4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11</xdr:col>
      <xdr:colOff>732366</xdr:colOff>
      <xdr:row>12</xdr:row>
      <xdr:rowOff>300566</xdr:rowOff>
    </xdr:from>
    <xdr:ext cx="65" cy="172098"/>
    <xdr:sp macro="" textlink="">
      <xdr:nvSpPr>
        <xdr:cNvPr id="469" name="TextBox 468">
          <a:extLst>
            <a:ext uri="{FF2B5EF4-FFF2-40B4-BE49-F238E27FC236}">
              <a16:creationId xmlns:a16="http://schemas.microsoft.com/office/drawing/2014/main" id="{00000000-0008-0000-0500-0000D5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470" name="TextBox 469">
          <a:extLst>
            <a:ext uri="{FF2B5EF4-FFF2-40B4-BE49-F238E27FC236}">
              <a16:creationId xmlns:a16="http://schemas.microsoft.com/office/drawing/2014/main" id="{00000000-0008-0000-0500-0000D6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oneCellAnchor>
    <xdr:from>
      <xdr:col>12</xdr:col>
      <xdr:colOff>732366</xdr:colOff>
      <xdr:row>12</xdr:row>
      <xdr:rowOff>300566</xdr:rowOff>
    </xdr:from>
    <xdr:ext cx="65" cy="172098"/>
    <xdr:sp macro="" textlink="">
      <xdr:nvSpPr>
        <xdr:cNvPr id="471" name="TextBox 470">
          <a:extLst>
            <a:ext uri="{FF2B5EF4-FFF2-40B4-BE49-F238E27FC236}">
              <a16:creationId xmlns:a16="http://schemas.microsoft.com/office/drawing/2014/main" id="{00000000-0008-0000-0500-0000D7010000}"/>
            </a:ext>
          </a:extLst>
        </xdr:cNvPr>
        <xdr:cNvSpPr txBox="1"/>
      </xdr:nvSpPr>
      <xdr:spPr>
        <a:xfrm>
          <a:off x="10968182" y="3046845"/>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twoCellAnchor>
    <xdr:from>
      <xdr:col>1</xdr:col>
      <xdr:colOff>0</xdr:colOff>
      <xdr:row>27</xdr:row>
      <xdr:rowOff>0</xdr:rowOff>
    </xdr:from>
    <xdr:to>
      <xdr:col>1</xdr:col>
      <xdr:colOff>592667</xdr:colOff>
      <xdr:row>28</xdr:row>
      <xdr:rowOff>10549</xdr:rowOff>
    </xdr:to>
    <xdr:pic>
      <xdr:nvPicPr>
        <xdr:cNvPr id="29" name="Рисунок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0"/>
        <a:stretch>
          <a:fillRect/>
        </a:stretch>
      </xdr:blipFill>
      <xdr:spPr>
        <a:xfrm>
          <a:off x="609600" y="7713133"/>
          <a:ext cx="592667" cy="213749"/>
        </a:xfrm>
        <a:prstGeom prst="rect">
          <a:avLst/>
        </a:prstGeom>
      </xdr:spPr>
    </xdr:pic>
    <xdr:clientData/>
  </xdr:twoCellAnchor>
  <xdr:twoCellAnchor>
    <xdr:from>
      <xdr:col>1</xdr:col>
      <xdr:colOff>0</xdr:colOff>
      <xdr:row>28</xdr:row>
      <xdr:rowOff>0</xdr:rowOff>
    </xdr:from>
    <xdr:to>
      <xdr:col>1</xdr:col>
      <xdr:colOff>592667</xdr:colOff>
      <xdr:row>28</xdr:row>
      <xdr:rowOff>213749</xdr:rowOff>
    </xdr:to>
    <xdr:pic>
      <xdr:nvPicPr>
        <xdr:cNvPr id="474" name="Рисунок 473">
          <a:extLst>
            <a:ext uri="{FF2B5EF4-FFF2-40B4-BE49-F238E27FC236}">
              <a16:creationId xmlns:a16="http://schemas.microsoft.com/office/drawing/2014/main" id="{00000000-0008-0000-0500-0000DA010000}"/>
            </a:ext>
          </a:extLst>
        </xdr:cNvPr>
        <xdr:cNvPicPr>
          <a:picLocks noChangeAspect="1"/>
        </xdr:cNvPicPr>
      </xdr:nvPicPr>
      <xdr:blipFill>
        <a:blip xmlns:r="http://schemas.openxmlformats.org/officeDocument/2006/relationships" r:embed="rId10"/>
        <a:stretch>
          <a:fillRect/>
        </a:stretch>
      </xdr:blipFill>
      <xdr:spPr>
        <a:xfrm>
          <a:off x="609600" y="7916333"/>
          <a:ext cx="592667" cy="213749"/>
        </a:xfrm>
        <a:prstGeom prst="rect">
          <a:avLst/>
        </a:prstGeom>
      </xdr:spPr>
    </xdr:pic>
    <xdr:clientData/>
  </xdr:twoCellAnchor>
  <xdr:twoCellAnchor editAs="oneCell">
    <xdr:from>
      <xdr:col>1</xdr:col>
      <xdr:colOff>0</xdr:colOff>
      <xdr:row>25</xdr:row>
      <xdr:rowOff>0</xdr:rowOff>
    </xdr:from>
    <xdr:to>
      <xdr:col>1</xdr:col>
      <xdr:colOff>736600</xdr:colOff>
      <xdr:row>25</xdr:row>
      <xdr:rowOff>143029</xdr:rowOff>
    </xdr:to>
    <xdr:pic>
      <xdr:nvPicPr>
        <xdr:cNvPr id="30" name="Рисунок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1"/>
        <a:stretch>
          <a:fillRect/>
        </a:stretch>
      </xdr:blipFill>
      <xdr:spPr>
        <a:xfrm>
          <a:off x="609600" y="6985000"/>
          <a:ext cx="736600" cy="143029"/>
        </a:xfrm>
        <a:prstGeom prst="rect">
          <a:avLst/>
        </a:prstGeom>
      </xdr:spPr>
    </xdr:pic>
    <xdr:clientData/>
  </xdr:twoCellAnchor>
  <xdr:twoCellAnchor>
    <xdr:from>
      <xdr:col>1</xdr:col>
      <xdr:colOff>0</xdr:colOff>
      <xdr:row>24</xdr:row>
      <xdr:rowOff>0</xdr:rowOff>
    </xdr:from>
    <xdr:to>
      <xdr:col>1</xdr:col>
      <xdr:colOff>723900</xdr:colOff>
      <xdr:row>24</xdr:row>
      <xdr:rowOff>190500</xdr:rowOff>
    </xdr:to>
    <xdr:pic>
      <xdr:nvPicPr>
        <xdr:cNvPr id="33" name="Рисунок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12"/>
        <a:stretch>
          <a:fillRect/>
        </a:stretch>
      </xdr:blipFill>
      <xdr:spPr>
        <a:xfrm>
          <a:off x="609600" y="6629400"/>
          <a:ext cx="723900" cy="190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129352</xdr:colOff>
      <xdr:row>57</xdr:row>
      <xdr:rowOff>83493</xdr:rowOff>
    </xdr:from>
    <xdr:to>
      <xdr:col>1</xdr:col>
      <xdr:colOff>1920052</xdr:colOff>
      <xdr:row>57</xdr:row>
      <xdr:rowOff>413693</xdr:rowOff>
    </xdr:to>
    <xdr:pic>
      <xdr:nvPicPr>
        <xdr:cNvPr id="2" name="Рисунок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304118" y="15157325"/>
          <a:ext cx="1790700" cy="330200"/>
        </a:xfrm>
        <a:prstGeom prst="rect">
          <a:avLst/>
        </a:prstGeom>
      </xdr:spPr>
    </xdr:pic>
    <xdr:clientData/>
  </xdr:twoCellAnchor>
  <xdr:twoCellAnchor>
    <xdr:from>
      <xdr:col>1</xdr:col>
      <xdr:colOff>18567</xdr:colOff>
      <xdr:row>89</xdr:row>
      <xdr:rowOff>22175</xdr:rowOff>
    </xdr:from>
    <xdr:to>
      <xdr:col>1</xdr:col>
      <xdr:colOff>717067</xdr:colOff>
      <xdr:row>89</xdr:row>
      <xdr:rowOff>339675</xdr:rowOff>
    </xdr:to>
    <xdr:pic>
      <xdr:nvPicPr>
        <xdr:cNvPr id="3" name="Рисунок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8631476" y="15239084"/>
          <a:ext cx="698500" cy="317500"/>
        </a:xfrm>
        <a:prstGeom prst="rect">
          <a:avLst/>
        </a:prstGeom>
      </xdr:spPr>
    </xdr:pic>
    <xdr:clientData/>
  </xdr:twoCellAnchor>
  <xdr:twoCellAnchor>
    <xdr:from>
      <xdr:col>1</xdr:col>
      <xdr:colOff>32016</xdr:colOff>
      <xdr:row>24</xdr:row>
      <xdr:rowOff>58954</xdr:rowOff>
    </xdr:from>
    <xdr:to>
      <xdr:col>1</xdr:col>
      <xdr:colOff>931176</xdr:colOff>
      <xdr:row>24</xdr:row>
      <xdr:rowOff>324621</xdr:rowOff>
    </xdr:to>
    <xdr:pic>
      <xdr:nvPicPr>
        <xdr:cNvPr id="4" name="Image 271">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cstate="print"/>
        <a:stretch>
          <a:fillRect/>
        </a:stretch>
      </xdr:blipFill>
      <xdr:spPr>
        <a:xfrm>
          <a:off x="8644925" y="15091136"/>
          <a:ext cx="899160" cy="265667"/>
        </a:xfrm>
        <a:prstGeom prst="rect">
          <a:avLst/>
        </a:prstGeom>
      </xdr:spPr>
    </xdr:pic>
    <xdr:clientData/>
  </xdr:twoCellAnchor>
  <xdr:twoCellAnchor>
    <xdr:from>
      <xdr:col>1</xdr:col>
      <xdr:colOff>32016</xdr:colOff>
      <xdr:row>99</xdr:row>
      <xdr:rowOff>21344</xdr:rowOff>
    </xdr:from>
    <xdr:to>
      <xdr:col>1</xdr:col>
      <xdr:colOff>590816</xdr:colOff>
      <xdr:row>99</xdr:row>
      <xdr:rowOff>313444</xdr:rowOff>
    </xdr:to>
    <xdr:pic>
      <xdr:nvPicPr>
        <xdr:cNvPr id="5" name="Рисунок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a:stretch>
          <a:fillRect/>
        </a:stretch>
      </xdr:blipFill>
      <xdr:spPr>
        <a:xfrm>
          <a:off x="9010916" y="14537444"/>
          <a:ext cx="558800" cy="292100"/>
        </a:xfrm>
        <a:prstGeom prst="rect">
          <a:avLst/>
        </a:prstGeom>
      </xdr:spPr>
    </xdr:pic>
    <xdr:clientData/>
  </xdr:twoCellAnchor>
  <xdr:oneCellAnchor>
    <xdr:from>
      <xdr:col>1</xdr:col>
      <xdr:colOff>31752</xdr:colOff>
      <xdr:row>15</xdr:row>
      <xdr:rowOff>23814</xdr:rowOff>
    </xdr:from>
    <xdr:ext cx="1041400" cy="114300"/>
    <xdr:pic>
      <xdr:nvPicPr>
        <xdr:cNvPr id="7" name="Рисунок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9010652" y="4075114"/>
          <a:ext cx="1041400" cy="114300"/>
        </a:xfrm>
        <a:prstGeom prst="rect">
          <a:avLst/>
        </a:prstGeom>
      </xdr:spPr>
    </xdr:pic>
    <xdr:clientData/>
  </xdr:oneCellAnchor>
  <xdr:oneCellAnchor>
    <xdr:from>
      <xdr:col>1</xdr:col>
      <xdr:colOff>31752</xdr:colOff>
      <xdr:row>16</xdr:row>
      <xdr:rowOff>23813</xdr:rowOff>
    </xdr:from>
    <xdr:ext cx="965200" cy="152881"/>
    <xdr:pic>
      <xdr:nvPicPr>
        <xdr:cNvPr id="8" name="Рисунок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6"/>
        <a:stretch>
          <a:fillRect/>
        </a:stretch>
      </xdr:blipFill>
      <xdr:spPr>
        <a:xfrm>
          <a:off x="10445752" y="2718422"/>
          <a:ext cx="965200" cy="152881"/>
        </a:xfrm>
        <a:prstGeom prst="rect">
          <a:avLst/>
        </a:prstGeom>
      </xdr:spPr>
    </xdr:pic>
    <xdr:clientData/>
  </xdr:oneCellAnchor>
  <xdr:oneCellAnchor>
    <xdr:from>
      <xdr:col>1</xdr:col>
      <xdr:colOff>403280</xdr:colOff>
      <xdr:row>20</xdr:row>
      <xdr:rowOff>22281</xdr:rowOff>
    </xdr:from>
    <xdr:ext cx="660400" cy="292100"/>
    <xdr:pic>
      <xdr:nvPicPr>
        <xdr:cNvPr id="11" name="Рисунок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7"/>
        <a:stretch>
          <a:fillRect/>
        </a:stretch>
      </xdr:blipFill>
      <xdr:spPr>
        <a:xfrm>
          <a:off x="10406490" y="5447219"/>
          <a:ext cx="660400" cy="292100"/>
        </a:xfrm>
        <a:prstGeom prst="rect">
          <a:avLst/>
        </a:prstGeom>
      </xdr:spPr>
    </xdr:pic>
    <xdr:clientData/>
  </xdr:oneCellAnchor>
  <xdr:oneCellAnchor>
    <xdr:from>
      <xdr:col>1</xdr:col>
      <xdr:colOff>22281</xdr:colOff>
      <xdr:row>21</xdr:row>
      <xdr:rowOff>78977</xdr:rowOff>
    </xdr:from>
    <xdr:ext cx="1193800" cy="127000"/>
    <xdr:pic>
      <xdr:nvPicPr>
        <xdr:cNvPr id="12" name="Рисунок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8"/>
        <a:stretch>
          <a:fillRect/>
        </a:stretch>
      </xdr:blipFill>
      <xdr:spPr>
        <a:xfrm>
          <a:off x="9615317" y="5442459"/>
          <a:ext cx="1193800" cy="127000"/>
        </a:xfrm>
        <a:prstGeom prst="rect">
          <a:avLst/>
        </a:prstGeom>
      </xdr:spPr>
    </xdr:pic>
    <xdr:clientData/>
  </xdr:oneCellAnchor>
  <xdr:oneCellAnchor>
    <xdr:from>
      <xdr:col>1</xdr:col>
      <xdr:colOff>22281</xdr:colOff>
      <xdr:row>22</xdr:row>
      <xdr:rowOff>22281</xdr:rowOff>
    </xdr:from>
    <xdr:ext cx="796934" cy="220837"/>
    <xdr:pic>
      <xdr:nvPicPr>
        <xdr:cNvPr id="13" name="Рисунок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9"/>
        <a:stretch>
          <a:fillRect/>
        </a:stretch>
      </xdr:blipFill>
      <xdr:spPr>
        <a:xfrm>
          <a:off x="20754056" y="5392691"/>
          <a:ext cx="796934" cy="220837"/>
        </a:xfrm>
        <a:prstGeom prst="rect">
          <a:avLst/>
        </a:prstGeom>
      </xdr:spPr>
    </xdr:pic>
    <xdr:clientData/>
  </xdr:oneCellAnchor>
  <xdr:oneCellAnchor>
    <xdr:from>
      <xdr:col>1</xdr:col>
      <xdr:colOff>308030</xdr:colOff>
      <xdr:row>19</xdr:row>
      <xdr:rowOff>22281</xdr:rowOff>
    </xdr:from>
    <xdr:ext cx="660400" cy="292100"/>
    <xdr:pic>
      <xdr:nvPicPr>
        <xdr:cNvPr id="17" name="Рисунок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7"/>
        <a:stretch>
          <a:fillRect/>
        </a:stretch>
      </xdr:blipFill>
      <xdr:spPr>
        <a:xfrm>
          <a:off x="8827613" y="5049364"/>
          <a:ext cx="660400" cy="292100"/>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3835400</xdr:colOff>
          <xdr:row>69</xdr:row>
          <xdr:rowOff>50800</xdr:rowOff>
        </xdr:from>
        <xdr:to>
          <xdr:col>2</xdr:col>
          <xdr:colOff>4521200</xdr:colOff>
          <xdr:row>69</xdr:row>
          <xdr:rowOff>317500</xdr:rowOff>
        </xdr:to>
        <xdr:sp macro="" textlink="">
          <xdr:nvSpPr>
            <xdr:cNvPr id="146436" name="Button 4" hidden="1">
              <a:extLst>
                <a:ext uri="{63B3BB69-23CF-44E3-9099-C40C66FF867C}">
                  <a14:compatExt spid="_x0000_s146436"/>
                </a:ext>
                <a:ext uri="{FF2B5EF4-FFF2-40B4-BE49-F238E27FC236}">
                  <a16:creationId xmlns:a16="http://schemas.microsoft.com/office/drawing/2014/main" id="{00000000-0008-0000-0700-0000043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71117</xdr:colOff>
      <xdr:row>60</xdr:row>
      <xdr:rowOff>25400</xdr:rowOff>
    </xdr:from>
    <xdr:to>
      <xdr:col>1</xdr:col>
      <xdr:colOff>1125217</xdr:colOff>
      <xdr:row>60</xdr:row>
      <xdr:rowOff>317500</xdr:rowOff>
    </xdr:to>
    <xdr:pic>
      <xdr:nvPicPr>
        <xdr:cNvPr id="50" name="Рисунок 49">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8732517" y="15265400"/>
          <a:ext cx="1054100" cy="2921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3873500</xdr:colOff>
          <xdr:row>71</xdr:row>
          <xdr:rowOff>50800</xdr:rowOff>
        </xdr:from>
        <xdr:to>
          <xdr:col>2</xdr:col>
          <xdr:colOff>4521200</xdr:colOff>
          <xdr:row>71</xdr:row>
          <xdr:rowOff>355600</xdr:rowOff>
        </xdr:to>
        <xdr:sp macro="" textlink="">
          <xdr:nvSpPr>
            <xdr:cNvPr id="146611" name="Button 179" hidden="1">
              <a:extLst>
                <a:ext uri="{63B3BB69-23CF-44E3-9099-C40C66FF867C}">
                  <a14:compatExt spid="_x0000_s146611"/>
                </a:ext>
                <a:ext uri="{FF2B5EF4-FFF2-40B4-BE49-F238E27FC236}">
                  <a16:creationId xmlns:a16="http://schemas.microsoft.com/office/drawing/2014/main" id="{00000000-0008-0000-0700-0000B33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3822700</xdr:colOff>
          <xdr:row>70</xdr:row>
          <xdr:rowOff>38100</xdr:rowOff>
        </xdr:from>
        <xdr:to>
          <xdr:col>2</xdr:col>
          <xdr:colOff>4521200</xdr:colOff>
          <xdr:row>70</xdr:row>
          <xdr:rowOff>330200</xdr:rowOff>
        </xdr:to>
        <xdr:sp macro="" textlink="">
          <xdr:nvSpPr>
            <xdr:cNvPr id="146635" name="Button 203" hidden="1">
              <a:extLst>
                <a:ext uri="{63B3BB69-23CF-44E3-9099-C40C66FF867C}">
                  <a14:compatExt spid="_x0000_s146635"/>
                </a:ext>
                <a:ext uri="{FF2B5EF4-FFF2-40B4-BE49-F238E27FC236}">
                  <a16:creationId xmlns:a16="http://schemas.microsoft.com/office/drawing/2014/main" id="{00000000-0008-0000-0700-0000CB3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36050</xdr:colOff>
      <xdr:row>62</xdr:row>
      <xdr:rowOff>11547</xdr:rowOff>
    </xdr:from>
    <xdr:to>
      <xdr:col>1</xdr:col>
      <xdr:colOff>2074334</xdr:colOff>
      <xdr:row>63</xdr:row>
      <xdr:rowOff>0</xdr:rowOff>
    </xdr:to>
    <xdr:pic>
      <xdr:nvPicPr>
        <xdr:cNvPr id="41" name="Рисунок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11"/>
        <a:stretch>
          <a:fillRect/>
        </a:stretch>
      </xdr:blipFill>
      <xdr:spPr>
        <a:xfrm>
          <a:off x="8697450" y="16267547"/>
          <a:ext cx="2038284" cy="387161"/>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3860800</xdr:colOff>
          <xdr:row>72</xdr:row>
          <xdr:rowOff>38100</xdr:rowOff>
        </xdr:from>
        <xdr:to>
          <xdr:col>2</xdr:col>
          <xdr:colOff>4521200</xdr:colOff>
          <xdr:row>72</xdr:row>
          <xdr:rowOff>342900</xdr:rowOff>
        </xdr:to>
        <xdr:sp macro="" textlink="">
          <xdr:nvSpPr>
            <xdr:cNvPr id="146651" name="Button 219" hidden="1">
              <a:extLst>
                <a:ext uri="{63B3BB69-23CF-44E3-9099-C40C66FF867C}">
                  <a14:compatExt spid="_x0000_s146651"/>
                </a:ext>
                <a:ext uri="{FF2B5EF4-FFF2-40B4-BE49-F238E27FC236}">
                  <a16:creationId xmlns:a16="http://schemas.microsoft.com/office/drawing/2014/main" id="{00000000-0008-0000-0700-0000DB3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55852</xdr:colOff>
      <xdr:row>71</xdr:row>
      <xdr:rowOff>30726</xdr:rowOff>
    </xdr:from>
    <xdr:to>
      <xdr:col>1</xdr:col>
      <xdr:colOff>1465552</xdr:colOff>
      <xdr:row>71</xdr:row>
      <xdr:rowOff>322826</xdr:rowOff>
    </xdr:to>
    <xdr:pic>
      <xdr:nvPicPr>
        <xdr:cNvPr id="25" name="Рисунок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12"/>
        <a:stretch>
          <a:fillRect/>
        </a:stretch>
      </xdr:blipFill>
      <xdr:spPr>
        <a:xfrm>
          <a:off x="8717252" y="17717593"/>
          <a:ext cx="1409700" cy="292100"/>
        </a:xfrm>
        <a:prstGeom prst="rect">
          <a:avLst/>
        </a:prstGeom>
      </xdr:spPr>
    </xdr:pic>
    <xdr:clientData/>
  </xdr:twoCellAnchor>
  <xdr:twoCellAnchor>
    <xdr:from>
      <xdr:col>1</xdr:col>
      <xdr:colOff>45796</xdr:colOff>
      <xdr:row>59</xdr:row>
      <xdr:rowOff>21167</xdr:rowOff>
    </xdr:from>
    <xdr:to>
      <xdr:col>1</xdr:col>
      <xdr:colOff>1823796</xdr:colOff>
      <xdr:row>59</xdr:row>
      <xdr:rowOff>364067</xdr:rowOff>
    </xdr:to>
    <xdr:pic>
      <xdr:nvPicPr>
        <xdr:cNvPr id="28" name="Рисунок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13"/>
        <a:stretch>
          <a:fillRect/>
        </a:stretch>
      </xdr:blipFill>
      <xdr:spPr>
        <a:xfrm>
          <a:off x="10455948" y="15241925"/>
          <a:ext cx="1778000" cy="342900"/>
        </a:xfrm>
        <a:prstGeom prst="rect">
          <a:avLst/>
        </a:prstGeom>
      </xdr:spPr>
    </xdr:pic>
    <xdr:clientData/>
  </xdr:twoCellAnchor>
  <xdr:twoCellAnchor>
    <xdr:from>
      <xdr:col>1</xdr:col>
      <xdr:colOff>18567</xdr:colOff>
      <xdr:row>90</xdr:row>
      <xdr:rowOff>22175</xdr:rowOff>
    </xdr:from>
    <xdr:to>
      <xdr:col>1</xdr:col>
      <xdr:colOff>717067</xdr:colOff>
      <xdr:row>90</xdr:row>
      <xdr:rowOff>339675</xdr:rowOff>
    </xdr:to>
    <xdr:pic>
      <xdr:nvPicPr>
        <xdr:cNvPr id="51" name="Рисунок 50">
          <a:extLst>
            <a:ext uri="{FF2B5EF4-FFF2-40B4-BE49-F238E27FC236}">
              <a16:creationId xmlns:a16="http://schemas.microsoft.com/office/drawing/2014/main" id="{00000000-0008-0000-0700-000033000000}"/>
            </a:ext>
          </a:extLst>
        </xdr:cNvPr>
        <xdr:cNvPicPr>
          <a:picLocks noChangeAspect="1"/>
        </xdr:cNvPicPr>
      </xdr:nvPicPr>
      <xdr:blipFill>
        <a:blip xmlns:r="http://schemas.openxmlformats.org/officeDocument/2006/relationships" r:embed="rId2"/>
        <a:stretch>
          <a:fillRect/>
        </a:stretch>
      </xdr:blipFill>
      <xdr:spPr>
        <a:xfrm>
          <a:off x="8550658" y="18460266"/>
          <a:ext cx="698500" cy="317500"/>
        </a:xfrm>
        <a:prstGeom prst="rect">
          <a:avLst/>
        </a:prstGeom>
      </xdr:spPr>
    </xdr:pic>
    <xdr:clientData/>
  </xdr:twoCellAnchor>
  <xdr:twoCellAnchor>
    <xdr:from>
      <xdr:col>1</xdr:col>
      <xdr:colOff>18567</xdr:colOff>
      <xdr:row>91</xdr:row>
      <xdr:rowOff>22175</xdr:rowOff>
    </xdr:from>
    <xdr:to>
      <xdr:col>1</xdr:col>
      <xdr:colOff>717067</xdr:colOff>
      <xdr:row>91</xdr:row>
      <xdr:rowOff>339675</xdr:rowOff>
    </xdr:to>
    <xdr:pic>
      <xdr:nvPicPr>
        <xdr:cNvPr id="52" name="Рисунок 51">
          <a:extLst>
            <a:ext uri="{FF2B5EF4-FFF2-40B4-BE49-F238E27FC236}">
              <a16:creationId xmlns:a16="http://schemas.microsoft.com/office/drawing/2014/main" id="{00000000-0008-0000-0700-000034000000}"/>
            </a:ext>
          </a:extLst>
        </xdr:cNvPr>
        <xdr:cNvPicPr>
          <a:picLocks noChangeAspect="1"/>
        </xdr:cNvPicPr>
      </xdr:nvPicPr>
      <xdr:blipFill>
        <a:blip xmlns:r="http://schemas.openxmlformats.org/officeDocument/2006/relationships" r:embed="rId2"/>
        <a:stretch>
          <a:fillRect/>
        </a:stretch>
      </xdr:blipFill>
      <xdr:spPr>
        <a:xfrm>
          <a:off x="8550658" y="18460266"/>
          <a:ext cx="698500" cy="317500"/>
        </a:xfrm>
        <a:prstGeom prst="rect">
          <a:avLst/>
        </a:prstGeom>
      </xdr:spPr>
    </xdr:pic>
    <xdr:clientData/>
  </xdr:twoCellAnchor>
  <xdr:twoCellAnchor>
    <xdr:from>
      <xdr:col>1</xdr:col>
      <xdr:colOff>18567</xdr:colOff>
      <xdr:row>92</xdr:row>
      <xdr:rowOff>22175</xdr:rowOff>
    </xdr:from>
    <xdr:to>
      <xdr:col>1</xdr:col>
      <xdr:colOff>717067</xdr:colOff>
      <xdr:row>92</xdr:row>
      <xdr:rowOff>339675</xdr:rowOff>
    </xdr:to>
    <xdr:pic>
      <xdr:nvPicPr>
        <xdr:cNvPr id="53" name="Рисунок 52">
          <a:extLst>
            <a:ext uri="{FF2B5EF4-FFF2-40B4-BE49-F238E27FC236}">
              <a16:creationId xmlns:a16="http://schemas.microsoft.com/office/drawing/2014/main" id="{00000000-0008-0000-0700-000035000000}"/>
            </a:ext>
          </a:extLst>
        </xdr:cNvPr>
        <xdr:cNvPicPr>
          <a:picLocks noChangeAspect="1"/>
        </xdr:cNvPicPr>
      </xdr:nvPicPr>
      <xdr:blipFill>
        <a:blip xmlns:r="http://schemas.openxmlformats.org/officeDocument/2006/relationships" r:embed="rId2"/>
        <a:stretch>
          <a:fillRect/>
        </a:stretch>
      </xdr:blipFill>
      <xdr:spPr>
        <a:xfrm>
          <a:off x="8550658" y="18806630"/>
          <a:ext cx="698500" cy="317500"/>
        </a:xfrm>
        <a:prstGeom prst="rect">
          <a:avLst/>
        </a:prstGeom>
      </xdr:spPr>
    </xdr:pic>
    <xdr:clientData/>
  </xdr:twoCellAnchor>
  <xdr:twoCellAnchor>
    <xdr:from>
      <xdr:col>1</xdr:col>
      <xdr:colOff>32016</xdr:colOff>
      <xdr:row>100</xdr:row>
      <xdr:rowOff>21344</xdr:rowOff>
    </xdr:from>
    <xdr:to>
      <xdr:col>1</xdr:col>
      <xdr:colOff>590816</xdr:colOff>
      <xdr:row>100</xdr:row>
      <xdr:rowOff>313444</xdr:rowOff>
    </xdr:to>
    <xdr:pic>
      <xdr:nvPicPr>
        <xdr:cNvPr id="55" name="Рисунок 54">
          <a:extLst>
            <a:ext uri="{FF2B5EF4-FFF2-40B4-BE49-F238E27FC236}">
              <a16:creationId xmlns:a16="http://schemas.microsoft.com/office/drawing/2014/main" id="{00000000-0008-0000-0700-000037000000}"/>
            </a:ext>
          </a:extLst>
        </xdr:cNvPr>
        <xdr:cNvPicPr>
          <a:picLocks noChangeAspect="1"/>
        </xdr:cNvPicPr>
      </xdr:nvPicPr>
      <xdr:blipFill>
        <a:blip xmlns:r="http://schemas.openxmlformats.org/officeDocument/2006/relationships" r:embed="rId4"/>
        <a:stretch>
          <a:fillRect/>
        </a:stretch>
      </xdr:blipFill>
      <xdr:spPr>
        <a:xfrm>
          <a:off x="8564107" y="21715253"/>
          <a:ext cx="558800" cy="292100"/>
        </a:xfrm>
        <a:prstGeom prst="rect">
          <a:avLst/>
        </a:prstGeom>
      </xdr:spPr>
    </xdr:pic>
    <xdr:clientData/>
  </xdr:twoCellAnchor>
  <xdr:twoCellAnchor>
    <xdr:from>
      <xdr:col>1</xdr:col>
      <xdr:colOff>32016</xdr:colOff>
      <xdr:row>101</xdr:row>
      <xdr:rowOff>21344</xdr:rowOff>
    </xdr:from>
    <xdr:to>
      <xdr:col>1</xdr:col>
      <xdr:colOff>590816</xdr:colOff>
      <xdr:row>101</xdr:row>
      <xdr:rowOff>313444</xdr:rowOff>
    </xdr:to>
    <xdr:pic>
      <xdr:nvPicPr>
        <xdr:cNvPr id="56" name="Рисунок 55">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4"/>
        <a:stretch>
          <a:fillRect/>
        </a:stretch>
      </xdr:blipFill>
      <xdr:spPr>
        <a:xfrm>
          <a:off x="8564107" y="21715253"/>
          <a:ext cx="558800" cy="292100"/>
        </a:xfrm>
        <a:prstGeom prst="rect">
          <a:avLst/>
        </a:prstGeom>
      </xdr:spPr>
    </xdr:pic>
    <xdr:clientData/>
  </xdr:twoCellAnchor>
  <xdr:twoCellAnchor>
    <xdr:from>
      <xdr:col>1</xdr:col>
      <xdr:colOff>32016</xdr:colOff>
      <xdr:row>102</xdr:row>
      <xdr:rowOff>21344</xdr:rowOff>
    </xdr:from>
    <xdr:to>
      <xdr:col>1</xdr:col>
      <xdr:colOff>590816</xdr:colOff>
      <xdr:row>102</xdr:row>
      <xdr:rowOff>313444</xdr:rowOff>
    </xdr:to>
    <xdr:pic>
      <xdr:nvPicPr>
        <xdr:cNvPr id="57" name="Рисунок 56">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4"/>
        <a:stretch>
          <a:fillRect/>
        </a:stretch>
      </xdr:blipFill>
      <xdr:spPr>
        <a:xfrm>
          <a:off x="8564107" y="22038526"/>
          <a:ext cx="558800" cy="292100"/>
        </a:xfrm>
        <a:prstGeom prst="rect">
          <a:avLst/>
        </a:prstGeom>
      </xdr:spPr>
    </xdr:pic>
    <xdr:clientData/>
  </xdr:twoCellAnchor>
  <xdr:twoCellAnchor>
    <xdr:from>
      <xdr:col>1</xdr:col>
      <xdr:colOff>25401</xdr:colOff>
      <xdr:row>63</xdr:row>
      <xdr:rowOff>16934</xdr:rowOff>
    </xdr:from>
    <xdr:to>
      <xdr:col>1</xdr:col>
      <xdr:colOff>1143001</xdr:colOff>
      <xdr:row>63</xdr:row>
      <xdr:rowOff>364150</xdr:rowOff>
    </xdr:to>
    <xdr:pic>
      <xdr:nvPicPr>
        <xdr:cNvPr id="29" name="Рисунок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14"/>
        <a:stretch>
          <a:fillRect/>
        </a:stretch>
      </xdr:blipFill>
      <xdr:spPr>
        <a:xfrm>
          <a:off x="10028611" y="13900699"/>
          <a:ext cx="1117600" cy="347216"/>
        </a:xfrm>
        <a:prstGeom prst="rect">
          <a:avLst/>
        </a:prstGeom>
      </xdr:spPr>
    </xdr:pic>
    <xdr:clientData/>
  </xdr:twoCellAnchor>
  <xdr:twoCellAnchor>
    <xdr:from>
      <xdr:col>1</xdr:col>
      <xdr:colOff>25401</xdr:colOff>
      <xdr:row>64</xdr:row>
      <xdr:rowOff>16934</xdr:rowOff>
    </xdr:from>
    <xdr:to>
      <xdr:col>1</xdr:col>
      <xdr:colOff>2338224</xdr:colOff>
      <xdr:row>64</xdr:row>
      <xdr:rowOff>376767</xdr:rowOff>
    </xdr:to>
    <xdr:pic>
      <xdr:nvPicPr>
        <xdr:cNvPr id="32" name="Рисунок 31">
          <a:extLst>
            <a:ext uri="{FF2B5EF4-FFF2-40B4-BE49-F238E27FC236}">
              <a16:creationId xmlns:a16="http://schemas.microsoft.com/office/drawing/2014/main" id="{00000000-0008-0000-0700-000020000000}"/>
            </a:ext>
          </a:extLst>
        </xdr:cNvPr>
        <xdr:cNvPicPr>
          <a:picLocks noChangeAspect="1"/>
        </xdr:cNvPicPr>
      </xdr:nvPicPr>
      <xdr:blipFill>
        <a:blip xmlns:r="http://schemas.openxmlformats.org/officeDocument/2006/relationships" r:embed="rId15"/>
        <a:stretch>
          <a:fillRect/>
        </a:stretch>
      </xdr:blipFill>
      <xdr:spPr>
        <a:xfrm>
          <a:off x="23668765" y="17476467"/>
          <a:ext cx="2312823" cy="359833"/>
        </a:xfrm>
        <a:prstGeom prst="rect">
          <a:avLst/>
        </a:prstGeom>
      </xdr:spPr>
    </xdr:pic>
    <xdr:clientData/>
  </xdr:twoCellAnchor>
  <xdr:twoCellAnchor>
    <xdr:from>
      <xdr:col>1</xdr:col>
      <xdr:colOff>31282</xdr:colOff>
      <xdr:row>73</xdr:row>
      <xdr:rowOff>8467</xdr:rowOff>
    </xdr:from>
    <xdr:to>
      <xdr:col>1</xdr:col>
      <xdr:colOff>742482</xdr:colOff>
      <xdr:row>73</xdr:row>
      <xdr:rowOff>364067</xdr:rowOff>
    </xdr:to>
    <xdr:pic>
      <xdr:nvPicPr>
        <xdr:cNvPr id="38" name="Рисунок 37">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6"/>
        <a:stretch>
          <a:fillRect/>
        </a:stretch>
      </xdr:blipFill>
      <xdr:spPr>
        <a:xfrm>
          <a:off x="9354755" y="21514814"/>
          <a:ext cx="711200" cy="3556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3873500</xdr:colOff>
          <xdr:row>73</xdr:row>
          <xdr:rowOff>50800</xdr:rowOff>
        </xdr:from>
        <xdr:to>
          <xdr:col>2</xdr:col>
          <xdr:colOff>4521200</xdr:colOff>
          <xdr:row>73</xdr:row>
          <xdr:rowOff>355600</xdr:rowOff>
        </xdr:to>
        <xdr:sp macro="" textlink="">
          <xdr:nvSpPr>
            <xdr:cNvPr id="146697" name="Button 265" hidden="1">
              <a:extLst>
                <a:ext uri="{63B3BB69-23CF-44E3-9099-C40C66FF867C}">
                  <a14:compatExt spid="_x0000_s146697"/>
                </a:ext>
                <a:ext uri="{FF2B5EF4-FFF2-40B4-BE49-F238E27FC236}">
                  <a16:creationId xmlns:a16="http://schemas.microsoft.com/office/drawing/2014/main" id="{00000000-0008-0000-0700-0000093D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3822700</xdr:colOff>
          <xdr:row>74</xdr:row>
          <xdr:rowOff>25400</xdr:rowOff>
        </xdr:from>
        <xdr:to>
          <xdr:col>2</xdr:col>
          <xdr:colOff>4521200</xdr:colOff>
          <xdr:row>74</xdr:row>
          <xdr:rowOff>304800</xdr:rowOff>
        </xdr:to>
        <xdr:sp macro="" textlink="">
          <xdr:nvSpPr>
            <xdr:cNvPr id="146698" name="Button 266" hidden="1">
              <a:extLst>
                <a:ext uri="{63B3BB69-23CF-44E3-9099-C40C66FF867C}">
                  <a14:compatExt spid="_x0000_s146698"/>
                </a:ext>
                <a:ext uri="{FF2B5EF4-FFF2-40B4-BE49-F238E27FC236}">
                  <a16:creationId xmlns:a16="http://schemas.microsoft.com/office/drawing/2014/main" id="{00000000-0008-0000-0700-00000A3D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16934</xdr:colOff>
      <xdr:row>103</xdr:row>
      <xdr:rowOff>16934</xdr:rowOff>
    </xdr:from>
    <xdr:to>
      <xdr:col>1</xdr:col>
      <xdr:colOff>588434</xdr:colOff>
      <xdr:row>103</xdr:row>
      <xdr:rowOff>309034</xdr:rowOff>
    </xdr:to>
    <xdr:pic>
      <xdr:nvPicPr>
        <xdr:cNvPr id="44" name="Рисунок 43">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17"/>
        <a:stretch>
          <a:fillRect/>
        </a:stretch>
      </xdr:blipFill>
      <xdr:spPr>
        <a:xfrm>
          <a:off x="8678334" y="24815801"/>
          <a:ext cx="571500" cy="292100"/>
        </a:xfrm>
        <a:prstGeom prst="rect">
          <a:avLst/>
        </a:prstGeom>
      </xdr:spPr>
    </xdr:pic>
    <xdr:clientData/>
  </xdr:twoCellAnchor>
  <xdr:twoCellAnchor>
    <xdr:from>
      <xdr:col>1</xdr:col>
      <xdr:colOff>16934</xdr:colOff>
      <xdr:row>104</xdr:row>
      <xdr:rowOff>16934</xdr:rowOff>
    </xdr:from>
    <xdr:to>
      <xdr:col>1</xdr:col>
      <xdr:colOff>588434</xdr:colOff>
      <xdr:row>104</xdr:row>
      <xdr:rowOff>309034</xdr:rowOff>
    </xdr:to>
    <xdr:pic>
      <xdr:nvPicPr>
        <xdr:cNvPr id="45" name="Рисунок 44">
          <a:extLst>
            <a:ext uri="{FF2B5EF4-FFF2-40B4-BE49-F238E27FC236}">
              <a16:creationId xmlns:a16="http://schemas.microsoft.com/office/drawing/2014/main" id="{00000000-0008-0000-0700-00002D000000}"/>
            </a:ext>
          </a:extLst>
        </xdr:cNvPr>
        <xdr:cNvPicPr>
          <a:picLocks noChangeAspect="1"/>
        </xdr:cNvPicPr>
      </xdr:nvPicPr>
      <xdr:blipFill>
        <a:blip xmlns:r="http://schemas.openxmlformats.org/officeDocument/2006/relationships" r:embed="rId17"/>
        <a:stretch>
          <a:fillRect/>
        </a:stretch>
      </xdr:blipFill>
      <xdr:spPr>
        <a:xfrm>
          <a:off x="8678334" y="25137534"/>
          <a:ext cx="571500" cy="2921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3835400</xdr:colOff>
          <xdr:row>75</xdr:row>
          <xdr:rowOff>38100</xdr:rowOff>
        </xdr:from>
        <xdr:to>
          <xdr:col>2</xdr:col>
          <xdr:colOff>4521200</xdr:colOff>
          <xdr:row>75</xdr:row>
          <xdr:rowOff>317500</xdr:rowOff>
        </xdr:to>
        <xdr:sp macro="" textlink="">
          <xdr:nvSpPr>
            <xdr:cNvPr id="146704" name="Button 272" hidden="1">
              <a:extLst>
                <a:ext uri="{63B3BB69-23CF-44E3-9099-C40C66FF867C}">
                  <a14:compatExt spid="_x0000_s146704"/>
                </a:ext>
                <a:ext uri="{FF2B5EF4-FFF2-40B4-BE49-F238E27FC236}">
                  <a16:creationId xmlns:a16="http://schemas.microsoft.com/office/drawing/2014/main" id="{00000000-0008-0000-0700-0000103D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16934</xdr:colOff>
      <xdr:row>105</xdr:row>
      <xdr:rowOff>16934</xdr:rowOff>
    </xdr:from>
    <xdr:to>
      <xdr:col>1</xdr:col>
      <xdr:colOff>588434</xdr:colOff>
      <xdr:row>105</xdr:row>
      <xdr:rowOff>309034</xdr:rowOff>
    </xdr:to>
    <xdr:pic>
      <xdr:nvPicPr>
        <xdr:cNvPr id="76" name="Рисунок 75">
          <a:extLst>
            <a:ext uri="{FF2B5EF4-FFF2-40B4-BE49-F238E27FC236}">
              <a16:creationId xmlns:a16="http://schemas.microsoft.com/office/drawing/2014/main" id="{00000000-0008-0000-0700-00004C000000}"/>
            </a:ext>
          </a:extLst>
        </xdr:cNvPr>
        <xdr:cNvPicPr>
          <a:picLocks noChangeAspect="1"/>
        </xdr:cNvPicPr>
      </xdr:nvPicPr>
      <xdr:blipFill>
        <a:blip xmlns:r="http://schemas.openxmlformats.org/officeDocument/2006/relationships" r:embed="rId17"/>
        <a:stretch>
          <a:fillRect/>
        </a:stretch>
      </xdr:blipFill>
      <xdr:spPr>
        <a:xfrm>
          <a:off x="9347201" y="28151667"/>
          <a:ext cx="571500" cy="292100"/>
        </a:xfrm>
        <a:prstGeom prst="rect">
          <a:avLst/>
        </a:prstGeom>
      </xdr:spPr>
    </xdr:pic>
    <xdr:clientData/>
  </xdr:twoCellAnchor>
  <xdr:twoCellAnchor>
    <xdr:from>
      <xdr:col>1</xdr:col>
      <xdr:colOff>15210</xdr:colOff>
      <xdr:row>72</xdr:row>
      <xdr:rowOff>7605</xdr:rowOff>
    </xdr:from>
    <xdr:to>
      <xdr:col>1</xdr:col>
      <xdr:colOff>726410</xdr:colOff>
      <xdr:row>72</xdr:row>
      <xdr:rowOff>350505</xdr:rowOff>
    </xdr:to>
    <xdr:pic>
      <xdr:nvPicPr>
        <xdr:cNvPr id="24" name="Рисунок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8"/>
        <a:stretch>
          <a:fillRect/>
        </a:stretch>
      </xdr:blipFill>
      <xdr:spPr>
        <a:xfrm>
          <a:off x="9338683" y="21148922"/>
          <a:ext cx="711200" cy="355600"/>
        </a:xfrm>
        <a:prstGeom prst="rect">
          <a:avLst/>
        </a:prstGeom>
      </xdr:spPr>
    </xdr:pic>
    <xdr:clientData/>
  </xdr:twoCellAnchor>
  <xdr:twoCellAnchor>
    <xdr:from>
      <xdr:col>1</xdr:col>
      <xdr:colOff>7605</xdr:colOff>
      <xdr:row>69</xdr:row>
      <xdr:rowOff>7605</xdr:rowOff>
    </xdr:from>
    <xdr:to>
      <xdr:col>1</xdr:col>
      <xdr:colOff>718805</xdr:colOff>
      <xdr:row>69</xdr:row>
      <xdr:rowOff>363205</xdr:rowOff>
    </xdr:to>
    <xdr:pic>
      <xdr:nvPicPr>
        <xdr:cNvPr id="26" name="Рисунок 25">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18"/>
        <a:stretch>
          <a:fillRect/>
        </a:stretch>
      </xdr:blipFill>
      <xdr:spPr>
        <a:xfrm>
          <a:off x="9331078" y="19947365"/>
          <a:ext cx="711200" cy="355600"/>
        </a:xfrm>
        <a:prstGeom prst="rect">
          <a:avLst/>
        </a:prstGeom>
      </xdr:spPr>
    </xdr:pic>
    <xdr:clientData/>
  </xdr:twoCellAnchor>
  <xdr:twoCellAnchor>
    <xdr:from>
      <xdr:col>1</xdr:col>
      <xdr:colOff>15210</xdr:colOff>
      <xdr:row>70</xdr:row>
      <xdr:rowOff>15210</xdr:rowOff>
    </xdr:from>
    <xdr:to>
      <xdr:col>1</xdr:col>
      <xdr:colOff>726410</xdr:colOff>
      <xdr:row>70</xdr:row>
      <xdr:rowOff>370810</xdr:rowOff>
    </xdr:to>
    <xdr:pic>
      <xdr:nvPicPr>
        <xdr:cNvPr id="27" name="Рисунок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18"/>
        <a:stretch>
          <a:fillRect/>
        </a:stretch>
      </xdr:blipFill>
      <xdr:spPr>
        <a:xfrm>
          <a:off x="9338683" y="20358024"/>
          <a:ext cx="711200" cy="355600"/>
        </a:xfrm>
        <a:prstGeom prst="rect">
          <a:avLst/>
        </a:prstGeom>
      </xdr:spPr>
    </xdr:pic>
    <xdr:clientData/>
  </xdr:twoCellAnchor>
  <xdr:twoCellAnchor>
    <xdr:from>
      <xdr:col>1</xdr:col>
      <xdr:colOff>7605</xdr:colOff>
      <xdr:row>74</xdr:row>
      <xdr:rowOff>7605</xdr:rowOff>
    </xdr:from>
    <xdr:to>
      <xdr:col>1</xdr:col>
      <xdr:colOff>718805</xdr:colOff>
      <xdr:row>74</xdr:row>
      <xdr:rowOff>350505</xdr:rowOff>
    </xdr:to>
    <xdr:pic>
      <xdr:nvPicPr>
        <xdr:cNvPr id="30" name="Рисунок 29">
          <a:extLst>
            <a:ext uri="{FF2B5EF4-FFF2-40B4-BE49-F238E27FC236}">
              <a16:creationId xmlns:a16="http://schemas.microsoft.com/office/drawing/2014/main" id="{00000000-0008-0000-0700-00001E000000}"/>
            </a:ext>
          </a:extLst>
        </xdr:cNvPr>
        <xdr:cNvPicPr>
          <a:picLocks noChangeAspect="1"/>
        </xdr:cNvPicPr>
      </xdr:nvPicPr>
      <xdr:blipFill>
        <a:blip xmlns:r="http://schemas.openxmlformats.org/officeDocument/2006/relationships" r:embed="rId18"/>
        <a:stretch>
          <a:fillRect/>
        </a:stretch>
      </xdr:blipFill>
      <xdr:spPr>
        <a:xfrm>
          <a:off x="9331078" y="21878982"/>
          <a:ext cx="711200" cy="355600"/>
        </a:xfrm>
        <a:prstGeom prst="rect">
          <a:avLst/>
        </a:prstGeom>
      </xdr:spPr>
    </xdr:pic>
    <xdr:clientData/>
  </xdr:twoCellAnchor>
  <xdr:twoCellAnchor>
    <xdr:from>
      <xdr:col>1</xdr:col>
      <xdr:colOff>321326</xdr:colOff>
      <xdr:row>58</xdr:row>
      <xdr:rowOff>7651</xdr:rowOff>
    </xdr:from>
    <xdr:to>
      <xdr:col>1</xdr:col>
      <xdr:colOff>933373</xdr:colOff>
      <xdr:row>58</xdr:row>
      <xdr:rowOff>352777</xdr:rowOff>
    </xdr:to>
    <xdr:pic>
      <xdr:nvPicPr>
        <xdr:cNvPr id="68" name="Рисунок 67">
          <a:extLst>
            <a:ext uri="{FF2B5EF4-FFF2-40B4-BE49-F238E27FC236}">
              <a16:creationId xmlns:a16="http://schemas.microsoft.com/office/drawing/2014/main" id="{00000000-0008-0000-0700-000044000000}"/>
            </a:ext>
          </a:extLst>
        </xdr:cNvPr>
        <xdr:cNvPicPr>
          <a:picLocks noChangeAspect="1"/>
        </xdr:cNvPicPr>
      </xdr:nvPicPr>
      <xdr:blipFill>
        <a:blip xmlns:r="http://schemas.openxmlformats.org/officeDocument/2006/relationships" r:embed="rId19"/>
        <a:stretch>
          <a:fillRect/>
        </a:stretch>
      </xdr:blipFill>
      <xdr:spPr>
        <a:xfrm>
          <a:off x="10316226" y="15781051"/>
          <a:ext cx="612047" cy="333844"/>
        </a:xfrm>
        <a:prstGeom prst="rect">
          <a:avLst/>
        </a:prstGeom>
      </xdr:spPr>
    </xdr:pic>
    <xdr:clientData/>
  </xdr:twoCellAnchor>
  <xdr:twoCellAnchor>
    <xdr:from>
      <xdr:col>1</xdr:col>
      <xdr:colOff>15681</xdr:colOff>
      <xdr:row>95</xdr:row>
      <xdr:rowOff>7840</xdr:rowOff>
    </xdr:from>
    <xdr:to>
      <xdr:col>1</xdr:col>
      <xdr:colOff>846582</xdr:colOff>
      <xdr:row>95</xdr:row>
      <xdr:rowOff>352360</xdr:rowOff>
    </xdr:to>
    <xdr:pic>
      <xdr:nvPicPr>
        <xdr:cNvPr id="60" name="Рисунок 59">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20"/>
        <a:stretch>
          <a:fillRect/>
        </a:stretch>
      </xdr:blipFill>
      <xdr:spPr>
        <a:xfrm>
          <a:off x="10018891" y="28284939"/>
          <a:ext cx="830901" cy="34452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4584700</xdr:colOff>
          <xdr:row>53</xdr:row>
          <xdr:rowOff>25400</xdr:rowOff>
        </xdr:from>
        <xdr:to>
          <xdr:col>2</xdr:col>
          <xdr:colOff>5422900</xdr:colOff>
          <xdr:row>54</xdr:row>
          <xdr:rowOff>0</xdr:rowOff>
        </xdr:to>
        <xdr:sp macro="" textlink="">
          <xdr:nvSpPr>
            <xdr:cNvPr id="146720" name="Button 288" hidden="1">
              <a:extLst>
                <a:ext uri="{63B3BB69-23CF-44E3-9099-C40C66FF867C}">
                  <a14:compatExt spid="_x0000_s146720"/>
                </a:ext>
                <a:ext uri="{FF2B5EF4-FFF2-40B4-BE49-F238E27FC236}">
                  <a16:creationId xmlns:a16="http://schemas.microsoft.com/office/drawing/2014/main" id="{00000000-0008-0000-0700-0000203D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4559300</xdr:colOff>
          <xdr:row>52</xdr:row>
          <xdr:rowOff>25400</xdr:rowOff>
        </xdr:from>
        <xdr:to>
          <xdr:col>2</xdr:col>
          <xdr:colOff>5397500</xdr:colOff>
          <xdr:row>52</xdr:row>
          <xdr:rowOff>177800</xdr:rowOff>
        </xdr:to>
        <xdr:sp macro="" textlink="">
          <xdr:nvSpPr>
            <xdr:cNvPr id="146722" name="Button 290" hidden="1">
              <a:extLst>
                <a:ext uri="{63B3BB69-23CF-44E3-9099-C40C66FF867C}">
                  <a14:compatExt spid="_x0000_s146722"/>
                </a:ext>
                <a:ext uri="{FF2B5EF4-FFF2-40B4-BE49-F238E27FC236}">
                  <a16:creationId xmlns:a16="http://schemas.microsoft.com/office/drawing/2014/main" id="{00000000-0008-0000-0700-0000223D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20320</xdr:colOff>
      <xdr:row>66</xdr:row>
      <xdr:rowOff>20321</xdr:rowOff>
    </xdr:from>
    <xdr:to>
      <xdr:col>1</xdr:col>
      <xdr:colOff>1976120</xdr:colOff>
      <xdr:row>66</xdr:row>
      <xdr:rowOff>345441</xdr:rowOff>
    </xdr:to>
    <xdr:pic>
      <xdr:nvPicPr>
        <xdr:cNvPr id="104" name="Рисунок 103">
          <a:extLst>
            <a:ext uri="{FF2B5EF4-FFF2-40B4-BE49-F238E27FC236}">
              <a16:creationId xmlns:a16="http://schemas.microsoft.com/office/drawing/2014/main" id="{00000000-0008-0000-0700-000068000000}"/>
            </a:ext>
          </a:extLst>
        </xdr:cNvPr>
        <xdr:cNvPicPr>
          <a:picLocks noChangeAspect="1"/>
        </xdr:cNvPicPr>
      </xdr:nvPicPr>
      <xdr:blipFill>
        <a:blip xmlns:r="http://schemas.openxmlformats.org/officeDocument/2006/relationships" r:embed="rId21"/>
        <a:stretch>
          <a:fillRect/>
        </a:stretch>
      </xdr:blipFill>
      <xdr:spPr>
        <a:xfrm>
          <a:off x="10015220" y="17139921"/>
          <a:ext cx="1955800" cy="325120"/>
        </a:xfrm>
        <a:prstGeom prst="rect">
          <a:avLst/>
        </a:prstGeom>
      </xdr:spPr>
    </xdr:pic>
    <xdr:clientData/>
  </xdr:twoCellAnchor>
  <xdr:twoCellAnchor>
    <xdr:from>
      <xdr:col>1</xdr:col>
      <xdr:colOff>60960</xdr:colOff>
      <xdr:row>67</xdr:row>
      <xdr:rowOff>20321</xdr:rowOff>
    </xdr:from>
    <xdr:to>
      <xdr:col>1</xdr:col>
      <xdr:colOff>2433320</xdr:colOff>
      <xdr:row>67</xdr:row>
      <xdr:rowOff>335281</xdr:rowOff>
    </xdr:to>
    <xdr:pic>
      <xdr:nvPicPr>
        <xdr:cNvPr id="105" name="Рисунок 104">
          <a:extLst>
            <a:ext uri="{FF2B5EF4-FFF2-40B4-BE49-F238E27FC236}">
              <a16:creationId xmlns:a16="http://schemas.microsoft.com/office/drawing/2014/main" id="{00000000-0008-0000-0700-000069000000}"/>
            </a:ext>
          </a:extLst>
        </xdr:cNvPr>
        <xdr:cNvPicPr>
          <a:picLocks noChangeAspect="1"/>
        </xdr:cNvPicPr>
      </xdr:nvPicPr>
      <xdr:blipFill>
        <a:blip xmlns:r="http://schemas.openxmlformats.org/officeDocument/2006/relationships" r:embed="rId22"/>
        <a:stretch>
          <a:fillRect/>
        </a:stretch>
      </xdr:blipFill>
      <xdr:spPr>
        <a:xfrm>
          <a:off x="20660360" y="17749521"/>
          <a:ext cx="2372360" cy="31496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3822700</xdr:colOff>
          <xdr:row>76</xdr:row>
          <xdr:rowOff>25400</xdr:rowOff>
        </xdr:from>
        <xdr:to>
          <xdr:col>2</xdr:col>
          <xdr:colOff>4521200</xdr:colOff>
          <xdr:row>76</xdr:row>
          <xdr:rowOff>279400</xdr:rowOff>
        </xdr:to>
        <xdr:sp macro="" textlink="">
          <xdr:nvSpPr>
            <xdr:cNvPr id="146952" name="Button 520" hidden="1">
              <a:extLst>
                <a:ext uri="{63B3BB69-23CF-44E3-9099-C40C66FF867C}">
                  <a14:compatExt spid="_x0000_s146952"/>
                </a:ext>
                <a:ext uri="{FF2B5EF4-FFF2-40B4-BE49-F238E27FC236}">
                  <a16:creationId xmlns:a16="http://schemas.microsoft.com/office/drawing/2014/main" id="{00000000-0008-0000-0700-000008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7651</xdr:colOff>
      <xdr:row>96</xdr:row>
      <xdr:rowOff>7651</xdr:rowOff>
    </xdr:from>
    <xdr:to>
      <xdr:col>1</xdr:col>
      <xdr:colOff>841566</xdr:colOff>
      <xdr:row>96</xdr:row>
      <xdr:rowOff>325151</xdr:rowOff>
    </xdr:to>
    <xdr:pic>
      <xdr:nvPicPr>
        <xdr:cNvPr id="113" name="Рисунок 112">
          <a:extLst>
            <a:ext uri="{FF2B5EF4-FFF2-40B4-BE49-F238E27FC236}">
              <a16:creationId xmlns:a16="http://schemas.microsoft.com/office/drawing/2014/main" id="{00000000-0008-0000-0700-000071000000}"/>
            </a:ext>
          </a:extLst>
        </xdr:cNvPr>
        <xdr:cNvPicPr>
          <a:picLocks noChangeAspect="1"/>
        </xdr:cNvPicPr>
      </xdr:nvPicPr>
      <xdr:blipFill>
        <a:blip xmlns:r="http://schemas.openxmlformats.org/officeDocument/2006/relationships" r:embed="rId23"/>
        <a:stretch>
          <a:fillRect/>
        </a:stretch>
      </xdr:blipFill>
      <xdr:spPr>
        <a:xfrm>
          <a:off x="10002551" y="28557251"/>
          <a:ext cx="833915" cy="317500"/>
        </a:xfrm>
        <a:prstGeom prst="rect">
          <a:avLst/>
        </a:prstGeom>
      </xdr:spPr>
    </xdr:pic>
    <xdr:clientData/>
  </xdr:twoCellAnchor>
  <xdr:twoCellAnchor>
    <xdr:from>
      <xdr:col>1</xdr:col>
      <xdr:colOff>15488</xdr:colOff>
      <xdr:row>97</xdr:row>
      <xdr:rowOff>15488</xdr:rowOff>
    </xdr:from>
    <xdr:to>
      <xdr:col>1</xdr:col>
      <xdr:colOff>853688</xdr:colOff>
      <xdr:row>97</xdr:row>
      <xdr:rowOff>332988</xdr:rowOff>
    </xdr:to>
    <xdr:pic>
      <xdr:nvPicPr>
        <xdr:cNvPr id="114" name="Рисунок 113">
          <a:extLst>
            <a:ext uri="{FF2B5EF4-FFF2-40B4-BE49-F238E27FC236}">
              <a16:creationId xmlns:a16="http://schemas.microsoft.com/office/drawing/2014/main" id="{00000000-0008-0000-0700-000072000000}"/>
            </a:ext>
          </a:extLst>
        </xdr:cNvPr>
        <xdr:cNvPicPr>
          <a:picLocks noChangeAspect="1"/>
        </xdr:cNvPicPr>
      </xdr:nvPicPr>
      <xdr:blipFill>
        <a:blip xmlns:r="http://schemas.openxmlformats.org/officeDocument/2006/relationships" r:embed="rId24"/>
        <a:stretch>
          <a:fillRect/>
        </a:stretch>
      </xdr:blipFill>
      <xdr:spPr>
        <a:xfrm>
          <a:off x="10010388" y="28984188"/>
          <a:ext cx="838200" cy="317500"/>
        </a:xfrm>
        <a:prstGeom prst="rect">
          <a:avLst/>
        </a:prstGeom>
      </xdr:spPr>
    </xdr:pic>
    <xdr:clientData/>
  </xdr:twoCellAnchor>
  <xdr:twoCellAnchor>
    <xdr:from>
      <xdr:col>1</xdr:col>
      <xdr:colOff>16934</xdr:colOff>
      <xdr:row>106</xdr:row>
      <xdr:rowOff>16934</xdr:rowOff>
    </xdr:from>
    <xdr:to>
      <xdr:col>1</xdr:col>
      <xdr:colOff>588434</xdr:colOff>
      <xdr:row>106</xdr:row>
      <xdr:rowOff>309034</xdr:rowOff>
    </xdr:to>
    <xdr:pic>
      <xdr:nvPicPr>
        <xdr:cNvPr id="115" name="Рисунок 114">
          <a:extLst>
            <a:ext uri="{FF2B5EF4-FFF2-40B4-BE49-F238E27FC236}">
              <a16:creationId xmlns:a16="http://schemas.microsoft.com/office/drawing/2014/main" id="{00000000-0008-0000-0700-000073000000}"/>
            </a:ext>
          </a:extLst>
        </xdr:cNvPr>
        <xdr:cNvPicPr>
          <a:picLocks noChangeAspect="1"/>
        </xdr:cNvPicPr>
      </xdr:nvPicPr>
      <xdr:blipFill>
        <a:blip xmlns:r="http://schemas.openxmlformats.org/officeDocument/2006/relationships" r:embed="rId17"/>
        <a:stretch>
          <a:fillRect/>
        </a:stretch>
      </xdr:blipFill>
      <xdr:spPr>
        <a:xfrm>
          <a:off x="11419325" y="32181064"/>
          <a:ext cx="571500" cy="292100"/>
        </a:xfrm>
        <a:prstGeom prst="rect">
          <a:avLst/>
        </a:prstGeom>
      </xdr:spPr>
    </xdr:pic>
    <xdr:clientData/>
  </xdr:twoCellAnchor>
  <xdr:twoCellAnchor>
    <xdr:from>
      <xdr:col>1</xdr:col>
      <xdr:colOff>16934</xdr:colOff>
      <xdr:row>107</xdr:row>
      <xdr:rowOff>16934</xdr:rowOff>
    </xdr:from>
    <xdr:to>
      <xdr:col>1</xdr:col>
      <xdr:colOff>588434</xdr:colOff>
      <xdr:row>107</xdr:row>
      <xdr:rowOff>309034</xdr:rowOff>
    </xdr:to>
    <xdr:pic>
      <xdr:nvPicPr>
        <xdr:cNvPr id="116" name="Рисунок 115">
          <a:extLst>
            <a:ext uri="{FF2B5EF4-FFF2-40B4-BE49-F238E27FC236}">
              <a16:creationId xmlns:a16="http://schemas.microsoft.com/office/drawing/2014/main" id="{00000000-0008-0000-0700-000074000000}"/>
            </a:ext>
          </a:extLst>
        </xdr:cNvPr>
        <xdr:cNvPicPr>
          <a:picLocks noChangeAspect="1"/>
        </xdr:cNvPicPr>
      </xdr:nvPicPr>
      <xdr:blipFill>
        <a:blip xmlns:r="http://schemas.openxmlformats.org/officeDocument/2006/relationships" r:embed="rId17"/>
        <a:stretch>
          <a:fillRect/>
        </a:stretch>
      </xdr:blipFill>
      <xdr:spPr>
        <a:xfrm>
          <a:off x="10011834" y="32503534"/>
          <a:ext cx="571500" cy="2921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3848100</xdr:colOff>
          <xdr:row>77</xdr:row>
          <xdr:rowOff>25400</xdr:rowOff>
        </xdr:from>
        <xdr:to>
          <xdr:col>2</xdr:col>
          <xdr:colOff>4521200</xdr:colOff>
          <xdr:row>77</xdr:row>
          <xdr:rowOff>241300</xdr:rowOff>
        </xdr:to>
        <xdr:sp macro="" textlink="">
          <xdr:nvSpPr>
            <xdr:cNvPr id="147013" name="Button 581" hidden="1">
              <a:extLst>
                <a:ext uri="{63B3BB69-23CF-44E3-9099-C40C66FF867C}">
                  <a14:compatExt spid="_x0000_s147013"/>
                </a:ext>
                <a:ext uri="{FF2B5EF4-FFF2-40B4-BE49-F238E27FC236}">
                  <a16:creationId xmlns:a16="http://schemas.microsoft.com/office/drawing/2014/main" id="{00000000-0008-0000-0700-000045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3035300</xdr:colOff>
          <xdr:row>56</xdr:row>
          <xdr:rowOff>12700</xdr:rowOff>
        </xdr:from>
        <xdr:to>
          <xdr:col>2</xdr:col>
          <xdr:colOff>6337300</xdr:colOff>
          <xdr:row>56</xdr:row>
          <xdr:rowOff>292100</xdr:rowOff>
        </xdr:to>
        <xdr:sp macro="" textlink="">
          <xdr:nvSpPr>
            <xdr:cNvPr id="147101" name="Button 669" descr="Кнопка 669" hidden="1">
              <a:extLst>
                <a:ext uri="{63B3BB69-23CF-44E3-9099-C40C66FF867C}">
                  <a14:compatExt spid="_x0000_s147101"/>
                </a:ext>
                <a:ext uri="{FF2B5EF4-FFF2-40B4-BE49-F238E27FC236}">
                  <a16:creationId xmlns:a16="http://schemas.microsoft.com/office/drawing/2014/main" id="{00000000-0008-0000-0700-00009D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xdr:twoCellAnchor>
    <xdr:from>
      <xdr:col>1</xdr:col>
      <xdr:colOff>0</xdr:colOff>
      <xdr:row>93</xdr:row>
      <xdr:rowOff>0</xdr:rowOff>
    </xdr:from>
    <xdr:to>
      <xdr:col>1</xdr:col>
      <xdr:colOff>830901</xdr:colOff>
      <xdr:row>93</xdr:row>
      <xdr:rowOff>344520</xdr:rowOff>
    </xdr:to>
    <xdr:pic>
      <xdr:nvPicPr>
        <xdr:cNvPr id="74" name="Рисунок 73">
          <a:extLst>
            <a:ext uri="{FF2B5EF4-FFF2-40B4-BE49-F238E27FC236}">
              <a16:creationId xmlns:a16="http://schemas.microsoft.com/office/drawing/2014/main" id="{00000000-0008-0000-0700-00004A000000}"/>
            </a:ext>
          </a:extLst>
        </xdr:cNvPr>
        <xdr:cNvPicPr>
          <a:picLocks noChangeAspect="1"/>
        </xdr:cNvPicPr>
      </xdr:nvPicPr>
      <xdr:blipFill>
        <a:blip xmlns:r="http://schemas.openxmlformats.org/officeDocument/2006/relationships" r:embed="rId20"/>
        <a:stretch>
          <a:fillRect/>
        </a:stretch>
      </xdr:blipFill>
      <xdr:spPr>
        <a:xfrm>
          <a:off x="21755966" y="27362727"/>
          <a:ext cx="830901" cy="344520"/>
        </a:xfrm>
        <a:prstGeom prst="rect">
          <a:avLst/>
        </a:prstGeom>
      </xdr:spPr>
    </xdr:pic>
    <xdr:clientData/>
  </xdr:twoCellAnchor>
  <xdr:twoCellAnchor>
    <xdr:from>
      <xdr:col>1</xdr:col>
      <xdr:colOff>0</xdr:colOff>
      <xdr:row>93</xdr:row>
      <xdr:rowOff>382443</xdr:rowOff>
    </xdr:from>
    <xdr:to>
      <xdr:col>1</xdr:col>
      <xdr:colOff>830901</xdr:colOff>
      <xdr:row>94</xdr:row>
      <xdr:rowOff>344520</xdr:rowOff>
    </xdr:to>
    <xdr:pic>
      <xdr:nvPicPr>
        <xdr:cNvPr id="75" name="Рисунок 74">
          <a:extLst>
            <a:ext uri="{FF2B5EF4-FFF2-40B4-BE49-F238E27FC236}">
              <a16:creationId xmlns:a16="http://schemas.microsoft.com/office/drawing/2014/main" id="{00000000-0008-0000-0700-00004B000000}"/>
            </a:ext>
          </a:extLst>
        </xdr:cNvPr>
        <xdr:cNvPicPr>
          <a:picLocks noChangeAspect="1"/>
        </xdr:cNvPicPr>
      </xdr:nvPicPr>
      <xdr:blipFill>
        <a:blip xmlns:r="http://schemas.openxmlformats.org/officeDocument/2006/relationships" r:embed="rId20"/>
        <a:stretch>
          <a:fillRect/>
        </a:stretch>
      </xdr:blipFill>
      <xdr:spPr>
        <a:xfrm>
          <a:off x="21755966" y="27745170"/>
          <a:ext cx="830901" cy="344520"/>
        </a:xfrm>
        <a:prstGeom prst="rect">
          <a:avLst/>
        </a:prstGeom>
      </xdr:spPr>
    </xdr:pic>
    <xdr:clientData/>
  </xdr:twoCellAnchor>
  <xdr:twoCellAnchor>
    <xdr:from>
      <xdr:col>1</xdr:col>
      <xdr:colOff>78552</xdr:colOff>
      <xdr:row>57</xdr:row>
      <xdr:rowOff>83493</xdr:rowOff>
    </xdr:from>
    <xdr:to>
      <xdr:col>1</xdr:col>
      <xdr:colOff>1869252</xdr:colOff>
      <xdr:row>57</xdr:row>
      <xdr:rowOff>400993</xdr:rowOff>
    </xdr:to>
    <xdr:pic>
      <xdr:nvPicPr>
        <xdr:cNvPr id="59" name="Рисунок 58">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1"/>
        <a:stretch>
          <a:fillRect/>
        </a:stretch>
      </xdr:blipFill>
      <xdr:spPr>
        <a:xfrm>
          <a:off x="1500952" y="17751733"/>
          <a:ext cx="1790700" cy="317500"/>
        </a:xfrm>
        <a:prstGeom prst="rect">
          <a:avLst/>
        </a:prstGeom>
      </xdr:spPr>
    </xdr:pic>
    <xdr:clientData/>
  </xdr:twoCellAnchor>
  <xdr:twoCellAnchor>
    <xdr:from>
      <xdr:col>1</xdr:col>
      <xdr:colOff>18567</xdr:colOff>
      <xdr:row>89</xdr:row>
      <xdr:rowOff>22175</xdr:rowOff>
    </xdr:from>
    <xdr:to>
      <xdr:col>1</xdr:col>
      <xdr:colOff>717067</xdr:colOff>
      <xdr:row>89</xdr:row>
      <xdr:rowOff>339675</xdr:rowOff>
    </xdr:to>
    <xdr:pic>
      <xdr:nvPicPr>
        <xdr:cNvPr id="61" name="Рисунок 60">
          <a:extLst>
            <a:ext uri="{FF2B5EF4-FFF2-40B4-BE49-F238E27FC236}">
              <a16:creationId xmlns:a16="http://schemas.microsoft.com/office/drawing/2014/main" id="{00000000-0008-0000-0700-00003D000000}"/>
            </a:ext>
          </a:extLst>
        </xdr:cNvPr>
        <xdr:cNvPicPr>
          <a:picLocks noChangeAspect="1"/>
        </xdr:cNvPicPr>
      </xdr:nvPicPr>
      <xdr:blipFill>
        <a:blip xmlns:r="http://schemas.openxmlformats.org/officeDocument/2006/relationships" r:embed="rId2"/>
        <a:stretch>
          <a:fillRect/>
        </a:stretch>
      </xdr:blipFill>
      <xdr:spPr>
        <a:xfrm>
          <a:off x="18410888" y="26782889"/>
          <a:ext cx="698500" cy="317500"/>
        </a:xfrm>
        <a:prstGeom prst="rect">
          <a:avLst/>
        </a:prstGeom>
      </xdr:spPr>
    </xdr:pic>
    <xdr:clientData/>
  </xdr:twoCellAnchor>
  <xdr:twoCellAnchor>
    <xdr:from>
      <xdr:col>1</xdr:col>
      <xdr:colOff>32016</xdr:colOff>
      <xdr:row>24</xdr:row>
      <xdr:rowOff>58954</xdr:rowOff>
    </xdr:from>
    <xdr:to>
      <xdr:col>1</xdr:col>
      <xdr:colOff>931176</xdr:colOff>
      <xdr:row>24</xdr:row>
      <xdr:rowOff>324621</xdr:rowOff>
    </xdr:to>
    <xdr:pic>
      <xdr:nvPicPr>
        <xdr:cNvPr id="62" name="Image 271">
          <a:extLst>
            <a:ext uri="{FF2B5EF4-FFF2-40B4-BE49-F238E27FC236}">
              <a16:creationId xmlns:a16="http://schemas.microsoft.com/office/drawing/2014/main" id="{00000000-0008-0000-0700-00003E000000}"/>
            </a:ext>
          </a:extLst>
        </xdr:cNvPr>
        <xdr:cNvPicPr>
          <a:picLocks noChangeAspect="1"/>
        </xdr:cNvPicPr>
      </xdr:nvPicPr>
      <xdr:blipFill>
        <a:blip xmlns:r="http://schemas.openxmlformats.org/officeDocument/2006/relationships" r:embed="rId3" cstate="print"/>
        <a:stretch>
          <a:fillRect/>
        </a:stretch>
      </xdr:blipFill>
      <xdr:spPr>
        <a:xfrm>
          <a:off x="18424337" y="5569847"/>
          <a:ext cx="899160" cy="151367"/>
        </a:xfrm>
        <a:prstGeom prst="rect">
          <a:avLst/>
        </a:prstGeom>
      </xdr:spPr>
    </xdr:pic>
    <xdr:clientData/>
  </xdr:twoCellAnchor>
  <xdr:twoCellAnchor>
    <xdr:from>
      <xdr:col>1</xdr:col>
      <xdr:colOff>32016</xdr:colOff>
      <xdr:row>99</xdr:row>
      <xdr:rowOff>21344</xdr:rowOff>
    </xdr:from>
    <xdr:to>
      <xdr:col>1</xdr:col>
      <xdr:colOff>590816</xdr:colOff>
      <xdr:row>99</xdr:row>
      <xdr:rowOff>313444</xdr:rowOff>
    </xdr:to>
    <xdr:pic>
      <xdr:nvPicPr>
        <xdr:cNvPr id="63" name="Рисунок 62">
          <a:extLst>
            <a:ext uri="{FF2B5EF4-FFF2-40B4-BE49-F238E27FC236}">
              <a16:creationId xmlns:a16="http://schemas.microsoft.com/office/drawing/2014/main" id="{00000000-0008-0000-0700-00003F000000}"/>
            </a:ext>
          </a:extLst>
        </xdr:cNvPr>
        <xdr:cNvPicPr>
          <a:picLocks noChangeAspect="1"/>
        </xdr:cNvPicPr>
      </xdr:nvPicPr>
      <xdr:blipFill>
        <a:blip xmlns:r="http://schemas.openxmlformats.org/officeDocument/2006/relationships" r:embed="rId4"/>
        <a:stretch>
          <a:fillRect/>
        </a:stretch>
      </xdr:blipFill>
      <xdr:spPr>
        <a:xfrm>
          <a:off x="18424337" y="30353933"/>
          <a:ext cx="558800" cy="292100"/>
        </a:xfrm>
        <a:prstGeom prst="rect">
          <a:avLst/>
        </a:prstGeom>
      </xdr:spPr>
    </xdr:pic>
    <xdr:clientData/>
  </xdr:twoCellAnchor>
  <xdr:oneCellAnchor>
    <xdr:from>
      <xdr:col>1</xdr:col>
      <xdr:colOff>31752</xdr:colOff>
      <xdr:row>15</xdr:row>
      <xdr:rowOff>23814</xdr:rowOff>
    </xdr:from>
    <xdr:ext cx="1041400" cy="114300"/>
    <xdr:pic>
      <xdr:nvPicPr>
        <xdr:cNvPr id="64" name="Рисунок 63">
          <a:extLst>
            <a:ext uri="{FF2B5EF4-FFF2-40B4-BE49-F238E27FC236}">
              <a16:creationId xmlns:a16="http://schemas.microsoft.com/office/drawing/2014/main" id="{00000000-0008-0000-0700-000040000000}"/>
            </a:ext>
          </a:extLst>
        </xdr:cNvPr>
        <xdr:cNvPicPr>
          <a:picLocks noChangeAspect="1"/>
        </xdr:cNvPicPr>
      </xdr:nvPicPr>
      <xdr:blipFill>
        <a:blip xmlns:r="http://schemas.openxmlformats.org/officeDocument/2006/relationships" r:embed="rId5"/>
        <a:stretch>
          <a:fillRect/>
        </a:stretch>
      </xdr:blipFill>
      <xdr:spPr>
        <a:xfrm>
          <a:off x="18424073" y="2745243"/>
          <a:ext cx="1041400" cy="114300"/>
        </a:xfrm>
        <a:prstGeom prst="rect">
          <a:avLst/>
        </a:prstGeom>
      </xdr:spPr>
    </xdr:pic>
    <xdr:clientData/>
  </xdr:oneCellAnchor>
  <xdr:oneCellAnchor>
    <xdr:from>
      <xdr:col>1</xdr:col>
      <xdr:colOff>31752</xdr:colOff>
      <xdr:row>16</xdr:row>
      <xdr:rowOff>23813</xdr:rowOff>
    </xdr:from>
    <xdr:ext cx="965200" cy="152881"/>
    <xdr:pic>
      <xdr:nvPicPr>
        <xdr:cNvPr id="65" name="Рисунок 64">
          <a:extLst>
            <a:ext uri="{FF2B5EF4-FFF2-40B4-BE49-F238E27FC236}">
              <a16:creationId xmlns:a16="http://schemas.microsoft.com/office/drawing/2014/main" id="{00000000-0008-0000-0700-000041000000}"/>
            </a:ext>
          </a:extLst>
        </xdr:cNvPr>
        <xdr:cNvPicPr>
          <a:picLocks noChangeAspect="1"/>
        </xdr:cNvPicPr>
      </xdr:nvPicPr>
      <xdr:blipFill>
        <a:blip xmlns:r="http://schemas.openxmlformats.org/officeDocument/2006/relationships" r:embed="rId6"/>
        <a:stretch>
          <a:fillRect/>
        </a:stretch>
      </xdr:blipFill>
      <xdr:spPr>
        <a:xfrm>
          <a:off x="18424073" y="2949349"/>
          <a:ext cx="965200" cy="152881"/>
        </a:xfrm>
        <a:prstGeom prst="rect">
          <a:avLst/>
        </a:prstGeom>
      </xdr:spPr>
    </xdr:pic>
    <xdr:clientData/>
  </xdr:oneCellAnchor>
  <xdr:oneCellAnchor>
    <xdr:from>
      <xdr:col>1</xdr:col>
      <xdr:colOff>403280</xdr:colOff>
      <xdr:row>20</xdr:row>
      <xdr:rowOff>22281</xdr:rowOff>
    </xdr:from>
    <xdr:ext cx="660400" cy="292100"/>
    <xdr:pic>
      <xdr:nvPicPr>
        <xdr:cNvPr id="69" name="Рисунок 68">
          <a:extLst>
            <a:ext uri="{FF2B5EF4-FFF2-40B4-BE49-F238E27FC236}">
              <a16:creationId xmlns:a16="http://schemas.microsoft.com/office/drawing/2014/main" id="{00000000-0008-0000-0700-000045000000}"/>
            </a:ext>
          </a:extLst>
        </xdr:cNvPr>
        <xdr:cNvPicPr>
          <a:picLocks noChangeAspect="1"/>
        </xdr:cNvPicPr>
      </xdr:nvPicPr>
      <xdr:blipFill>
        <a:blip xmlns:r="http://schemas.openxmlformats.org/officeDocument/2006/relationships" r:embed="rId7"/>
        <a:stretch>
          <a:fillRect/>
        </a:stretch>
      </xdr:blipFill>
      <xdr:spPr>
        <a:xfrm>
          <a:off x="18795601" y="4331210"/>
          <a:ext cx="660400" cy="292100"/>
        </a:xfrm>
        <a:prstGeom prst="rect">
          <a:avLst/>
        </a:prstGeom>
      </xdr:spPr>
    </xdr:pic>
    <xdr:clientData/>
  </xdr:oneCellAnchor>
  <xdr:oneCellAnchor>
    <xdr:from>
      <xdr:col>1</xdr:col>
      <xdr:colOff>22281</xdr:colOff>
      <xdr:row>22</xdr:row>
      <xdr:rowOff>22281</xdr:rowOff>
    </xdr:from>
    <xdr:ext cx="796934" cy="220837"/>
    <xdr:pic>
      <xdr:nvPicPr>
        <xdr:cNvPr id="71" name="Рисунок 70">
          <a:extLst>
            <a:ext uri="{FF2B5EF4-FFF2-40B4-BE49-F238E27FC236}">
              <a16:creationId xmlns:a16="http://schemas.microsoft.com/office/drawing/2014/main" id="{00000000-0008-0000-0700-000047000000}"/>
            </a:ext>
          </a:extLst>
        </xdr:cNvPr>
        <xdr:cNvPicPr>
          <a:picLocks noChangeAspect="1"/>
        </xdr:cNvPicPr>
      </xdr:nvPicPr>
      <xdr:blipFill>
        <a:blip xmlns:r="http://schemas.openxmlformats.org/officeDocument/2006/relationships" r:embed="rId9"/>
        <a:stretch>
          <a:fillRect/>
        </a:stretch>
      </xdr:blipFill>
      <xdr:spPr>
        <a:xfrm>
          <a:off x="18414602" y="4739424"/>
          <a:ext cx="796934" cy="220837"/>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2374900</xdr:colOff>
          <xdr:row>6</xdr:row>
          <xdr:rowOff>25400</xdr:rowOff>
        </xdr:from>
        <xdr:to>
          <xdr:col>2</xdr:col>
          <xdr:colOff>5511800</xdr:colOff>
          <xdr:row>7</xdr:row>
          <xdr:rowOff>0</xdr:rowOff>
        </xdr:to>
        <xdr:sp macro="" textlink="">
          <xdr:nvSpPr>
            <xdr:cNvPr id="147140" name="Button 708" descr="Вычислить длину трубы по данным изысканий" hidden="1">
              <a:extLst>
                <a:ext uri="{63B3BB69-23CF-44E3-9099-C40C66FF867C}">
                  <a14:compatExt spid="_x0000_s147140"/>
                </a:ext>
                <a:ext uri="{FF2B5EF4-FFF2-40B4-BE49-F238E27FC236}">
                  <a16:creationId xmlns:a16="http://schemas.microsoft.com/office/drawing/2014/main" id="{00000000-0008-0000-0700-0000C4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 Длину трубы по данным изысканий</a:t>
              </a:r>
            </a:p>
          </xdr:txBody>
        </xdr:sp>
        <xdr:clientData fPrintsWithSheet="0"/>
      </xdr:twoCellAnchor>
    </mc:Choice>
    <mc:Fallback/>
  </mc:AlternateContent>
  <xdr:oneCellAnchor>
    <xdr:from>
      <xdr:col>1</xdr:col>
      <xdr:colOff>308030</xdr:colOff>
      <xdr:row>19</xdr:row>
      <xdr:rowOff>22281</xdr:rowOff>
    </xdr:from>
    <xdr:ext cx="660400" cy="292100"/>
    <xdr:pic>
      <xdr:nvPicPr>
        <xdr:cNvPr id="72" name="Рисунок 71">
          <a:extLst>
            <a:ext uri="{FF2B5EF4-FFF2-40B4-BE49-F238E27FC236}">
              <a16:creationId xmlns:a16="http://schemas.microsoft.com/office/drawing/2014/main" id="{00000000-0008-0000-0700-000048000000}"/>
            </a:ext>
          </a:extLst>
        </xdr:cNvPr>
        <xdr:cNvPicPr>
          <a:picLocks noChangeAspect="1"/>
        </xdr:cNvPicPr>
      </xdr:nvPicPr>
      <xdr:blipFill>
        <a:blip xmlns:r="http://schemas.openxmlformats.org/officeDocument/2006/relationships" r:embed="rId7"/>
        <a:stretch>
          <a:fillRect/>
        </a:stretch>
      </xdr:blipFill>
      <xdr:spPr>
        <a:xfrm>
          <a:off x="18700351" y="4127102"/>
          <a:ext cx="660400" cy="292100"/>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3835400</xdr:colOff>
          <xdr:row>69</xdr:row>
          <xdr:rowOff>50800</xdr:rowOff>
        </xdr:from>
        <xdr:to>
          <xdr:col>2</xdr:col>
          <xdr:colOff>4521200</xdr:colOff>
          <xdr:row>69</xdr:row>
          <xdr:rowOff>317500</xdr:rowOff>
        </xdr:to>
        <xdr:sp macro="" textlink="">
          <xdr:nvSpPr>
            <xdr:cNvPr id="147141" name="Button 709" hidden="1">
              <a:extLst>
                <a:ext uri="{63B3BB69-23CF-44E3-9099-C40C66FF867C}">
                  <a14:compatExt spid="_x0000_s147141"/>
                </a:ext>
                <a:ext uri="{FF2B5EF4-FFF2-40B4-BE49-F238E27FC236}">
                  <a16:creationId xmlns:a16="http://schemas.microsoft.com/office/drawing/2014/main" id="{00000000-0008-0000-0700-0000C5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71117</xdr:colOff>
      <xdr:row>60</xdr:row>
      <xdr:rowOff>25400</xdr:rowOff>
    </xdr:from>
    <xdr:to>
      <xdr:col>1</xdr:col>
      <xdr:colOff>1125217</xdr:colOff>
      <xdr:row>60</xdr:row>
      <xdr:rowOff>317500</xdr:rowOff>
    </xdr:to>
    <xdr:pic>
      <xdr:nvPicPr>
        <xdr:cNvPr id="73" name="Рисунок 72">
          <a:extLst>
            <a:ext uri="{FF2B5EF4-FFF2-40B4-BE49-F238E27FC236}">
              <a16:creationId xmlns:a16="http://schemas.microsoft.com/office/drawing/2014/main" id="{00000000-0008-0000-0700-000049000000}"/>
            </a:ext>
          </a:extLst>
        </xdr:cNvPr>
        <xdr:cNvPicPr>
          <a:picLocks noChangeAspect="1"/>
        </xdr:cNvPicPr>
      </xdr:nvPicPr>
      <xdr:blipFill>
        <a:blip xmlns:r="http://schemas.openxmlformats.org/officeDocument/2006/relationships" r:embed="rId10"/>
        <a:stretch>
          <a:fillRect/>
        </a:stretch>
      </xdr:blipFill>
      <xdr:spPr>
        <a:xfrm>
          <a:off x="18463438" y="16705489"/>
          <a:ext cx="1054100" cy="2921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3873500</xdr:colOff>
          <xdr:row>71</xdr:row>
          <xdr:rowOff>50800</xdr:rowOff>
        </xdr:from>
        <xdr:to>
          <xdr:col>2</xdr:col>
          <xdr:colOff>4521200</xdr:colOff>
          <xdr:row>71</xdr:row>
          <xdr:rowOff>355600</xdr:rowOff>
        </xdr:to>
        <xdr:sp macro="" textlink="">
          <xdr:nvSpPr>
            <xdr:cNvPr id="147142" name="Button 710" hidden="1">
              <a:extLst>
                <a:ext uri="{63B3BB69-23CF-44E3-9099-C40C66FF867C}">
                  <a14:compatExt spid="_x0000_s147142"/>
                </a:ext>
                <a:ext uri="{FF2B5EF4-FFF2-40B4-BE49-F238E27FC236}">
                  <a16:creationId xmlns:a16="http://schemas.microsoft.com/office/drawing/2014/main" id="{00000000-0008-0000-0700-0000C6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3822700</xdr:colOff>
          <xdr:row>70</xdr:row>
          <xdr:rowOff>38100</xdr:rowOff>
        </xdr:from>
        <xdr:to>
          <xdr:col>2</xdr:col>
          <xdr:colOff>4521200</xdr:colOff>
          <xdr:row>70</xdr:row>
          <xdr:rowOff>330200</xdr:rowOff>
        </xdr:to>
        <xdr:sp macro="" textlink="">
          <xdr:nvSpPr>
            <xdr:cNvPr id="147143" name="Button 711" hidden="1">
              <a:extLst>
                <a:ext uri="{63B3BB69-23CF-44E3-9099-C40C66FF867C}">
                  <a14:compatExt spid="_x0000_s147143"/>
                </a:ext>
                <a:ext uri="{FF2B5EF4-FFF2-40B4-BE49-F238E27FC236}">
                  <a16:creationId xmlns:a16="http://schemas.microsoft.com/office/drawing/2014/main" id="{00000000-0008-0000-0700-0000C7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36050</xdr:colOff>
      <xdr:row>62</xdr:row>
      <xdr:rowOff>11547</xdr:rowOff>
    </xdr:from>
    <xdr:to>
      <xdr:col>1</xdr:col>
      <xdr:colOff>2074334</xdr:colOff>
      <xdr:row>63</xdr:row>
      <xdr:rowOff>0</xdr:rowOff>
    </xdr:to>
    <xdr:pic>
      <xdr:nvPicPr>
        <xdr:cNvPr id="77" name="Рисунок 76">
          <a:extLst>
            <a:ext uri="{FF2B5EF4-FFF2-40B4-BE49-F238E27FC236}">
              <a16:creationId xmlns:a16="http://schemas.microsoft.com/office/drawing/2014/main" id="{00000000-0008-0000-0700-00004D000000}"/>
            </a:ext>
          </a:extLst>
        </xdr:cNvPr>
        <xdr:cNvPicPr>
          <a:picLocks noChangeAspect="1"/>
        </xdr:cNvPicPr>
      </xdr:nvPicPr>
      <xdr:blipFill>
        <a:blip xmlns:r="http://schemas.openxmlformats.org/officeDocument/2006/relationships" r:embed="rId11"/>
        <a:stretch>
          <a:fillRect/>
        </a:stretch>
      </xdr:blipFill>
      <xdr:spPr>
        <a:xfrm>
          <a:off x="18428371" y="17088511"/>
          <a:ext cx="2038284" cy="38532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3860800</xdr:colOff>
          <xdr:row>72</xdr:row>
          <xdr:rowOff>38100</xdr:rowOff>
        </xdr:from>
        <xdr:to>
          <xdr:col>2</xdr:col>
          <xdr:colOff>4521200</xdr:colOff>
          <xdr:row>72</xdr:row>
          <xdr:rowOff>342900</xdr:rowOff>
        </xdr:to>
        <xdr:sp macro="" textlink="">
          <xdr:nvSpPr>
            <xdr:cNvPr id="147144" name="Button 712" hidden="1">
              <a:extLst>
                <a:ext uri="{63B3BB69-23CF-44E3-9099-C40C66FF867C}">
                  <a14:compatExt spid="_x0000_s147144"/>
                </a:ext>
                <a:ext uri="{FF2B5EF4-FFF2-40B4-BE49-F238E27FC236}">
                  <a16:creationId xmlns:a16="http://schemas.microsoft.com/office/drawing/2014/main" id="{00000000-0008-0000-0700-0000C8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55852</xdr:colOff>
      <xdr:row>71</xdr:row>
      <xdr:rowOff>30726</xdr:rowOff>
    </xdr:from>
    <xdr:to>
      <xdr:col>1</xdr:col>
      <xdr:colOff>1465552</xdr:colOff>
      <xdr:row>71</xdr:row>
      <xdr:rowOff>322826</xdr:rowOff>
    </xdr:to>
    <xdr:pic>
      <xdr:nvPicPr>
        <xdr:cNvPr id="78" name="Рисунок 77">
          <a:extLst>
            <a:ext uri="{FF2B5EF4-FFF2-40B4-BE49-F238E27FC236}">
              <a16:creationId xmlns:a16="http://schemas.microsoft.com/office/drawing/2014/main" id="{00000000-0008-0000-0700-00004E000000}"/>
            </a:ext>
          </a:extLst>
        </xdr:cNvPr>
        <xdr:cNvPicPr>
          <a:picLocks noChangeAspect="1"/>
        </xdr:cNvPicPr>
      </xdr:nvPicPr>
      <xdr:blipFill>
        <a:blip xmlns:r="http://schemas.openxmlformats.org/officeDocument/2006/relationships" r:embed="rId12"/>
        <a:stretch>
          <a:fillRect/>
        </a:stretch>
      </xdr:blipFill>
      <xdr:spPr>
        <a:xfrm>
          <a:off x="18448173" y="20350726"/>
          <a:ext cx="1409700" cy="292100"/>
        </a:xfrm>
        <a:prstGeom prst="rect">
          <a:avLst/>
        </a:prstGeom>
      </xdr:spPr>
    </xdr:pic>
    <xdr:clientData/>
  </xdr:twoCellAnchor>
  <xdr:twoCellAnchor>
    <xdr:from>
      <xdr:col>1</xdr:col>
      <xdr:colOff>45796</xdr:colOff>
      <xdr:row>59</xdr:row>
      <xdr:rowOff>21167</xdr:rowOff>
    </xdr:from>
    <xdr:to>
      <xdr:col>1</xdr:col>
      <xdr:colOff>1823796</xdr:colOff>
      <xdr:row>59</xdr:row>
      <xdr:rowOff>364067</xdr:rowOff>
    </xdr:to>
    <xdr:pic>
      <xdr:nvPicPr>
        <xdr:cNvPr id="79" name="Рисунок 78">
          <a:extLst>
            <a:ext uri="{FF2B5EF4-FFF2-40B4-BE49-F238E27FC236}">
              <a16:creationId xmlns:a16="http://schemas.microsoft.com/office/drawing/2014/main" id="{00000000-0008-0000-0700-00004F000000}"/>
            </a:ext>
          </a:extLst>
        </xdr:cNvPr>
        <xdr:cNvPicPr>
          <a:picLocks noChangeAspect="1"/>
        </xdr:cNvPicPr>
      </xdr:nvPicPr>
      <xdr:blipFill>
        <a:blip xmlns:r="http://schemas.openxmlformats.org/officeDocument/2006/relationships" r:embed="rId13"/>
        <a:stretch>
          <a:fillRect/>
        </a:stretch>
      </xdr:blipFill>
      <xdr:spPr>
        <a:xfrm>
          <a:off x="18438117" y="16304381"/>
          <a:ext cx="1778000" cy="342900"/>
        </a:xfrm>
        <a:prstGeom prst="rect">
          <a:avLst/>
        </a:prstGeom>
      </xdr:spPr>
    </xdr:pic>
    <xdr:clientData/>
  </xdr:twoCellAnchor>
  <xdr:twoCellAnchor>
    <xdr:from>
      <xdr:col>1</xdr:col>
      <xdr:colOff>18567</xdr:colOff>
      <xdr:row>90</xdr:row>
      <xdr:rowOff>22175</xdr:rowOff>
    </xdr:from>
    <xdr:to>
      <xdr:col>1</xdr:col>
      <xdr:colOff>717067</xdr:colOff>
      <xdr:row>90</xdr:row>
      <xdr:rowOff>339675</xdr:rowOff>
    </xdr:to>
    <xdr:pic>
      <xdr:nvPicPr>
        <xdr:cNvPr id="80" name="Рисунок 79">
          <a:extLst>
            <a:ext uri="{FF2B5EF4-FFF2-40B4-BE49-F238E27FC236}">
              <a16:creationId xmlns:a16="http://schemas.microsoft.com/office/drawing/2014/main" id="{00000000-0008-0000-0700-000050000000}"/>
            </a:ext>
          </a:extLst>
        </xdr:cNvPr>
        <xdr:cNvPicPr>
          <a:picLocks noChangeAspect="1"/>
        </xdr:cNvPicPr>
      </xdr:nvPicPr>
      <xdr:blipFill>
        <a:blip xmlns:r="http://schemas.openxmlformats.org/officeDocument/2006/relationships" r:embed="rId2"/>
        <a:stretch>
          <a:fillRect/>
        </a:stretch>
      </xdr:blipFill>
      <xdr:spPr>
        <a:xfrm>
          <a:off x="18410888" y="27179764"/>
          <a:ext cx="698500" cy="317500"/>
        </a:xfrm>
        <a:prstGeom prst="rect">
          <a:avLst/>
        </a:prstGeom>
      </xdr:spPr>
    </xdr:pic>
    <xdr:clientData/>
  </xdr:twoCellAnchor>
  <xdr:twoCellAnchor>
    <xdr:from>
      <xdr:col>1</xdr:col>
      <xdr:colOff>18567</xdr:colOff>
      <xdr:row>91</xdr:row>
      <xdr:rowOff>22175</xdr:rowOff>
    </xdr:from>
    <xdr:to>
      <xdr:col>1</xdr:col>
      <xdr:colOff>717067</xdr:colOff>
      <xdr:row>91</xdr:row>
      <xdr:rowOff>339675</xdr:rowOff>
    </xdr:to>
    <xdr:pic>
      <xdr:nvPicPr>
        <xdr:cNvPr id="81" name="Рисунок 80">
          <a:extLst>
            <a:ext uri="{FF2B5EF4-FFF2-40B4-BE49-F238E27FC236}">
              <a16:creationId xmlns:a16="http://schemas.microsoft.com/office/drawing/2014/main" id="{00000000-0008-0000-0700-000051000000}"/>
            </a:ext>
          </a:extLst>
        </xdr:cNvPr>
        <xdr:cNvPicPr>
          <a:picLocks noChangeAspect="1"/>
        </xdr:cNvPicPr>
      </xdr:nvPicPr>
      <xdr:blipFill>
        <a:blip xmlns:r="http://schemas.openxmlformats.org/officeDocument/2006/relationships" r:embed="rId2"/>
        <a:stretch>
          <a:fillRect/>
        </a:stretch>
      </xdr:blipFill>
      <xdr:spPr>
        <a:xfrm>
          <a:off x="18410888" y="27576639"/>
          <a:ext cx="698500" cy="317500"/>
        </a:xfrm>
        <a:prstGeom prst="rect">
          <a:avLst/>
        </a:prstGeom>
      </xdr:spPr>
    </xdr:pic>
    <xdr:clientData/>
  </xdr:twoCellAnchor>
  <xdr:twoCellAnchor>
    <xdr:from>
      <xdr:col>1</xdr:col>
      <xdr:colOff>18567</xdr:colOff>
      <xdr:row>92</xdr:row>
      <xdr:rowOff>22175</xdr:rowOff>
    </xdr:from>
    <xdr:to>
      <xdr:col>1</xdr:col>
      <xdr:colOff>717067</xdr:colOff>
      <xdr:row>92</xdr:row>
      <xdr:rowOff>339675</xdr:rowOff>
    </xdr:to>
    <xdr:pic>
      <xdr:nvPicPr>
        <xdr:cNvPr id="82" name="Рисунок 81">
          <a:extLst>
            <a:ext uri="{FF2B5EF4-FFF2-40B4-BE49-F238E27FC236}">
              <a16:creationId xmlns:a16="http://schemas.microsoft.com/office/drawing/2014/main" id="{00000000-0008-0000-0700-000052000000}"/>
            </a:ext>
          </a:extLst>
        </xdr:cNvPr>
        <xdr:cNvPicPr>
          <a:picLocks noChangeAspect="1"/>
        </xdr:cNvPicPr>
      </xdr:nvPicPr>
      <xdr:blipFill>
        <a:blip xmlns:r="http://schemas.openxmlformats.org/officeDocument/2006/relationships" r:embed="rId2"/>
        <a:stretch>
          <a:fillRect/>
        </a:stretch>
      </xdr:blipFill>
      <xdr:spPr>
        <a:xfrm>
          <a:off x="18410888" y="27973514"/>
          <a:ext cx="698500" cy="317500"/>
        </a:xfrm>
        <a:prstGeom prst="rect">
          <a:avLst/>
        </a:prstGeom>
      </xdr:spPr>
    </xdr:pic>
    <xdr:clientData/>
  </xdr:twoCellAnchor>
  <xdr:twoCellAnchor>
    <xdr:from>
      <xdr:col>1</xdr:col>
      <xdr:colOff>32016</xdr:colOff>
      <xdr:row>100</xdr:row>
      <xdr:rowOff>21344</xdr:rowOff>
    </xdr:from>
    <xdr:to>
      <xdr:col>1</xdr:col>
      <xdr:colOff>590816</xdr:colOff>
      <xdr:row>100</xdr:row>
      <xdr:rowOff>313444</xdr:rowOff>
    </xdr:to>
    <xdr:pic>
      <xdr:nvPicPr>
        <xdr:cNvPr id="83" name="Рисунок 82">
          <a:extLst>
            <a:ext uri="{FF2B5EF4-FFF2-40B4-BE49-F238E27FC236}">
              <a16:creationId xmlns:a16="http://schemas.microsoft.com/office/drawing/2014/main" id="{00000000-0008-0000-0700-000053000000}"/>
            </a:ext>
          </a:extLst>
        </xdr:cNvPr>
        <xdr:cNvPicPr>
          <a:picLocks noChangeAspect="1"/>
        </xdr:cNvPicPr>
      </xdr:nvPicPr>
      <xdr:blipFill>
        <a:blip xmlns:r="http://schemas.openxmlformats.org/officeDocument/2006/relationships" r:embed="rId4"/>
        <a:stretch>
          <a:fillRect/>
        </a:stretch>
      </xdr:blipFill>
      <xdr:spPr>
        <a:xfrm>
          <a:off x="18424337" y="30739469"/>
          <a:ext cx="558800" cy="292100"/>
        </a:xfrm>
        <a:prstGeom prst="rect">
          <a:avLst/>
        </a:prstGeom>
      </xdr:spPr>
    </xdr:pic>
    <xdr:clientData/>
  </xdr:twoCellAnchor>
  <xdr:twoCellAnchor>
    <xdr:from>
      <xdr:col>1</xdr:col>
      <xdr:colOff>32016</xdr:colOff>
      <xdr:row>101</xdr:row>
      <xdr:rowOff>21344</xdr:rowOff>
    </xdr:from>
    <xdr:to>
      <xdr:col>1</xdr:col>
      <xdr:colOff>590816</xdr:colOff>
      <xdr:row>101</xdr:row>
      <xdr:rowOff>313444</xdr:rowOff>
    </xdr:to>
    <xdr:pic>
      <xdr:nvPicPr>
        <xdr:cNvPr id="84" name="Рисунок 83">
          <a:extLst>
            <a:ext uri="{FF2B5EF4-FFF2-40B4-BE49-F238E27FC236}">
              <a16:creationId xmlns:a16="http://schemas.microsoft.com/office/drawing/2014/main" id="{00000000-0008-0000-0700-000054000000}"/>
            </a:ext>
          </a:extLst>
        </xdr:cNvPr>
        <xdr:cNvPicPr>
          <a:picLocks noChangeAspect="1"/>
        </xdr:cNvPicPr>
      </xdr:nvPicPr>
      <xdr:blipFill>
        <a:blip xmlns:r="http://schemas.openxmlformats.org/officeDocument/2006/relationships" r:embed="rId4"/>
        <a:stretch>
          <a:fillRect/>
        </a:stretch>
      </xdr:blipFill>
      <xdr:spPr>
        <a:xfrm>
          <a:off x="18424337" y="31125005"/>
          <a:ext cx="558800" cy="292100"/>
        </a:xfrm>
        <a:prstGeom prst="rect">
          <a:avLst/>
        </a:prstGeom>
      </xdr:spPr>
    </xdr:pic>
    <xdr:clientData/>
  </xdr:twoCellAnchor>
  <xdr:twoCellAnchor>
    <xdr:from>
      <xdr:col>1</xdr:col>
      <xdr:colOff>32016</xdr:colOff>
      <xdr:row>102</xdr:row>
      <xdr:rowOff>21344</xdr:rowOff>
    </xdr:from>
    <xdr:to>
      <xdr:col>1</xdr:col>
      <xdr:colOff>590816</xdr:colOff>
      <xdr:row>102</xdr:row>
      <xdr:rowOff>313444</xdr:rowOff>
    </xdr:to>
    <xdr:pic>
      <xdr:nvPicPr>
        <xdr:cNvPr id="85" name="Рисунок 84">
          <a:extLst>
            <a:ext uri="{FF2B5EF4-FFF2-40B4-BE49-F238E27FC236}">
              <a16:creationId xmlns:a16="http://schemas.microsoft.com/office/drawing/2014/main" id="{00000000-0008-0000-0700-000055000000}"/>
            </a:ext>
          </a:extLst>
        </xdr:cNvPr>
        <xdr:cNvPicPr>
          <a:picLocks noChangeAspect="1"/>
        </xdr:cNvPicPr>
      </xdr:nvPicPr>
      <xdr:blipFill>
        <a:blip xmlns:r="http://schemas.openxmlformats.org/officeDocument/2006/relationships" r:embed="rId4"/>
        <a:stretch>
          <a:fillRect/>
        </a:stretch>
      </xdr:blipFill>
      <xdr:spPr>
        <a:xfrm>
          <a:off x="18424337" y="31510540"/>
          <a:ext cx="558800" cy="292100"/>
        </a:xfrm>
        <a:prstGeom prst="rect">
          <a:avLst/>
        </a:prstGeom>
      </xdr:spPr>
    </xdr:pic>
    <xdr:clientData/>
  </xdr:twoCellAnchor>
  <xdr:twoCellAnchor>
    <xdr:from>
      <xdr:col>1</xdr:col>
      <xdr:colOff>25401</xdr:colOff>
      <xdr:row>63</xdr:row>
      <xdr:rowOff>16934</xdr:rowOff>
    </xdr:from>
    <xdr:to>
      <xdr:col>1</xdr:col>
      <xdr:colOff>1143001</xdr:colOff>
      <xdr:row>63</xdr:row>
      <xdr:rowOff>364150</xdr:rowOff>
    </xdr:to>
    <xdr:pic>
      <xdr:nvPicPr>
        <xdr:cNvPr id="86" name="Рисунок 85">
          <a:extLst>
            <a:ext uri="{FF2B5EF4-FFF2-40B4-BE49-F238E27FC236}">
              <a16:creationId xmlns:a16="http://schemas.microsoft.com/office/drawing/2014/main" id="{00000000-0008-0000-0700-000056000000}"/>
            </a:ext>
          </a:extLst>
        </xdr:cNvPr>
        <xdr:cNvPicPr>
          <a:picLocks noChangeAspect="1"/>
        </xdr:cNvPicPr>
      </xdr:nvPicPr>
      <xdr:blipFill>
        <a:blip xmlns:r="http://schemas.openxmlformats.org/officeDocument/2006/relationships" r:embed="rId14"/>
        <a:stretch>
          <a:fillRect/>
        </a:stretch>
      </xdr:blipFill>
      <xdr:spPr>
        <a:xfrm>
          <a:off x="18417722" y="17490773"/>
          <a:ext cx="1117600" cy="347216"/>
        </a:xfrm>
        <a:prstGeom prst="rect">
          <a:avLst/>
        </a:prstGeom>
      </xdr:spPr>
    </xdr:pic>
    <xdr:clientData/>
  </xdr:twoCellAnchor>
  <xdr:twoCellAnchor>
    <xdr:from>
      <xdr:col>1</xdr:col>
      <xdr:colOff>31282</xdr:colOff>
      <xdr:row>73</xdr:row>
      <xdr:rowOff>8467</xdr:rowOff>
    </xdr:from>
    <xdr:to>
      <xdr:col>1</xdr:col>
      <xdr:colOff>742482</xdr:colOff>
      <xdr:row>73</xdr:row>
      <xdr:rowOff>364067</xdr:rowOff>
    </xdr:to>
    <xdr:pic>
      <xdr:nvPicPr>
        <xdr:cNvPr id="88" name="Рисунок 87">
          <a:extLst>
            <a:ext uri="{FF2B5EF4-FFF2-40B4-BE49-F238E27FC236}">
              <a16:creationId xmlns:a16="http://schemas.microsoft.com/office/drawing/2014/main" id="{00000000-0008-0000-0700-000058000000}"/>
            </a:ext>
          </a:extLst>
        </xdr:cNvPr>
        <xdr:cNvPicPr>
          <a:picLocks noChangeAspect="1"/>
        </xdr:cNvPicPr>
      </xdr:nvPicPr>
      <xdr:blipFill>
        <a:blip xmlns:r="http://schemas.openxmlformats.org/officeDocument/2006/relationships" r:embed="rId16"/>
        <a:stretch>
          <a:fillRect/>
        </a:stretch>
      </xdr:blipFill>
      <xdr:spPr>
        <a:xfrm>
          <a:off x="18423603" y="21190253"/>
          <a:ext cx="711200" cy="3556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3873500</xdr:colOff>
          <xdr:row>73</xdr:row>
          <xdr:rowOff>50800</xdr:rowOff>
        </xdr:from>
        <xdr:to>
          <xdr:col>2</xdr:col>
          <xdr:colOff>4521200</xdr:colOff>
          <xdr:row>73</xdr:row>
          <xdr:rowOff>355600</xdr:rowOff>
        </xdr:to>
        <xdr:sp macro="" textlink="">
          <xdr:nvSpPr>
            <xdr:cNvPr id="147145" name="Button 713" hidden="1">
              <a:extLst>
                <a:ext uri="{63B3BB69-23CF-44E3-9099-C40C66FF867C}">
                  <a14:compatExt spid="_x0000_s147145"/>
                </a:ext>
                <a:ext uri="{FF2B5EF4-FFF2-40B4-BE49-F238E27FC236}">
                  <a16:creationId xmlns:a16="http://schemas.microsoft.com/office/drawing/2014/main" id="{00000000-0008-0000-0700-0000C9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3822700</xdr:colOff>
          <xdr:row>74</xdr:row>
          <xdr:rowOff>25400</xdr:rowOff>
        </xdr:from>
        <xdr:to>
          <xdr:col>2</xdr:col>
          <xdr:colOff>4521200</xdr:colOff>
          <xdr:row>74</xdr:row>
          <xdr:rowOff>304800</xdr:rowOff>
        </xdr:to>
        <xdr:sp macro="" textlink="">
          <xdr:nvSpPr>
            <xdr:cNvPr id="147146" name="Button 714" hidden="1">
              <a:extLst>
                <a:ext uri="{63B3BB69-23CF-44E3-9099-C40C66FF867C}">
                  <a14:compatExt spid="_x0000_s147146"/>
                </a:ext>
                <a:ext uri="{FF2B5EF4-FFF2-40B4-BE49-F238E27FC236}">
                  <a16:creationId xmlns:a16="http://schemas.microsoft.com/office/drawing/2014/main" id="{00000000-0008-0000-0700-0000CA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16934</xdr:colOff>
      <xdr:row>103</xdr:row>
      <xdr:rowOff>16934</xdr:rowOff>
    </xdr:from>
    <xdr:to>
      <xdr:col>1</xdr:col>
      <xdr:colOff>588434</xdr:colOff>
      <xdr:row>103</xdr:row>
      <xdr:rowOff>309034</xdr:rowOff>
    </xdr:to>
    <xdr:pic>
      <xdr:nvPicPr>
        <xdr:cNvPr id="91" name="Рисунок 90">
          <a:extLst>
            <a:ext uri="{FF2B5EF4-FFF2-40B4-BE49-F238E27FC236}">
              <a16:creationId xmlns:a16="http://schemas.microsoft.com/office/drawing/2014/main" id="{00000000-0008-0000-0700-00005B000000}"/>
            </a:ext>
          </a:extLst>
        </xdr:cNvPr>
        <xdr:cNvPicPr>
          <a:picLocks noChangeAspect="1"/>
        </xdr:cNvPicPr>
      </xdr:nvPicPr>
      <xdr:blipFill>
        <a:blip xmlns:r="http://schemas.openxmlformats.org/officeDocument/2006/relationships" r:embed="rId17"/>
        <a:stretch>
          <a:fillRect/>
        </a:stretch>
      </xdr:blipFill>
      <xdr:spPr>
        <a:xfrm>
          <a:off x="18409255" y="31891666"/>
          <a:ext cx="571500" cy="292100"/>
        </a:xfrm>
        <a:prstGeom prst="rect">
          <a:avLst/>
        </a:prstGeom>
      </xdr:spPr>
    </xdr:pic>
    <xdr:clientData/>
  </xdr:twoCellAnchor>
  <xdr:twoCellAnchor>
    <xdr:from>
      <xdr:col>1</xdr:col>
      <xdr:colOff>16934</xdr:colOff>
      <xdr:row>104</xdr:row>
      <xdr:rowOff>16934</xdr:rowOff>
    </xdr:from>
    <xdr:to>
      <xdr:col>1</xdr:col>
      <xdr:colOff>588434</xdr:colOff>
      <xdr:row>104</xdr:row>
      <xdr:rowOff>309034</xdr:rowOff>
    </xdr:to>
    <xdr:pic>
      <xdr:nvPicPr>
        <xdr:cNvPr id="92" name="Рисунок 91">
          <a:extLst>
            <a:ext uri="{FF2B5EF4-FFF2-40B4-BE49-F238E27FC236}">
              <a16:creationId xmlns:a16="http://schemas.microsoft.com/office/drawing/2014/main" id="{00000000-0008-0000-0700-00005C000000}"/>
            </a:ext>
          </a:extLst>
        </xdr:cNvPr>
        <xdr:cNvPicPr>
          <a:picLocks noChangeAspect="1"/>
        </xdr:cNvPicPr>
      </xdr:nvPicPr>
      <xdr:blipFill>
        <a:blip xmlns:r="http://schemas.openxmlformats.org/officeDocument/2006/relationships" r:embed="rId17"/>
        <a:stretch>
          <a:fillRect/>
        </a:stretch>
      </xdr:blipFill>
      <xdr:spPr>
        <a:xfrm>
          <a:off x="18409255" y="32277202"/>
          <a:ext cx="571500" cy="2921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3835400</xdr:colOff>
          <xdr:row>75</xdr:row>
          <xdr:rowOff>38100</xdr:rowOff>
        </xdr:from>
        <xdr:to>
          <xdr:col>2</xdr:col>
          <xdr:colOff>4521200</xdr:colOff>
          <xdr:row>75</xdr:row>
          <xdr:rowOff>317500</xdr:rowOff>
        </xdr:to>
        <xdr:sp macro="" textlink="">
          <xdr:nvSpPr>
            <xdr:cNvPr id="147147" name="Button 715" hidden="1">
              <a:extLst>
                <a:ext uri="{63B3BB69-23CF-44E3-9099-C40C66FF867C}">
                  <a14:compatExt spid="_x0000_s147147"/>
                </a:ext>
                <a:ext uri="{FF2B5EF4-FFF2-40B4-BE49-F238E27FC236}">
                  <a16:creationId xmlns:a16="http://schemas.microsoft.com/office/drawing/2014/main" id="{00000000-0008-0000-0700-0000CB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16934</xdr:colOff>
      <xdr:row>105</xdr:row>
      <xdr:rowOff>16934</xdr:rowOff>
    </xdr:from>
    <xdr:to>
      <xdr:col>1</xdr:col>
      <xdr:colOff>588434</xdr:colOff>
      <xdr:row>105</xdr:row>
      <xdr:rowOff>309034</xdr:rowOff>
    </xdr:to>
    <xdr:pic>
      <xdr:nvPicPr>
        <xdr:cNvPr id="94" name="Рисунок 93">
          <a:extLst>
            <a:ext uri="{FF2B5EF4-FFF2-40B4-BE49-F238E27FC236}">
              <a16:creationId xmlns:a16="http://schemas.microsoft.com/office/drawing/2014/main" id="{00000000-0008-0000-0700-00005E000000}"/>
            </a:ext>
          </a:extLst>
        </xdr:cNvPr>
        <xdr:cNvPicPr>
          <a:picLocks noChangeAspect="1"/>
        </xdr:cNvPicPr>
      </xdr:nvPicPr>
      <xdr:blipFill>
        <a:blip xmlns:r="http://schemas.openxmlformats.org/officeDocument/2006/relationships" r:embed="rId17"/>
        <a:stretch>
          <a:fillRect/>
        </a:stretch>
      </xdr:blipFill>
      <xdr:spPr>
        <a:xfrm>
          <a:off x="18409255" y="32662738"/>
          <a:ext cx="571500" cy="292100"/>
        </a:xfrm>
        <a:prstGeom prst="rect">
          <a:avLst/>
        </a:prstGeom>
      </xdr:spPr>
    </xdr:pic>
    <xdr:clientData/>
  </xdr:twoCellAnchor>
  <xdr:twoCellAnchor>
    <xdr:from>
      <xdr:col>1</xdr:col>
      <xdr:colOff>15210</xdr:colOff>
      <xdr:row>72</xdr:row>
      <xdr:rowOff>7605</xdr:rowOff>
    </xdr:from>
    <xdr:to>
      <xdr:col>1</xdr:col>
      <xdr:colOff>726410</xdr:colOff>
      <xdr:row>72</xdr:row>
      <xdr:rowOff>350505</xdr:rowOff>
    </xdr:to>
    <xdr:pic>
      <xdr:nvPicPr>
        <xdr:cNvPr id="95" name="Рисунок 94">
          <a:extLst>
            <a:ext uri="{FF2B5EF4-FFF2-40B4-BE49-F238E27FC236}">
              <a16:creationId xmlns:a16="http://schemas.microsoft.com/office/drawing/2014/main" id="{00000000-0008-0000-0700-00005F000000}"/>
            </a:ext>
          </a:extLst>
        </xdr:cNvPr>
        <xdr:cNvPicPr>
          <a:picLocks noChangeAspect="1"/>
        </xdr:cNvPicPr>
      </xdr:nvPicPr>
      <xdr:blipFill>
        <a:blip xmlns:r="http://schemas.openxmlformats.org/officeDocument/2006/relationships" r:embed="rId18"/>
        <a:stretch>
          <a:fillRect/>
        </a:stretch>
      </xdr:blipFill>
      <xdr:spPr>
        <a:xfrm>
          <a:off x="18407531" y="20758498"/>
          <a:ext cx="711200" cy="342900"/>
        </a:xfrm>
        <a:prstGeom prst="rect">
          <a:avLst/>
        </a:prstGeom>
      </xdr:spPr>
    </xdr:pic>
    <xdr:clientData/>
  </xdr:twoCellAnchor>
  <xdr:twoCellAnchor>
    <xdr:from>
      <xdr:col>1</xdr:col>
      <xdr:colOff>7605</xdr:colOff>
      <xdr:row>69</xdr:row>
      <xdr:rowOff>7605</xdr:rowOff>
    </xdr:from>
    <xdr:to>
      <xdr:col>1</xdr:col>
      <xdr:colOff>718805</xdr:colOff>
      <xdr:row>69</xdr:row>
      <xdr:rowOff>363205</xdr:rowOff>
    </xdr:to>
    <xdr:pic>
      <xdr:nvPicPr>
        <xdr:cNvPr id="96" name="Рисунок 95">
          <a:extLst>
            <a:ext uri="{FF2B5EF4-FFF2-40B4-BE49-F238E27FC236}">
              <a16:creationId xmlns:a16="http://schemas.microsoft.com/office/drawing/2014/main" id="{00000000-0008-0000-0700-000060000000}"/>
            </a:ext>
          </a:extLst>
        </xdr:cNvPr>
        <xdr:cNvPicPr>
          <a:picLocks noChangeAspect="1"/>
        </xdr:cNvPicPr>
      </xdr:nvPicPr>
      <xdr:blipFill>
        <a:blip xmlns:r="http://schemas.openxmlformats.org/officeDocument/2006/relationships" r:embed="rId18"/>
        <a:stretch>
          <a:fillRect/>
        </a:stretch>
      </xdr:blipFill>
      <xdr:spPr>
        <a:xfrm>
          <a:off x="18399926" y="19465819"/>
          <a:ext cx="711200" cy="355600"/>
        </a:xfrm>
        <a:prstGeom prst="rect">
          <a:avLst/>
        </a:prstGeom>
      </xdr:spPr>
    </xdr:pic>
    <xdr:clientData/>
  </xdr:twoCellAnchor>
  <xdr:twoCellAnchor>
    <xdr:from>
      <xdr:col>1</xdr:col>
      <xdr:colOff>15210</xdr:colOff>
      <xdr:row>70</xdr:row>
      <xdr:rowOff>15210</xdr:rowOff>
    </xdr:from>
    <xdr:to>
      <xdr:col>1</xdr:col>
      <xdr:colOff>726410</xdr:colOff>
      <xdr:row>70</xdr:row>
      <xdr:rowOff>370810</xdr:rowOff>
    </xdr:to>
    <xdr:pic>
      <xdr:nvPicPr>
        <xdr:cNvPr id="97" name="Рисунок 96">
          <a:extLst>
            <a:ext uri="{FF2B5EF4-FFF2-40B4-BE49-F238E27FC236}">
              <a16:creationId xmlns:a16="http://schemas.microsoft.com/office/drawing/2014/main" id="{00000000-0008-0000-0700-000061000000}"/>
            </a:ext>
          </a:extLst>
        </xdr:cNvPr>
        <xdr:cNvPicPr>
          <a:picLocks noChangeAspect="1"/>
        </xdr:cNvPicPr>
      </xdr:nvPicPr>
      <xdr:blipFill>
        <a:blip xmlns:r="http://schemas.openxmlformats.org/officeDocument/2006/relationships" r:embed="rId18"/>
        <a:stretch>
          <a:fillRect/>
        </a:stretch>
      </xdr:blipFill>
      <xdr:spPr>
        <a:xfrm>
          <a:off x="18407531" y="19904317"/>
          <a:ext cx="711200" cy="355600"/>
        </a:xfrm>
        <a:prstGeom prst="rect">
          <a:avLst/>
        </a:prstGeom>
      </xdr:spPr>
    </xdr:pic>
    <xdr:clientData/>
  </xdr:twoCellAnchor>
  <xdr:twoCellAnchor>
    <xdr:from>
      <xdr:col>1</xdr:col>
      <xdr:colOff>7605</xdr:colOff>
      <xdr:row>74</xdr:row>
      <xdr:rowOff>7605</xdr:rowOff>
    </xdr:from>
    <xdr:to>
      <xdr:col>1</xdr:col>
      <xdr:colOff>718805</xdr:colOff>
      <xdr:row>74</xdr:row>
      <xdr:rowOff>350505</xdr:rowOff>
    </xdr:to>
    <xdr:pic>
      <xdr:nvPicPr>
        <xdr:cNvPr id="98" name="Рисунок 97">
          <a:extLst>
            <a:ext uri="{FF2B5EF4-FFF2-40B4-BE49-F238E27FC236}">
              <a16:creationId xmlns:a16="http://schemas.microsoft.com/office/drawing/2014/main" id="{00000000-0008-0000-0700-000062000000}"/>
            </a:ext>
          </a:extLst>
        </xdr:cNvPr>
        <xdr:cNvPicPr>
          <a:picLocks noChangeAspect="1"/>
        </xdr:cNvPicPr>
      </xdr:nvPicPr>
      <xdr:blipFill>
        <a:blip xmlns:r="http://schemas.openxmlformats.org/officeDocument/2006/relationships" r:embed="rId18"/>
        <a:stretch>
          <a:fillRect/>
        </a:stretch>
      </xdr:blipFill>
      <xdr:spPr>
        <a:xfrm>
          <a:off x="18399926" y="21620284"/>
          <a:ext cx="711200" cy="342900"/>
        </a:xfrm>
        <a:prstGeom prst="rect">
          <a:avLst/>
        </a:prstGeom>
      </xdr:spPr>
    </xdr:pic>
    <xdr:clientData/>
  </xdr:twoCellAnchor>
  <xdr:twoCellAnchor>
    <xdr:from>
      <xdr:col>1</xdr:col>
      <xdr:colOff>321326</xdr:colOff>
      <xdr:row>58</xdr:row>
      <xdr:rowOff>7651</xdr:rowOff>
    </xdr:from>
    <xdr:to>
      <xdr:col>1</xdr:col>
      <xdr:colOff>933373</xdr:colOff>
      <xdr:row>58</xdr:row>
      <xdr:rowOff>352777</xdr:rowOff>
    </xdr:to>
    <xdr:pic>
      <xdr:nvPicPr>
        <xdr:cNvPr id="99" name="Рисунок 98">
          <a:extLst>
            <a:ext uri="{FF2B5EF4-FFF2-40B4-BE49-F238E27FC236}">
              <a16:creationId xmlns:a16="http://schemas.microsoft.com/office/drawing/2014/main" id="{00000000-0008-0000-0700-000063000000}"/>
            </a:ext>
          </a:extLst>
        </xdr:cNvPr>
        <xdr:cNvPicPr>
          <a:picLocks noChangeAspect="1"/>
        </xdr:cNvPicPr>
      </xdr:nvPicPr>
      <xdr:blipFill>
        <a:blip xmlns:r="http://schemas.openxmlformats.org/officeDocument/2006/relationships" r:embed="rId19"/>
        <a:stretch>
          <a:fillRect/>
        </a:stretch>
      </xdr:blipFill>
      <xdr:spPr>
        <a:xfrm>
          <a:off x="18713647" y="16007383"/>
          <a:ext cx="612047" cy="268926"/>
        </a:xfrm>
        <a:prstGeom prst="rect">
          <a:avLst/>
        </a:prstGeom>
      </xdr:spPr>
    </xdr:pic>
    <xdr:clientData/>
  </xdr:twoCellAnchor>
  <xdr:twoCellAnchor>
    <xdr:from>
      <xdr:col>1</xdr:col>
      <xdr:colOff>15681</xdr:colOff>
      <xdr:row>95</xdr:row>
      <xdr:rowOff>7840</xdr:rowOff>
    </xdr:from>
    <xdr:to>
      <xdr:col>1</xdr:col>
      <xdr:colOff>846582</xdr:colOff>
      <xdr:row>95</xdr:row>
      <xdr:rowOff>352360</xdr:rowOff>
    </xdr:to>
    <xdr:pic>
      <xdr:nvPicPr>
        <xdr:cNvPr id="100" name="Рисунок 99">
          <a:extLst>
            <a:ext uri="{FF2B5EF4-FFF2-40B4-BE49-F238E27FC236}">
              <a16:creationId xmlns:a16="http://schemas.microsoft.com/office/drawing/2014/main" id="{00000000-0008-0000-0700-000064000000}"/>
            </a:ext>
          </a:extLst>
        </xdr:cNvPr>
        <xdr:cNvPicPr>
          <a:picLocks noChangeAspect="1"/>
        </xdr:cNvPicPr>
      </xdr:nvPicPr>
      <xdr:blipFill>
        <a:blip xmlns:r="http://schemas.openxmlformats.org/officeDocument/2006/relationships" r:embed="rId20"/>
        <a:stretch>
          <a:fillRect/>
        </a:stretch>
      </xdr:blipFill>
      <xdr:spPr>
        <a:xfrm>
          <a:off x="18408002" y="29149804"/>
          <a:ext cx="830901" cy="344520"/>
        </a:xfrm>
        <a:prstGeom prst="rect">
          <a:avLst/>
        </a:prstGeom>
      </xdr:spPr>
    </xdr:pic>
    <xdr:clientData/>
  </xdr:twoCellAnchor>
  <xdr:twoCellAnchor>
    <xdr:from>
      <xdr:col>1</xdr:col>
      <xdr:colOff>20320</xdr:colOff>
      <xdr:row>66</xdr:row>
      <xdr:rowOff>20321</xdr:rowOff>
    </xdr:from>
    <xdr:to>
      <xdr:col>1</xdr:col>
      <xdr:colOff>1976120</xdr:colOff>
      <xdr:row>66</xdr:row>
      <xdr:rowOff>345441</xdr:rowOff>
    </xdr:to>
    <xdr:pic>
      <xdr:nvPicPr>
        <xdr:cNvPr id="103" name="Рисунок 102">
          <a:extLst>
            <a:ext uri="{FF2B5EF4-FFF2-40B4-BE49-F238E27FC236}">
              <a16:creationId xmlns:a16="http://schemas.microsoft.com/office/drawing/2014/main" id="{00000000-0008-0000-0700-000067000000}"/>
            </a:ext>
          </a:extLst>
        </xdr:cNvPr>
        <xdr:cNvPicPr>
          <a:picLocks noChangeAspect="1"/>
        </xdr:cNvPicPr>
      </xdr:nvPicPr>
      <xdr:blipFill>
        <a:blip xmlns:r="http://schemas.openxmlformats.org/officeDocument/2006/relationships" r:embed="rId21"/>
        <a:stretch>
          <a:fillRect/>
        </a:stretch>
      </xdr:blipFill>
      <xdr:spPr>
        <a:xfrm>
          <a:off x="18412641" y="18684785"/>
          <a:ext cx="1955800" cy="325120"/>
        </a:xfrm>
        <a:prstGeom prst="rect">
          <a:avLst/>
        </a:prstGeom>
      </xdr:spPr>
    </xdr:pic>
    <xdr:clientData/>
  </xdr:twoCellAnchor>
  <xdr:twoCellAnchor>
    <xdr:from>
      <xdr:col>1</xdr:col>
      <xdr:colOff>60960</xdr:colOff>
      <xdr:row>67</xdr:row>
      <xdr:rowOff>20321</xdr:rowOff>
    </xdr:from>
    <xdr:to>
      <xdr:col>1</xdr:col>
      <xdr:colOff>2433320</xdr:colOff>
      <xdr:row>67</xdr:row>
      <xdr:rowOff>335281</xdr:rowOff>
    </xdr:to>
    <xdr:pic>
      <xdr:nvPicPr>
        <xdr:cNvPr id="106" name="Рисунок 105">
          <a:extLst>
            <a:ext uri="{FF2B5EF4-FFF2-40B4-BE49-F238E27FC236}">
              <a16:creationId xmlns:a16="http://schemas.microsoft.com/office/drawing/2014/main" id="{00000000-0008-0000-0700-00006A000000}"/>
            </a:ext>
          </a:extLst>
        </xdr:cNvPr>
        <xdr:cNvPicPr>
          <a:picLocks noChangeAspect="1"/>
        </xdr:cNvPicPr>
      </xdr:nvPicPr>
      <xdr:blipFill>
        <a:blip xmlns:r="http://schemas.openxmlformats.org/officeDocument/2006/relationships" r:embed="rId22"/>
        <a:stretch>
          <a:fillRect/>
        </a:stretch>
      </xdr:blipFill>
      <xdr:spPr>
        <a:xfrm>
          <a:off x="18453281" y="19081660"/>
          <a:ext cx="2283460" cy="31496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3822700</xdr:colOff>
          <xdr:row>76</xdr:row>
          <xdr:rowOff>25400</xdr:rowOff>
        </xdr:from>
        <xdr:to>
          <xdr:col>2</xdr:col>
          <xdr:colOff>4521200</xdr:colOff>
          <xdr:row>76</xdr:row>
          <xdr:rowOff>279400</xdr:rowOff>
        </xdr:to>
        <xdr:sp macro="" textlink="">
          <xdr:nvSpPr>
            <xdr:cNvPr id="147150" name="Button 718" hidden="1">
              <a:extLst>
                <a:ext uri="{63B3BB69-23CF-44E3-9099-C40C66FF867C}">
                  <a14:compatExt spid="_x0000_s147150"/>
                </a:ext>
                <a:ext uri="{FF2B5EF4-FFF2-40B4-BE49-F238E27FC236}">
                  <a16:creationId xmlns:a16="http://schemas.microsoft.com/office/drawing/2014/main" id="{00000000-0008-0000-0700-0000CE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xdr:twoCellAnchor>
    <xdr:from>
      <xdr:col>1</xdr:col>
      <xdr:colOff>7651</xdr:colOff>
      <xdr:row>96</xdr:row>
      <xdr:rowOff>7651</xdr:rowOff>
    </xdr:from>
    <xdr:to>
      <xdr:col>1</xdr:col>
      <xdr:colOff>841566</xdr:colOff>
      <xdr:row>96</xdr:row>
      <xdr:rowOff>325151</xdr:rowOff>
    </xdr:to>
    <xdr:pic>
      <xdr:nvPicPr>
        <xdr:cNvPr id="107" name="Рисунок 106">
          <a:extLst>
            <a:ext uri="{FF2B5EF4-FFF2-40B4-BE49-F238E27FC236}">
              <a16:creationId xmlns:a16="http://schemas.microsoft.com/office/drawing/2014/main" id="{00000000-0008-0000-0700-00006B000000}"/>
            </a:ext>
          </a:extLst>
        </xdr:cNvPr>
        <xdr:cNvPicPr>
          <a:picLocks noChangeAspect="1"/>
        </xdr:cNvPicPr>
      </xdr:nvPicPr>
      <xdr:blipFill>
        <a:blip xmlns:r="http://schemas.openxmlformats.org/officeDocument/2006/relationships" r:embed="rId23"/>
        <a:stretch>
          <a:fillRect/>
        </a:stretch>
      </xdr:blipFill>
      <xdr:spPr>
        <a:xfrm>
          <a:off x="18399972" y="29546490"/>
          <a:ext cx="833915" cy="317500"/>
        </a:xfrm>
        <a:prstGeom prst="rect">
          <a:avLst/>
        </a:prstGeom>
      </xdr:spPr>
    </xdr:pic>
    <xdr:clientData/>
  </xdr:twoCellAnchor>
  <xdr:twoCellAnchor>
    <xdr:from>
      <xdr:col>1</xdr:col>
      <xdr:colOff>15488</xdr:colOff>
      <xdr:row>97</xdr:row>
      <xdr:rowOff>15488</xdr:rowOff>
    </xdr:from>
    <xdr:to>
      <xdr:col>1</xdr:col>
      <xdr:colOff>853688</xdr:colOff>
      <xdr:row>97</xdr:row>
      <xdr:rowOff>332988</xdr:rowOff>
    </xdr:to>
    <xdr:pic>
      <xdr:nvPicPr>
        <xdr:cNvPr id="108" name="Рисунок 107">
          <a:extLst>
            <a:ext uri="{FF2B5EF4-FFF2-40B4-BE49-F238E27FC236}">
              <a16:creationId xmlns:a16="http://schemas.microsoft.com/office/drawing/2014/main" id="{00000000-0008-0000-0700-00006C000000}"/>
            </a:ext>
          </a:extLst>
        </xdr:cNvPr>
        <xdr:cNvPicPr>
          <a:picLocks noChangeAspect="1"/>
        </xdr:cNvPicPr>
      </xdr:nvPicPr>
      <xdr:blipFill>
        <a:blip xmlns:r="http://schemas.openxmlformats.org/officeDocument/2006/relationships" r:embed="rId24"/>
        <a:stretch>
          <a:fillRect/>
        </a:stretch>
      </xdr:blipFill>
      <xdr:spPr>
        <a:xfrm>
          <a:off x="18407809" y="29951202"/>
          <a:ext cx="838200" cy="317500"/>
        </a:xfrm>
        <a:prstGeom prst="rect">
          <a:avLst/>
        </a:prstGeom>
      </xdr:spPr>
    </xdr:pic>
    <xdr:clientData/>
  </xdr:twoCellAnchor>
  <xdr:twoCellAnchor>
    <xdr:from>
      <xdr:col>1</xdr:col>
      <xdr:colOff>16934</xdr:colOff>
      <xdr:row>106</xdr:row>
      <xdr:rowOff>16934</xdr:rowOff>
    </xdr:from>
    <xdr:to>
      <xdr:col>1</xdr:col>
      <xdr:colOff>588434</xdr:colOff>
      <xdr:row>106</xdr:row>
      <xdr:rowOff>309034</xdr:rowOff>
    </xdr:to>
    <xdr:pic>
      <xdr:nvPicPr>
        <xdr:cNvPr id="109" name="Рисунок 108">
          <a:extLst>
            <a:ext uri="{FF2B5EF4-FFF2-40B4-BE49-F238E27FC236}">
              <a16:creationId xmlns:a16="http://schemas.microsoft.com/office/drawing/2014/main" id="{00000000-0008-0000-0700-00006D000000}"/>
            </a:ext>
          </a:extLst>
        </xdr:cNvPr>
        <xdr:cNvPicPr>
          <a:picLocks noChangeAspect="1"/>
        </xdr:cNvPicPr>
      </xdr:nvPicPr>
      <xdr:blipFill>
        <a:blip xmlns:r="http://schemas.openxmlformats.org/officeDocument/2006/relationships" r:embed="rId17"/>
        <a:stretch>
          <a:fillRect/>
        </a:stretch>
      </xdr:blipFill>
      <xdr:spPr>
        <a:xfrm>
          <a:off x="18409255" y="33048273"/>
          <a:ext cx="571500" cy="292100"/>
        </a:xfrm>
        <a:prstGeom prst="rect">
          <a:avLst/>
        </a:prstGeom>
      </xdr:spPr>
    </xdr:pic>
    <xdr:clientData/>
  </xdr:twoCellAnchor>
  <xdr:twoCellAnchor>
    <xdr:from>
      <xdr:col>1</xdr:col>
      <xdr:colOff>16934</xdr:colOff>
      <xdr:row>107</xdr:row>
      <xdr:rowOff>16934</xdr:rowOff>
    </xdr:from>
    <xdr:to>
      <xdr:col>1</xdr:col>
      <xdr:colOff>588434</xdr:colOff>
      <xdr:row>107</xdr:row>
      <xdr:rowOff>309034</xdr:rowOff>
    </xdr:to>
    <xdr:pic>
      <xdr:nvPicPr>
        <xdr:cNvPr id="110" name="Рисунок 109">
          <a:extLst>
            <a:ext uri="{FF2B5EF4-FFF2-40B4-BE49-F238E27FC236}">
              <a16:creationId xmlns:a16="http://schemas.microsoft.com/office/drawing/2014/main" id="{00000000-0008-0000-0700-00006E000000}"/>
            </a:ext>
          </a:extLst>
        </xdr:cNvPr>
        <xdr:cNvPicPr>
          <a:picLocks noChangeAspect="1"/>
        </xdr:cNvPicPr>
      </xdr:nvPicPr>
      <xdr:blipFill>
        <a:blip xmlns:r="http://schemas.openxmlformats.org/officeDocument/2006/relationships" r:embed="rId17"/>
        <a:stretch>
          <a:fillRect/>
        </a:stretch>
      </xdr:blipFill>
      <xdr:spPr>
        <a:xfrm>
          <a:off x="18409255" y="33433809"/>
          <a:ext cx="571500" cy="2921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3848100</xdr:colOff>
          <xdr:row>77</xdr:row>
          <xdr:rowOff>25400</xdr:rowOff>
        </xdr:from>
        <xdr:to>
          <xdr:col>2</xdr:col>
          <xdr:colOff>4521200</xdr:colOff>
          <xdr:row>77</xdr:row>
          <xdr:rowOff>241300</xdr:rowOff>
        </xdr:to>
        <xdr:sp macro="" textlink="">
          <xdr:nvSpPr>
            <xdr:cNvPr id="147151" name="Button 719" hidden="1">
              <a:extLst>
                <a:ext uri="{63B3BB69-23CF-44E3-9099-C40C66FF867C}">
                  <a14:compatExt spid="_x0000_s147151"/>
                </a:ext>
                <a:ext uri="{FF2B5EF4-FFF2-40B4-BE49-F238E27FC236}">
                  <a16:creationId xmlns:a16="http://schemas.microsoft.com/office/drawing/2014/main" id="{00000000-0008-0000-0700-0000CF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1854200</xdr:colOff>
          <xdr:row>13</xdr:row>
          <xdr:rowOff>12700</xdr:rowOff>
        </xdr:from>
        <xdr:to>
          <xdr:col>2</xdr:col>
          <xdr:colOff>5956300</xdr:colOff>
          <xdr:row>14</xdr:row>
          <xdr:rowOff>0</xdr:rowOff>
        </xdr:to>
        <xdr:sp macro="" textlink="">
          <xdr:nvSpPr>
            <xdr:cNvPr id="147153" name="Button 721" hidden="1">
              <a:extLst>
                <a:ext uri="{63B3BB69-23CF-44E3-9099-C40C66FF867C}">
                  <a14:compatExt spid="_x0000_s147153"/>
                </a:ext>
                <a:ext uri="{FF2B5EF4-FFF2-40B4-BE49-F238E27FC236}">
                  <a16:creationId xmlns:a16="http://schemas.microsoft.com/office/drawing/2014/main" id="{00000000-0008-0000-0700-0000D13E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установок катодной защиты </a:t>
              </a:r>
            </a:p>
          </xdr:txBody>
        </xdr:sp>
        <xdr:clientData fPrintsWithSheet="0"/>
      </xdr:twoCellAnchor>
    </mc:Choice>
    <mc:Fallback/>
  </mc:AlternateContent>
  <xdr:twoCellAnchor>
    <xdr:from>
      <xdr:col>1</xdr:col>
      <xdr:colOff>0</xdr:colOff>
      <xdr:row>93</xdr:row>
      <xdr:rowOff>0</xdr:rowOff>
    </xdr:from>
    <xdr:to>
      <xdr:col>1</xdr:col>
      <xdr:colOff>830901</xdr:colOff>
      <xdr:row>93</xdr:row>
      <xdr:rowOff>344520</xdr:rowOff>
    </xdr:to>
    <xdr:pic>
      <xdr:nvPicPr>
        <xdr:cNvPr id="117" name="Рисунок 116">
          <a:extLst>
            <a:ext uri="{FF2B5EF4-FFF2-40B4-BE49-F238E27FC236}">
              <a16:creationId xmlns:a16="http://schemas.microsoft.com/office/drawing/2014/main" id="{00000000-0008-0000-0700-000075000000}"/>
            </a:ext>
          </a:extLst>
        </xdr:cNvPr>
        <xdr:cNvPicPr>
          <a:picLocks noChangeAspect="1"/>
        </xdr:cNvPicPr>
      </xdr:nvPicPr>
      <xdr:blipFill>
        <a:blip xmlns:r="http://schemas.openxmlformats.org/officeDocument/2006/relationships" r:embed="rId20"/>
        <a:stretch>
          <a:fillRect/>
        </a:stretch>
      </xdr:blipFill>
      <xdr:spPr>
        <a:xfrm>
          <a:off x="18392321" y="28348214"/>
          <a:ext cx="830901" cy="344520"/>
        </a:xfrm>
        <a:prstGeom prst="rect">
          <a:avLst/>
        </a:prstGeom>
      </xdr:spPr>
    </xdr:pic>
    <xdr:clientData/>
  </xdr:twoCellAnchor>
  <xdr:twoCellAnchor>
    <xdr:from>
      <xdr:col>1</xdr:col>
      <xdr:colOff>0</xdr:colOff>
      <xdr:row>93</xdr:row>
      <xdr:rowOff>382443</xdr:rowOff>
    </xdr:from>
    <xdr:to>
      <xdr:col>1</xdr:col>
      <xdr:colOff>830901</xdr:colOff>
      <xdr:row>94</xdr:row>
      <xdr:rowOff>344520</xdr:rowOff>
    </xdr:to>
    <xdr:pic>
      <xdr:nvPicPr>
        <xdr:cNvPr id="118" name="Рисунок 117">
          <a:extLst>
            <a:ext uri="{FF2B5EF4-FFF2-40B4-BE49-F238E27FC236}">
              <a16:creationId xmlns:a16="http://schemas.microsoft.com/office/drawing/2014/main" id="{00000000-0008-0000-0700-000076000000}"/>
            </a:ext>
          </a:extLst>
        </xdr:cNvPr>
        <xdr:cNvPicPr>
          <a:picLocks noChangeAspect="1"/>
        </xdr:cNvPicPr>
      </xdr:nvPicPr>
      <xdr:blipFill>
        <a:blip xmlns:r="http://schemas.openxmlformats.org/officeDocument/2006/relationships" r:embed="rId20"/>
        <a:stretch>
          <a:fillRect/>
        </a:stretch>
      </xdr:blipFill>
      <xdr:spPr>
        <a:xfrm>
          <a:off x="18392321" y="28730657"/>
          <a:ext cx="830901" cy="358952"/>
        </a:xfrm>
        <a:prstGeom prst="rect">
          <a:avLst/>
        </a:prstGeom>
      </xdr:spPr>
    </xdr:pic>
    <xdr:clientData/>
  </xdr:twoCellAnchor>
  <xdr:twoCellAnchor>
    <xdr:from>
      <xdr:col>1</xdr:col>
      <xdr:colOff>0</xdr:colOff>
      <xdr:row>75</xdr:row>
      <xdr:rowOff>0</xdr:rowOff>
    </xdr:from>
    <xdr:to>
      <xdr:col>1</xdr:col>
      <xdr:colOff>711200</xdr:colOff>
      <xdr:row>75</xdr:row>
      <xdr:rowOff>342900</xdr:rowOff>
    </xdr:to>
    <xdr:pic>
      <xdr:nvPicPr>
        <xdr:cNvPr id="133" name="Рисунок 132">
          <a:extLst>
            <a:ext uri="{FF2B5EF4-FFF2-40B4-BE49-F238E27FC236}">
              <a16:creationId xmlns:a16="http://schemas.microsoft.com/office/drawing/2014/main" id="{00000000-0008-0000-0700-000085000000}"/>
            </a:ext>
          </a:extLst>
        </xdr:cNvPr>
        <xdr:cNvPicPr>
          <a:picLocks noChangeAspect="1"/>
        </xdr:cNvPicPr>
      </xdr:nvPicPr>
      <xdr:blipFill>
        <a:blip xmlns:r="http://schemas.openxmlformats.org/officeDocument/2006/relationships" r:embed="rId18"/>
        <a:stretch>
          <a:fillRect/>
        </a:stretch>
      </xdr:blipFill>
      <xdr:spPr>
        <a:xfrm>
          <a:off x="20660179" y="24300089"/>
          <a:ext cx="711200" cy="342900"/>
        </a:xfrm>
        <a:prstGeom prst="rect">
          <a:avLst/>
        </a:prstGeom>
      </xdr:spPr>
    </xdr:pic>
    <xdr:clientData/>
  </xdr:twoCellAnchor>
  <xdr:twoCellAnchor>
    <xdr:from>
      <xdr:col>1</xdr:col>
      <xdr:colOff>0</xdr:colOff>
      <xdr:row>76</xdr:row>
      <xdr:rowOff>0</xdr:rowOff>
    </xdr:from>
    <xdr:to>
      <xdr:col>1</xdr:col>
      <xdr:colOff>711200</xdr:colOff>
      <xdr:row>76</xdr:row>
      <xdr:rowOff>342900</xdr:rowOff>
    </xdr:to>
    <xdr:pic>
      <xdr:nvPicPr>
        <xdr:cNvPr id="134" name="Рисунок 133">
          <a:extLst>
            <a:ext uri="{FF2B5EF4-FFF2-40B4-BE49-F238E27FC236}">
              <a16:creationId xmlns:a16="http://schemas.microsoft.com/office/drawing/2014/main" id="{00000000-0008-0000-0700-000086000000}"/>
            </a:ext>
          </a:extLst>
        </xdr:cNvPr>
        <xdr:cNvPicPr>
          <a:picLocks noChangeAspect="1"/>
        </xdr:cNvPicPr>
      </xdr:nvPicPr>
      <xdr:blipFill>
        <a:blip xmlns:r="http://schemas.openxmlformats.org/officeDocument/2006/relationships" r:embed="rId18"/>
        <a:stretch>
          <a:fillRect/>
        </a:stretch>
      </xdr:blipFill>
      <xdr:spPr>
        <a:xfrm>
          <a:off x="20660179" y="24730982"/>
          <a:ext cx="711200" cy="342900"/>
        </a:xfrm>
        <a:prstGeom prst="rect">
          <a:avLst/>
        </a:prstGeom>
      </xdr:spPr>
    </xdr:pic>
    <xdr:clientData/>
  </xdr:twoCellAnchor>
  <xdr:twoCellAnchor>
    <xdr:from>
      <xdr:col>1</xdr:col>
      <xdr:colOff>0</xdr:colOff>
      <xdr:row>77</xdr:row>
      <xdr:rowOff>0</xdr:rowOff>
    </xdr:from>
    <xdr:to>
      <xdr:col>1</xdr:col>
      <xdr:colOff>711200</xdr:colOff>
      <xdr:row>77</xdr:row>
      <xdr:rowOff>342900</xdr:rowOff>
    </xdr:to>
    <xdr:pic>
      <xdr:nvPicPr>
        <xdr:cNvPr id="135" name="Рисунок 134">
          <a:extLst>
            <a:ext uri="{FF2B5EF4-FFF2-40B4-BE49-F238E27FC236}">
              <a16:creationId xmlns:a16="http://schemas.microsoft.com/office/drawing/2014/main" id="{00000000-0008-0000-0700-000087000000}"/>
            </a:ext>
          </a:extLst>
        </xdr:cNvPr>
        <xdr:cNvPicPr>
          <a:picLocks noChangeAspect="1"/>
        </xdr:cNvPicPr>
      </xdr:nvPicPr>
      <xdr:blipFill>
        <a:blip xmlns:r="http://schemas.openxmlformats.org/officeDocument/2006/relationships" r:embed="rId18"/>
        <a:stretch>
          <a:fillRect/>
        </a:stretch>
      </xdr:blipFill>
      <xdr:spPr>
        <a:xfrm>
          <a:off x="20660179" y="25161875"/>
          <a:ext cx="711200" cy="342900"/>
        </a:xfrm>
        <a:prstGeom prst="rect">
          <a:avLst/>
        </a:prstGeom>
      </xdr:spPr>
    </xdr:pic>
    <xdr:clientData/>
  </xdr:twoCellAnchor>
  <xdr:twoCellAnchor>
    <xdr:from>
      <xdr:col>1</xdr:col>
      <xdr:colOff>0</xdr:colOff>
      <xdr:row>76</xdr:row>
      <xdr:rowOff>0</xdr:rowOff>
    </xdr:from>
    <xdr:to>
      <xdr:col>1</xdr:col>
      <xdr:colOff>711200</xdr:colOff>
      <xdr:row>76</xdr:row>
      <xdr:rowOff>342900</xdr:rowOff>
    </xdr:to>
    <xdr:pic>
      <xdr:nvPicPr>
        <xdr:cNvPr id="119" name="Рисунок 118">
          <a:extLst>
            <a:ext uri="{FF2B5EF4-FFF2-40B4-BE49-F238E27FC236}">
              <a16:creationId xmlns:a16="http://schemas.microsoft.com/office/drawing/2014/main" id="{00000000-0008-0000-0700-000077000000}"/>
            </a:ext>
          </a:extLst>
        </xdr:cNvPr>
        <xdr:cNvPicPr>
          <a:picLocks noChangeAspect="1"/>
        </xdr:cNvPicPr>
      </xdr:nvPicPr>
      <xdr:blipFill>
        <a:blip xmlns:r="http://schemas.openxmlformats.org/officeDocument/2006/relationships" r:embed="rId18"/>
        <a:stretch>
          <a:fillRect/>
        </a:stretch>
      </xdr:blipFill>
      <xdr:spPr>
        <a:xfrm>
          <a:off x="797585" y="23491932"/>
          <a:ext cx="711200" cy="342900"/>
        </a:xfrm>
        <a:prstGeom prst="rect">
          <a:avLst/>
        </a:prstGeom>
      </xdr:spPr>
    </xdr:pic>
    <xdr:clientData/>
  </xdr:twoCellAnchor>
  <xdr:twoCellAnchor>
    <xdr:from>
      <xdr:col>1</xdr:col>
      <xdr:colOff>0</xdr:colOff>
      <xdr:row>77</xdr:row>
      <xdr:rowOff>0</xdr:rowOff>
    </xdr:from>
    <xdr:to>
      <xdr:col>1</xdr:col>
      <xdr:colOff>711200</xdr:colOff>
      <xdr:row>77</xdr:row>
      <xdr:rowOff>342900</xdr:rowOff>
    </xdr:to>
    <xdr:pic>
      <xdr:nvPicPr>
        <xdr:cNvPr id="120" name="Рисунок 119">
          <a:extLst>
            <a:ext uri="{FF2B5EF4-FFF2-40B4-BE49-F238E27FC236}">
              <a16:creationId xmlns:a16="http://schemas.microsoft.com/office/drawing/2014/main" id="{00000000-0008-0000-0700-000078000000}"/>
            </a:ext>
          </a:extLst>
        </xdr:cNvPr>
        <xdr:cNvPicPr>
          <a:picLocks noChangeAspect="1"/>
        </xdr:cNvPicPr>
      </xdr:nvPicPr>
      <xdr:blipFill>
        <a:blip xmlns:r="http://schemas.openxmlformats.org/officeDocument/2006/relationships" r:embed="rId18"/>
        <a:stretch>
          <a:fillRect/>
        </a:stretch>
      </xdr:blipFill>
      <xdr:spPr>
        <a:xfrm>
          <a:off x="797585" y="23491932"/>
          <a:ext cx="711200" cy="342900"/>
        </a:xfrm>
        <a:prstGeom prst="rect">
          <a:avLst/>
        </a:prstGeom>
      </xdr:spPr>
    </xdr:pic>
    <xdr:clientData/>
  </xdr:twoCellAnchor>
  <xdr:twoCellAnchor>
    <xdr:from>
      <xdr:col>1</xdr:col>
      <xdr:colOff>0</xdr:colOff>
      <xdr:row>65</xdr:row>
      <xdr:rowOff>0</xdr:rowOff>
    </xdr:from>
    <xdr:to>
      <xdr:col>1</xdr:col>
      <xdr:colOff>1778000</xdr:colOff>
      <xdr:row>65</xdr:row>
      <xdr:rowOff>342900</xdr:rowOff>
    </xdr:to>
    <xdr:pic>
      <xdr:nvPicPr>
        <xdr:cNvPr id="137" name="Рисунок 136">
          <a:extLst>
            <a:ext uri="{FF2B5EF4-FFF2-40B4-BE49-F238E27FC236}">
              <a16:creationId xmlns:a16="http://schemas.microsoft.com/office/drawing/2014/main" id="{00000000-0008-0000-0700-000089000000}"/>
            </a:ext>
          </a:extLst>
        </xdr:cNvPr>
        <xdr:cNvPicPr>
          <a:picLocks noChangeAspect="1"/>
        </xdr:cNvPicPr>
      </xdr:nvPicPr>
      <xdr:blipFill>
        <a:blip xmlns:r="http://schemas.openxmlformats.org/officeDocument/2006/relationships" r:embed="rId13"/>
        <a:stretch>
          <a:fillRect/>
        </a:stretch>
      </xdr:blipFill>
      <xdr:spPr>
        <a:xfrm>
          <a:off x="1422400" y="20362333"/>
          <a:ext cx="1778000" cy="3429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381000</xdr:colOff>
          <xdr:row>7</xdr:row>
          <xdr:rowOff>12700</xdr:rowOff>
        </xdr:from>
        <xdr:to>
          <xdr:col>2</xdr:col>
          <xdr:colOff>3429000</xdr:colOff>
          <xdr:row>8</xdr:row>
          <xdr:rowOff>0</xdr:rowOff>
        </xdr:to>
        <xdr:sp macro="" textlink="">
          <xdr:nvSpPr>
            <xdr:cNvPr id="198322" name="Button 1714" hidden="1">
              <a:extLst>
                <a:ext uri="{63B3BB69-23CF-44E3-9099-C40C66FF867C}">
                  <a14:compatExt spid="_x0000_s198322"/>
                </a:ext>
                <a:ext uri="{FF2B5EF4-FFF2-40B4-BE49-F238E27FC236}">
                  <a16:creationId xmlns:a16="http://schemas.microsoft.com/office/drawing/2014/main" id="{00000000-0008-0000-0700-0000B206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Расставить УКЗ равномерно по длине трубы</a:t>
              </a:r>
            </a:p>
          </xdr:txBody>
        </xdr:sp>
        <xdr:clientData fPrintsWithSheet="0"/>
      </xdr:twoCellAnchor>
    </mc:Choice>
    <mc:Fallback/>
  </mc:AlternateContent>
  <xdr:twoCellAnchor>
    <xdr:from>
      <xdr:col>0</xdr:col>
      <xdr:colOff>1422399</xdr:colOff>
      <xdr:row>18</xdr:row>
      <xdr:rowOff>0</xdr:rowOff>
    </xdr:from>
    <xdr:to>
      <xdr:col>1</xdr:col>
      <xdr:colOff>423580</xdr:colOff>
      <xdr:row>19</xdr:row>
      <xdr:rowOff>0</xdr:rowOff>
    </xdr:to>
    <xdr:pic>
      <xdr:nvPicPr>
        <xdr:cNvPr id="23" name="Рисунок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25"/>
        <a:stretch>
          <a:fillRect/>
        </a:stretch>
      </xdr:blipFill>
      <xdr:spPr>
        <a:xfrm>
          <a:off x="1422399" y="4470400"/>
          <a:ext cx="423581" cy="2667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5168900</xdr:colOff>
          <xdr:row>18</xdr:row>
          <xdr:rowOff>0</xdr:rowOff>
        </xdr:from>
        <xdr:to>
          <xdr:col>2</xdr:col>
          <xdr:colOff>7099300</xdr:colOff>
          <xdr:row>19</xdr:row>
          <xdr:rowOff>12700</xdr:rowOff>
        </xdr:to>
        <xdr:sp macro="" textlink="">
          <xdr:nvSpPr>
            <xdr:cNvPr id="198461" name="Button 1853" hidden="1">
              <a:extLst>
                <a:ext uri="{63B3BB69-23CF-44E3-9099-C40C66FF867C}">
                  <a14:compatExt spid="_x0000_s198461"/>
                </a:ext>
                <a:ext uri="{FF2B5EF4-FFF2-40B4-BE49-F238E27FC236}">
                  <a16:creationId xmlns:a16="http://schemas.microsoft.com/office/drawing/2014/main" id="{00000000-0008-0000-0700-00003D07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количество УКЗ</a:t>
              </a:r>
            </a:p>
          </xdr:txBody>
        </xdr:sp>
        <xdr:clientData fPrintsWithSheet="0"/>
      </xdr:twoCellAnchor>
    </mc:Choice>
    <mc:Fallback/>
  </mc:AlternateContent>
  <xdr:twoCellAnchor>
    <xdr:from>
      <xdr:col>1</xdr:col>
      <xdr:colOff>0</xdr:colOff>
      <xdr:row>17</xdr:row>
      <xdr:rowOff>0</xdr:rowOff>
    </xdr:from>
    <xdr:to>
      <xdr:col>1</xdr:col>
      <xdr:colOff>1574800</xdr:colOff>
      <xdr:row>18</xdr:row>
      <xdr:rowOff>1110</xdr:rowOff>
    </xdr:to>
    <xdr:pic>
      <xdr:nvPicPr>
        <xdr:cNvPr id="20" name="Рисунок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6"/>
        <a:stretch>
          <a:fillRect/>
        </a:stretch>
      </xdr:blipFill>
      <xdr:spPr>
        <a:xfrm>
          <a:off x="1422400" y="4419600"/>
          <a:ext cx="1574800" cy="34401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nod"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od"/>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52ADC9A-66AD-0649-B68A-BF1C38C00C45}" name="Таблица61" displayName="Таблица61" ref="B3:C5" totalsRowShown="0" headerRowDxfId="262" headerRowBorderDxfId="261" tableBorderDxfId="260" totalsRowBorderDxfId="259">
  <autoFilter ref="B3:C5" xr:uid="{B52ADC9A-66AD-0649-B68A-BF1C38C00C45}"/>
  <tableColumns count="2">
    <tableColumn id="1" xr3:uid="{BC815650-377B-7247-B497-C26A80075FDC}" name="Тип защитного покрытия" dataDxfId="258"/>
    <tableColumn id="2" xr3:uid="{8074DA63-9891-F944-B7D5-BF889F02F8E2}" name="Начальное сопротивление защитного покрытия уложенного в траншею и засыпанного трубопровода Rиз0  , Ом·м2" dataDxfId="257"/>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B050C0-081C-884F-A551-4B96A3FD5429}" name="Таблица6.2" displayName="Таблица6.2" ref="B8:C17" totalsRowShown="0" headerRowDxfId="256" tableBorderDxfId="255">
  <autoFilter ref="B8:C17" xr:uid="{2CB050C0-081C-884F-A551-4B96A3FD5429}"/>
  <tableColumns count="2">
    <tableColumn id="1" xr3:uid="{BAD1DCC5-5C64-F24B-A7C6-8AA4CD03E702}" name="Марка трубной стали" dataDxfId="254"/>
    <tableColumn id="2" xr3:uid="{A22B9A2B-2959-984C-838C-8190E01AEFF3}" name="Удельное электрическое сопротивление трубной стали, Ом·м" dataDxfId="253"/>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217E31-FD6C-1E42-B4DB-1F287CA7C946}" name="Таблица6.3" displayName="Таблица6.3" ref="B20:D22" totalsRowShown="0" headerRowBorderDxfId="252" tableBorderDxfId="251">
  <autoFilter ref="B20:D22" xr:uid="{A7217E31-FD6C-1E42-B4DB-1F287CA7C946}"/>
  <tableColumns count="3">
    <tableColumn id="1" xr3:uid="{6C970003-0080-E047-BFB0-54AB68FE33ED}" name="Расстояние, м" dataDxfId="250"/>
    <tableColumn id="2" xr3:uid="{4C679AB1-5D30-B349-A371-FE086B1DED05}" name="К1" dataDxfId="249"/>
    <tableColumn id="3" xr3:uid="{8E36BAB9-27C3-4D49-9B87-87728E503469}" name="К2" dataDxfId="248"/>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4DAFDF8-A1CA-0F48-84B4-F6869F9B5AA6}" name="Таблица6.4" displayName="Таблица6.4" ref="B25:C31" totalsRowShown="0" tableBorderDxfId="247">
  <autoFilter ref="B25:C31" xr:uid="{54DAFDF8-A1CA-0F48-84B4-F6869F9B5AA6}"/>
  <tableColumns count="2">
    <tableColumn id="1" xr3:uid="{8A5BE2B1-950F-1342-BD2A-7E4ED7F3274D}" name="Количество параллельных трубопроводов" dataDxfId="246"/>
    <tableColumn id="2" xr3:uid="{0CFE390E-474A-8142-8696-5500F80E7051}" name="Величина коэффициента " dataDxfId="245"/>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C2CF77D-DA1D-0941-8A6E-8AA9048185E5}" name="Таблица6.5" displayName="Таблица6.5" ref="B34:F36" totalsRowShown="0" headerRowDxfId="244" dataDxfId="242" headerRowBorderDxfId="243" tableBorderDxfId="241" totalsRowBorderDxfId="240">
  <autoFilter ref="B34:F36" xr:uid="{FC2CF77D-DA1D-0941-8A6E-8AA9048185E5}"/>
  <tableColumns count="5">
    <tableColumn id="1" xr3:uid="{E971CB56-23FF-884A-A721-6249DDA61394}" name="Длина кабеля, м" dataDxfId="239"/>
    <tableColumn id="2" xr3:uid="{5D724607-CB65-6948-8001-E18B1DDD2529}" name="200 В" dataDxfId="238"/>
    <tableColumn id="3" xr3:uid="{0F276895-AA64-2B44-AF52-0FA595615B1A}" name="500 В" dataDxfId="237"/>
    <tableColumn id="4" xr3:uid="{F2C0A6B7-231C-EA49-946B-5018E38C5EDD}" name="1000 В" dataDxfId="236"/>
    <tableColumn id="5" xr3:uid="{02B95A37-FD0E-4947-B6E2-82A6068014AC}" name="2000 В" dataDxfId="235"/>
  </tableColumns>
  <tableStyleInfo name="TableStyleLight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CC2BBF9-93DD-1E44-BC7E-8C8C8009F2F5}" name="Таблица7.1" displayName="Таблица7.1" ref="B39:E47" totalsRowShown="0" headerRowDxfId="234" headerRowBorderDxfId="233" tableBorderDxfId="232" totalsRowBorderDxfId="231">
  <autoFilter ref="B39:E47" xr:uid="{4CC2BBF9-93DD-1E44-BC7E-8C8C8009F2F5}"/>
  <tableColumns count="4">
    <tableColumn id="1" xr3:uid="{BCF9B51E-C25F-9648-9390-EC0EC0361869}" name="Наименование защищаемого объекта" dataDxfId="230"/>
    <tableColumn id="2" xr3:uid="{EDE193E0-15D7-DB45-97EE-F3429BB5DCA6}" name="Удельное электрическое сопротивление грунта, Ом·м" dataDxfId="229"/>
    <tableColumn id="3" xr3:uid="{407CC8B2-08F2-F842-9AD6-043E9A2C875F}" name="Наличие блуждающих токов" dataDxfId="228"/>
    <tableColumn id="4" xr3:uid="{C53ABB9A-8B83-3C4B-82CA-09891AF3AD7B}" name="Защитная плотность тока, мА/м" dataDxfId="227"/>
  </tableColumns>
  <tableStyleInfo name="TableStyleLight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8E37E5F-76C9-DF44-9484-916EEB652F7A}" name="TableB" displayName="TableB" ref="B51:X71" totalsRowShown="0" headerRowDxfId="226" dataDxfId="225">
  <tableColumns count="23">
    <tableColumn id="1" xr3:uid="{D3EBF705-68DF-174A-9895-B92B570929F3}" name="Диаметр трубы Dт, м / Толщина стенки трубы 𝛿т , м" dataDxfId="224" dataCellStyle="Гиперссылка"/>
    <tableColumn id="2" xr3:uid="{DFE6226D-BBA6-4544-B177-6D1BD4F23ADD}" name="0.0040" dataDxfId="223"/>
    <tableColumn id="3" xr3:uid="{937590AC-D9B5-E944-93C1-2FCF6F2A9E53}" name="0.0050" dataDxfId="222"/>
    <tableColumn id="4" xr3:uid="{965E0F31-BCC2-E44A-96FD-81FDB3B4B264}" name="0.0055" dataDxfId="221"/>
    <tableColumn id="5" xr3:uid="{806F5AF9-C3E6-5844-8CF7-EEE758EC22BA}" name="0.0060" dataDxfId="220"/>
    <tableColumn id="6" xr3:uid="{7EF283CE-7C2B-B14E-A61E-341A2C50E26C}" name="0.0065" dataDxfId="219"/>
    <tableColumn id="7" xr3:uid="{4C70D8BE-2AE9-9E49-952E-12F8D9D07FD6}" name="0.0070" dataDxfId="218"/>
    <tableColumn id="8" xr3:uid="{AA55DDA5-671E-8E45-ADE3-B86AD36E4A8B}" name="0.0075" dataDxfId="217"/>
    <tableColumn id="9" xr3:uid="{C873A13E-DA32-C342-8FE0-DCF9081DABEB}" name="0.0080" dataDxfId="216"/>
    <tableColumn id="10" xr3:uid="{936F1329-7714-7843-85DD-7692D16F133A}" name="0.0085" dataDxfId="215"/>
    <tableColumn id="11" xr3:uid="{C4E52FB1-DFCA-654A-BE22-703E810BB070}" name="0.0090" dataDxfId="214"/>
    <tableColumn id="12" xr3:uid="{AD4AFD3F-144C-0F4C-80FB-3BB16DAA811E}" name="0.0095" dataDxfId="213"/>
    <tableColumn id="13" xr3:uid="{4B5425F2-2428-BA45-9061-309E3A6D767D}" name="0.0100" dataDxfId="212"/>
    <tableColumn id="14" xr3:uid="{F340FD1B-580A-074A-AAC9-9352F3684398}" name="0.0105" dataDxfId="211"/>
    <tableColumn id="15" xr3:uid="{5CA84751-AC50-1B45-8E37-6CBC9E018BE4}" name="0.0110" dataDxfId="210"/>
    <tableColumn id="16" xr3:uid="{478388D9-49E2-5843-9C00-FA24F55E2137}" name="0.0115" dataDxfId="209"/>
    <tableColumn id="17" xr3:uid="{D48B9975-31E8-3E4A-BC96-8D227EB4D7BB}" name="0.0120" dataDxfId="208"/>
    <tableColumn id="18" xr3:uid="{EF9FB81A-65D6-A94E-91CF-CC68D4586114}" name="0.0125" dataDxfId="207"/>
    <tableColumn id="19" xr3:uid="{5E115354-5ED2-D849-9A1A-CF50BFEDEB9B}" name="0.0140" dataDxfId="206"/>
    <tableColumn id="20" xr3:uid="{322D8CD4-5758-9C4A-8C00-A07DB70591FA}" name="0.0150" dataDxfId="205"/>
    <tableColumn id="21" xr3:uid="{0E20ACA5-7726-F24E-80F3-92CF932AB827}" name="0.0160" dataDxfId="204"/>
    <tableColumn id="22" xr3:uid="{20639A51-6FAB-E047-8207-8C12B0E212F4}" name="0.0170" dataDxfId="203"/>
    <tableColumn id="23" xr3:uid="{F93D991B-C7DC-0F41-A16C-ED2734A8993E}" name="0.0200" dataDxfId="202"/>
  </tableColumns>
  <tableStyleInfo name="TableStyleLight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2F6D57-A030-3247-A97C-4779A33E34E4}" name="Таблица_𝛿т.ср.1" displayName="Таблица_𝛿т.ср.1" ref="BU5:BW29" totalsRowShown="0">
  <autoFilter ref="BU5:BW29" xr:uid="{0F2F6D57-A030-3247-A97C-4779A33E34E4}"/>
  <tableColumns count="3">
    <tableColumn id="1" xr3:uid="{12431004-CA27-E24B-A287-9769604BECCD}" name="#" dataDxfId="201"/>
    <tableColumn id="2" xr3:uid="{9562E581-E0FD-C343-93C3-D463CB1E7D18}" name="li" dataDxfId="200"/>
    <tableColumn id="3" xr3:uid="{01F09B64-B550-124B-8FC2-B74AF3DA26B6}" name="𝛿тi" dataDxfId="199"/>
  </tableColumns>
  <tableStyleInfo name="TableStyleLight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09CDA2-7BA2-DA48-9599-3BF602D728E0}" name="Таблица_pr2" displayName="Таблица_pr2" ref="M5:P715" totalsRowShown="0" headerRowDxfId="198" headerRowBorderDxfId="197" tableBorderDxfId="196" headerRowCellStyle="Обычный_Шаблон Таблица 5. Контроль состояния средств ЭХЗ">
  <tableColumns count="4">
    <tableColumn id="3" xr3:uid="{B810621B-2678-FF44-AC1F-A2131FFD22A7}" name="№ п/п" dataDxfId="195" dataCellStyle="Обычный_Шаблон Таблица 5. Контроль состояния средств ЭХЗ"/>
    <tableColumn id="1" xr3:uid="{30E5324C-9884-5B42-87A6-7EC9CCD74E99}" name="Координата измерения, км" dataDxfId="194" dataCellStyle="Обычный 2 2 2"/>
    <tableColumn id="6" xr3:uid="{023C8694-DDCD-CF4D-8AAF-BA0083CF6BE4}" name="Удельное сопротивление грунта, Ом·м" dataDxfId="193" dataCellStyle="Обычный 2 2 2"/>
    <tableColumn id="2" xr3:uid="{9B2E8448-9342-884E-A223-71541C64C6BB}" name="Длина участка, м" dataDxfId="192" dataCellStyle="Обычный 2 2 2"/>
  </tableColumns>
  <tableStyleInfo name="TableStyleLight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785682F-AD27-CC42-A28E-F0F45F3604F1}" name="Таблица_𝛿т.ср.2" displayName="Таблица_𝛿т.ср.2" ref="BY5:CA29" totalsRowShown="0">
  <autoFilter ref="BY5:CA29" xr:uid="{5785682F-AD27-CC42-A28E-F0F45F3604F1}"/>
  <tableColumns count="3">
    <tableColumn id="1" xr3:uid="{0F00D045-1216-4F46-86B7-ADA2C70A17B8}" name="#" dataDxfId="191"/>
    <tableColumn id="2" xr3:uid="{2B3AE313-1F89-5D4D-907F-67CB71A9CC64}" name="li" dataDxfId="190"/>
    <tableColumn id="3" xr3:uid="{936C7E3A-7B89-2949-8664-DE599DE53BF8}" name="𝛿тi" dataDxfId="189"/>
  </tableColumns>
  <tableStyleInfo name="TableStyleLight1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409268-555B-7A49-B20A-33B387224DDC}" name="Таблица_pr" displayName="Таблица_pr" ref="A5:D715" totalsRowShown="0" headerRowDxfId="188" headerRowBorderDxfId="187" tableBorderDxfId="186" headerRowCellStyle="Обычный_Шаблон Таблица 5. Контроль состояния средств ЭХЗ">
  <tableColumns count="4">
    <tableColumn id="3" xr3:uid="{53FAEFAE-B5BD-5A4F-B70E-3B849EF708DD}" name="№ пикета" dataDxfId="185" dataCellStyle="Обычный_Шаблон Таблица 5. Контроль состояния средств ЭХЗ"/>
    <tableColumn id="1" xr3:uid="{01FFB297-A862-7F40-BE37-91A51E23F00E}" name="Координата измерения, км" dataDxfId="184" dataCellStyle="Обычный 2 2 2"/>
    <tableColumn id="6" xr3:uid="{91F83ABE-D565-5E44-ABD1-E8722DD19432}" name="Удельное сопротивление грунта, Ом·м" dataDxfId="183" dataCellStyle="Обычный 2 2 2"/>
    <tableColumn id="2" xr3:uid="{C53FB5B4-84AB-EE4B-8E5A-C94D21BE9B23}" name="Длина участка, м" dataDxfId="182" dataCellStyle="Обычный 2 2 2">
      <calculatedColumnFormula>IFERROR(IF(B6-B5&lt;=0,"",(B6-B5)*1000),100)</calculatedColumnFormula>
    </tableColumn>
  </tableColumns>
  <tableStyleInfo name="TableStyleLight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96B5C7-4FEF-8E40-A34E-1F40C5394A45}" name="Таблица_𝛿т.ср" displayName="Таблица_𝛿т.ср" ref="BP5:BR29" totalsRowShown="0">
  <autoFilter ref="BP5:BR29" xr:uid="{0096B5C7-4FEF-8E40-A34E-1F40C5394A45}"/>
  <tableColumns count="3">
    <tableColumn id="1" xr3:uid="{72D042B3-B7AB-0C49-9F79-5A358021CE45}" name="#" dataDxfId="181"/>
    <tableColumn id="2" xr3:uid="{A598187B-B877-BF4D-B059-96157F5AB6AA}" name="li"/>
    <tableColumn id="3" xr3:uid="{07D9363C-F41E-3E4B-BFDF-AA5AD44A387E}" name="𝛿тi" dataDxfId="180"/>
  </tableColumns>
  <tableStyleInfo name="TableStyleLight1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9DBF096-6F4B-EC4C-B865-AF963FF5D2EC}" name="Таблица_pi" displayName="Таблица_pi" ref="DI5:ED17" totalsRowShown="0">
  <autoFilter ref="DI5:ED17" xr:uid="{F9DBF096-6F4B-EC4C-B865-AF963FF5D2EC}"/>
  <tableColumns count="22">
    <tableColumn id="1" xr3:uid="{EA3D16FD-F452-2B46-B159-938343CB3E2D}" name="n"/>
    <tableColumn id="2" xr3:uid="{5C76FAD3-DE44-DC43-A436-D882189D22B4}" name="li1" dataDxfId="179"/>
    <tableColumn id="4" xr3:uid="{95D74CC3-6530-A64C-8C4C-8C19CE39919A}" name="li2" dataDxfId="178"/>
    <tableColumn id="6" xr3:uid="{0535B934-28EB-674D-8AFC-EEF6B36D908A}" name="li3"/>
    <tableColumn id="7" xr3:uid="{2AE28068-7D11-0F4A-9EB6-DDAA11C78886}" name="li4"/>
    <tableColumn id="8" xr3:uid="{DB90D20A-11DE-CE45-9037-22BF58D0EE7F}" name="li5"/>
    <tableColumn id="9" xr3:uid="{24918BC6-99E3-0741-84B8-F532EC6332C8}" name="li6"/>
    <tableColumn id="10" xr3:uid="{4CA07B47-515F-834B-8CDC-4E7C30D57E4B}" name="li7"/>
    <tableColumn id="11" xr3:uid="{FAE34DCA-027A-1B44-BBE8-7845EA9B49C0}" name="li8"/>
    <tableColumn id="12" xr3:uid="{C33BF762-40DA-E44E-A6A4-844D08A59867}" name="li9"/>
    <tableColumn id="13" xr3:uid="{222DFC2E-E4A5-6440-957F-AB5D1A8BBAAD}" name="li10" dataDxfId="177"/>
    <tableColumn id="3" xr3:uid="{2080B574-8F53-5546-A1BF-FA30A8910A08}" name="pi Ом*м" dataDxfId="176"/>
    <tableColumn id="25" xr3:uid="{267A6DE7-62D7-3640-909B-CCB7A2B45A55}" name="pi Ом*м2"/>
    <tableColumn id="26" xr3:uid="{6AD2B180-545F-3D44-807C-41A6E5E41F34}" name="pi Ом*м3"/>
    <tableColumn id="27" xr3:uid="{F8C854B2-1454-B048-9DF4-436114796F15}" name="pi Ом*м4"/>
    <tableColumn id="28" xr3:uid="{ACBBF134-50DF-944E-98B2-31CAEC34920C}" name="pi Ом*м5"/>
    <tableColumn id="29" xr3:uid="{5C114AF4-FEA4-B64D-91C6-345CFC8603CE}" name="pi Ом*м6"/>
    <tableColumn id="30" xr3:uid="{B8D00879-8C92-944F-A0EA-BEB15C60D93C}" name="pi Ом*м7"/>
    <tableColumn id="31" xr3:uid="{8D5CBA5F-57A8-954B-91F4-67084B6726CD}" name="pi Ом*м8"/>
    <tableColumn id="32" xr3:uid="{85D1F617-7BC7-A847-8DD8-50650E820996}" name="pi Ом*м9"/>
    <tableColumn id="33" xr3:uid="{CD410302-7CC8-4043-A766-23FBD6F7E5ED}" name="pi Ом*м10"/>
    <tableColumn id="5" xr3:uid="{2B257C9B-7277-F044-835B-8E11BBC1B3DD}" name="Некоторые свойства грунтов и их удельное сопротивление:" dataDxfId="175"/>
  </tableColumns>
  <tableStyleInfo name="TableStyleLight1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76A3DF4-2668-954C-A99E-71680BF175C0}" name="Таблица_𝛿т.ср.3" displayName="Таблица_𝛿т.ср.3" ref="CC5:CE29" totalsRowShown="0">
  <autoFilter ref="CC5:CE29" xr:uid="{E76A3DF4-2668-954C-A99E-71680BF175C0}"/>
  <tableColumns count="3">
    <tableColumn id="1" xr3:uid="{75B41F99-497E-4B48-A6CE-272CE6DF6ECD}" name="#" dataDxfId="174"/>
    <tableColumn id="2" xr3:uid="{7F4502B6-505A-864D-AB8F-4FDD887CEB00}" name="li" dataDxfId="173"/>
    <tableColumn id="3" xr3:uid="{74DFB9D6-5A11-A249-A08B-0CC220F599C9}" name="𝛿тi" dataDxfId="172"/>
  </tableColumns>
  <tableStyleInfo name="TableStyleLight1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3F96D96-ADB7-F249-B6F4-CB8046523046}" name="Таблица_𝛿т.ср.4" displayName="Таблица_𝛿т.ср.4" ref="CG5:CI26" totalsRowShown="0">
  <autoFilter ref="CG5:CI26" xr:uid="{43F96D96-ADB7-F249-B6F4-CB8046523046}"/>
  <tableColumns count="3">
    <tableColumn id="1" xr3:uid="{C4D4C53C-1F33-6C46-8AB9-52E9C5C4DB41}" name="#" dataDxfId="171"/>
    <tableColumn id="2" xr3:uid="{65A54077-98FB-C747-9C7E-CD762F2450C0}" name="li" dataDxfId="170"/>
    <tableColumn id="3" xr3:uid="{36B5AD5C-2D26-6541-B0C5-C30C80AC54BF}" name="𝛿тi" dataDxfId="169"/>
  </tableColumns>
  <tableStyleInfo name="TableStyleLight1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D6EE0C0-B408-5A4E-B074-1F72D0D725A7}" name="Таблица_𝛿т.ср.5" displayName="Таблица_𝛿т.ср.5" ref="CK5:CM26" totalsRowShown="0">
  <autoFilter ref="CK5:CM26" xr:uid="{2D6EE0C0-B408-5A4E-B074-1F72D0D725A7}"/>
  <tableColumns count="3">
    <tableColumn id="1" xr3:uid="{A0E48E04-6C07-1944-B1C7-74EF04FD4FA6}" name="#" dataDxfId="168"/>
    <tableColumn id="2" xr3:uid="{A6C8570D-E2AF-BE4B-9BD0-37469799B9A5}" name="li" dataDxfId="167"/>
    <tableColumn id="3" xr3:uid="{19676DD1-12A2-DB40-B26D-D186D8365734}" name="𝛿тi" dataDxfId="166"/>
  </tableColumns>
  <tableStyleInfo name="TableStyleLight1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568312A-6515-BE42-B627-EFC161ED4F3B}" name="Таблица_𝛿т.ср.П22" displayName="Таблица_𝛿т.ср.П22" ref="CO5:CQ26" totalsRowShown="0">
  <autoFilter ref="CO5:CQ26" xr:uid="{D568312A-6515-BE42-B627-EFC161ED4F3B}"/>
  <tableColumns count="3">
    <tableColumn id="1" xr3:uid="{1772374D-3A23-7549-A1A4-898C7B57F227}" name="#" dataDxfId="165"/>
    <tableColumn id="2" xr3:uid="{40C37EEB-63B3-2C46-85AB-FEE4D3D1E943}" name="li" dataDxfId="164"/>
    <tableColumn id="3" xr3:uid="{0CFDEFBC-74B4-BF43-BB8D-211A3BD9D1D0}" name="𝛿тi" dataDxfId="163"/>
  </tableColumns>
  <tableStyleInfo name="TableStyleLight1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AEA2E2C-7068-7748-9B67-7DFAA3F5414D}" name="Таблица_𝛿т.ср.7" displayName="Таблица_𝛿т.ср.7" ref="CS5:CU26" totalsRowShown="0">
  <autoFilter ref="CS5:CU26" xr:uid="{7AEA2E2C-7068-7748-9B67-7DFAA3F5414D}"/>
  <tableColumns count="3">
    <tableColumn id="1" xr3:uid="{ADA1A206-D8F5-F748-A4B9-BD4D64B2D62A}" name="#" dataDxfId="162"/>
    <tableColumn id="2" xr3:uid="{F2B26393-50F3-084C-AA5C-0243228EB60D}" name="li" dataDxfId="161"/>
    <tableColumn id="3" xr3:uid="{92532D5B-692F-8C45-A90D-D16179B7EABA}" name="𝛿тi" dataDxfId="160"/>
  </tableColumns>
  <tableStyleInfo name="TableStyleLight1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788D674-7669-8C4A-A85B-8E04F6E10BF7}" name="Таблица_𝛿т.ср.8" displayName="Таблица_𝛿т.ср.8" ref="CW5:CY26" totalsRowShown="0">
  <autoFilter ref="CW5:CY26" xr:uid="{8788D674-7669-8C4A-A85B-8E04F6E10BF7}"/>
  <tableColumns count="3">
    <tableColumn id="1" xr3:uid="{8A06CE36-31DB-CB46-A6A4-7CDA23CAC52C}" name="#" dataDxfId="159"/>
    <tableColumn id="2" xr3:uid="{DC9DA5B1-7F24-9E46-AEAA-94D1ACF15DE5}" name="li" dataDxfId="158"/>
    <tableColumn id="3" xr3:uid="{00104BD4-8075-9149-9DE2-2C9D278EF884}" name="𝛿тi" dataDxfId="157"/>
  </tableColumns>
  <tableStyleInfo name="TableStyleLight1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CFEE793-8EE5-754E-9B06-A95D4BBE683D}" name="Таблица_𝛿т.ср.Л1923259" displayName="Таблица_𝛿т.ср.Л1923259" ref="DA5:DC26" totalsRowShown="0">
  <autoFilter ref="DA5:DC26" xr:uid="{ACFEE793-8EE5-754E-9B06-A95D4BBE683D}"/>
  <tableColumns count="3">
    <tableColumn id="1" xr3:uid="{CEDC6BC5-9D00-7E41-827F-F2520D9118FC}" name="#" dataDxfId="156"/>
    <tableColumn id="2" xr3:uid="{D4B3606C-0AC2-E04F-A401-0F4DEB0BF81F}" name="li" dataDxfId="155"/>
    <tableColumn id="3" xr3:uid="{DCE2EEB4-DEA4-094B-87A8-CD81E9DAEE3F}" name="𝛿тi" dataDxfId="154"/>
  </tableColumns>
  <tableStyleInfo name="TableStyleLight1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755DF07-4A1C-4549-B5C2-B98390F13B6D}" name="Таблица_𝛿т.ср.10" displayName="Таблица_𝛿т.ср.10" ref="DE5:DG26" totalsRowShown="0">
  <autoFilter ref="DE5:DG26" xr:uid="{9755DF07-4A1C-4549-B5C2-B98390F13B6D}"/>
  <tableColumns count="3">
    <tableColumn id="1" xr3:uid="{AC5D4B74-7AAB-4046-8EB9-18E56F9BF03C}" name="#"/>
    <tableColumn id="2" xr3:uid="{33647DB3-3AA6-FF47-A2C6-FA37B8A40459}" name="li"/>
    <tableColumn id="3" xr3:uid="{5015A8A4-BE3E-AB45-9557-2115CA07F671}" name="𝛿тi" dataDxfId="153"/>
  </tableColumns>
  <tableStyleInfo name="TableStyleLight1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541F420-BEC5-FA4B-A334-7A7AF7977008}" name="Таблица_pr3" displayName="Таблица_pr3" ref="S5:V715" totalsRowShown="0" headerRowDxfId="152" headerRowBorderDxfId="151" tableBorderDxfId="150" headerRowCellStyle="Обычный_Шаблон Таблица 5. Контроль состояния средств ЭХЗ">
  <tableColumns count="4">
    <tableColumn id="3" xr3:uid="{081AFA8D-8A15-BB49-BF81-760931349136}" name="№ п/п" dataDxfId="149" dataCellStyle="Обычный_Шаблон Таблица 5. Контроль состояния средств ЭХЗ"/>
    <tableColumn id="1" xr3:uid="{DFA1B216-9428-1F48-A8DD-FDD38DAD33E6}" name="Координата измерения, км" dataDxfId="148" dataCellStyle="Обычный 2 2 2"/>
    <tableColumn id="6" xr3:uid="{AA22AB5A-A247-4A4F-8023-934AF969A21D}" name="Удельное сопротивление грунта, Ом·м" dataDxfId="147" dataCellStyle="Обычный 2 2 2"/>
    <tableColumn id="2" xr3:uid="{951BE0DE-D8BF-DA42-B6C6-6767B320D24B}" name="Длина участка, м" dataDxfId="146" dataCellStyle="Обычный 2 2 2">
      <calculatedColumnFormula>IFERROR(IF(T6-T5&lt;=0,"",(T6-T5)*1000),100)</calculatedColumnFormula>
    </tableColumn>
  </tableColumns>
  <tableStyleInfo name="TableStyleLight1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835DBB-DDE9-BF41-8F6B-8FE6211DF173}" name="Таблица_pr4" displayName="Таблица_pr4" ref="Y5:AB715" totalsRowShown="0" headerRowDxfId="145" headerRowBorderDxfId="144" tableBorderDxfId="143" headerRowCellStyle="Обычный_Шаблон Таблица 5. Контроль состояния средств ЭХЗ">
  <tableColumns count="4">
    <tableColumn id="3" xr3:uid="{C6435EA3-5329-7F4F-8EBD-54C1C264876A}" name="№ п/п" dataDxfId="142" dataCellStyle="Обычный_Шаблон Таблица 5. Контроль состояния средств ЭХЗ"/>
    <tableColumn id="1" xr3:uid="{3D23A058-FEF1-EE4E-8C1B-669AEDE2C4CD}" name="Координата измерения, км" dataDxfId="141" dataCellStyle="Обычный 2 2 2"/>
    <tableColumn id="6" xr3:uid="{049552BF-9CF2-B045-978B-FBC6E5F43F23}" name="Удельное сопротивление грунта, Ом·м" dataDxfId="140" dataCellStyle="Обычный 2 2 2"/>
    <tableColumn id="2" xr3:uid="{533E40A4-BAEA-DD41-B501-5C4BEA51DCF4}" name="Длина участка, м" dataDxfId="139" dataCellStyle="Обычный 2 2 2"/>
  </tableColumns>
  <tableStyleInfo name="TableStyleLight1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88EEB0-7AA8-FE4C-A17C-65A82C305031}" name="Таблица_pr5" displayName="Таблица_pr5" ref="AE5:AH715" totalsRowShown="0" headerRowDxfId="138" headerRowBorderDxfId="137" tableBorderDxfId="136" headerRowCellStyle="Обычный_Шаблон Таблица 5. Контроль состояния средств ЭХЗ">
  <tableColumns count="4">
    <tableColumn id="3" xr3:uid="{7A753981-388E-6E42-9629-ECEB2191F1B3}" name="№ п/п" dataDxfId="135" dataCellStyle="Обычный_Шаблон Таблица 5. Контроль состояния средств ЭХЗ"/>
    <tableColumn id="1" xr3:uid="{216672DB-CD03-214F-AB52-0AFFA37B56D5}" name="Координата измерения, км" dataDxfId="134" dataCellStyle="Обычный 2 2 2"/>
    <tableColumn id="6" xr3:uid="{6E227191-EA7D-CE43-91AA-309A6A5E99AD}" name="Удельное сопротивление грунта, Ом·м" dataDxfId="133" dataCellStyle="Обычный 2 2 2"/>
    <tableColumn id="2" xr3:uid="{869EACAD-1D50-3F40-8887-B218788A3527}" name="Длина участка, м" dataDxfId="132" dataCellStyle="Обычный 2 2 2">
      <calculatedColumnFormula>IFERROR(IF(AF6-AF5&lt;=0,"",(AF6-AF5)*1000),100)</calculatedColumnFormula>
    </tableColumn>
  </tableColumns>
  <tableStyleInfo name="TableStyleLight1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8F4CA1B-13FE-AD44-B967-2A24D37C79DF}" name="Таблица_pr6" displayName="Таблица_pr6" ref="AK5:AN715" totalsRowShown="0" headerRowDxfId="131" headerRowBorderDxfId="130" tableBorderDxfId="129" headerRowCellStyle="Обычный_Шаблон Таблица 5. Контроль состояния средств ЭХЗ">
  <tableColumns count="4">
    <tableColumn id="3" xr3:uid="{45BCDA77-FA37-C24A-97FB-4F2475DB3179}" name="№ п/п" dataDxfId="128" dataCellStyle="Обычный_Шаблон Таблица 5. Контроль состояния средств ЭХЗ"/>
    <tableColumn id="1" xr3:uid="{C866C446-F839-6342-9CE9-70499EEB38CC}" name="Координата измерения, км" dataDxfId="127" dataCellStyle="Обычный 2 2 2"/>
    <tableColumn id="6" xr3:uid="{9C4C6167-EEC8-9E40-ABFE-30A63B0644C4}" name="Удельное сопротивление грунта, Ом·м" dataDxfId="126" dataCellStyle="Обычный 2 2 2"/>
    <tableColumn id="2" xr3:uid="{BA161782-AA5B-EF47-A52B-7C742EA4F334}" name="Длина участка, м" dataDxfId="125" dataCellStyle="Обычный 2 2 2"/>
  </tableColumns>
  <tableStyleInfo name="TableStyleLight1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73776DF-3FF1-C143-B27A-0E99B6DCB150}" name="Таблица_pr7" displayName="Таблица_pr7" ref="AQ5:AT715" totalsRowShown="0" headerRowDxfId="124" headerRowBorderDxfId="123" tableBorderDxfId="122" headerRowCellStyle="Обычный_Шаблон Таблица 5. Контроль состояния средств ЭХЗ">
  <tableColumns count="4">
    <tableColumn id="3" xr3:uid="{716BACAB-6CA4-E54A-B7E1-BF02C1C97FCE}" name="№ п/п" dataDxfId="121" dataCellStyle="Обычный_Шаблон Таблица 5. Контроль состояния средств ЭХЗ"/>
    <tableColumn id="1" xr3:uid="{780DA206-5C8B-CF4E-89D8-9B5EB17CE5E6}" name="Координата измерения, км" dataDxfId="120" dataCellStyle="Обычный 2 2 2"/>
    <tableColumn id="6" xr3:uid="{28FC1617-A841-3744-9CE0-FE9D68EBF5D0}" name="Удельное сопротивление грунта, Ом·м" dataDxfId="119" dataCellStyle="Обычный 2 2 2"/>
    <tableColumn id="2" xr3:uid="{14CEF59D-65C8-724B-8462-90C7E65B3460}" name="Длина участка, м" dataDxfId="118" dataCellStyle="Обычный 2 2 2">
      <calculatedColumnFormula>IFERROR(IF(AR6-AR5&lt;=0,"",(AR6-AR5)*1000),100)</calculatedColumnFormula>
    </tableColumn>
  </tableColumns>
  <tableStyleInfo name="TableStyleLight1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548E2FC-79FD-134C-98E8-C03048AA868E}" name="Таблица_pr8" displayName="Таблица_pr8" ref="AW5:AZ715" totalsRowShown="0" headerRowDxfId="117" headerRowBorderDxfId="116" tableBorderDxfId="115" headerRowCellStyle="Обычный_Шаблон Таблица 5. Контроль состояния средств ЭХЗ">
  <tableColumns count="4">
    <tableColumn id="3" xr3:uid="{18F51632-C345-BF4F-BA4E-2DC45E65E949}" name="№ п/п" dataDxfId="114" dataCellStyle="Обычный_Шаблон Таблица 5. Контроль состояния средств ЭХЗ"/>
    <tableColumn id="1" xr3:uid="{6653F0B6-31FF-E244-AF10-3B4F35E38220}" name="Координата измерения, км" dataDxfId="113" dataCellStyle="Обычный 2 2 2"/>
    <tableColumn id="6" xr3:uid="{99316FCC-A256-CE4D-910B-DB14D4E72DB4}" name="Удельное сопротивление грунта, Ом·м" dataDxfId="112" dataCellStyle="Обычный 2 2 2"/>
    <tableColumn id="2" xr3:uid="{02CD9BD7-4B12-1641-ACE1-56F82E409FCC}" name="Длина участка, м" dataDxfId="111" dataCellStyle="Обычный 2 2 2"/>
  </tableColumns>
  <tableStyleInfo name="TableStyleLight1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C9A817B-8D47-644B-A5C8-6669B1E4DA6E}" name="Таблица_pr9" displayName="Таблица_pr9" ref="BC5:BF715" totalsRowShown="0" headerRowDxfId="110" headerRowBorderDxfId="109" tableBorderDxfId="108" headerRowCellStyle="Обычный_Шаблон Таблица 5. Контроль состояния средств ЭХЗ">
  <tableColumns count="4">
    <tableColumn id="3" xr3:uid="{31D26180-EBA8-6F40-9514-0700C99DCC6F}" name="№ п/п" dataDxfId="107" dataCellStyle="Обычный_Шаблон Таблица 5. Контроль состояния средств ЭХЗ"/>
    <tableColumn id="1" xr3:uid="{7F78666B-10C0-E64F-A457-C4A74A8588BD}" name="Координата измерения, км" dataDxfId="106" dataCellStyle="Обычный 2 2 2"/>
    <tableColumn id="6" xr3:uid="{3992D0D9-12EF-C246-B98F-13DAE06568E2}" name="Удельное сопротивление грунта, Ом·м" dataDxfId="105" dataCellStyle="Обычный 2 2 2"/>
    <tableColumn id="2" xr3:uid="{B2F1E332-CE37-E642-B887-AC216E761C3C}" name="Длина участка, м" dataDxfId="104" dataCellStyle="Обычный 2 2 2">
      <calculatedColumnFormula>IFERROR(IF(BD6-BD5&lt;=0,"",(BD6-BD5)*1000),100)</calculatedColumnFormula>
    </tableColumn>
  </tableColumns>
  <tableStyleInfo name="TableStyleLight1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20A51F0-F858-C240-894D-81E26EB11227}" name="Таблица_pr10" displayName="Таблица_pr10" ref="BI5:BL715" totalsRowShown="0" headerRowDxfId="103" headerRowBorderDxfId="102" tableBorderDxfId="101" headerRowCellStyle="Обычный_Шаблон Таблица 5. Контроль состояния средств ЭХЗ">
  <tableColumns count="4">
    <tableColumn id="3" xr3:uid="{3D3883FB-BF44-8345-86A2-834B29721868}" name="№ п/п" dataDxfId="100" dataCellStyle="Обычный_Шаблон Таблица 5. Контроль состояния средств ЭХЗ"/>
    <tableColumn id="1" xr3:uid="{96BAEB0C-2B2C-EC4C-9E90-5A6562142C89}" name="Координата измерения, км" dataDxfId="99" dataCellStyle="Обычный 2 2 2"/>
    <tableColumn id="6" xr3:uid="{6AC97B81-0D21-D247-B621-D5A56B061377}" name="Удельное сопротивление грунта, Ом·м" dataDxfId="98" dataCellStyle="Обычный 2 2 2"/>
    <tableColumn id="2" xr3:uid="{DF6A90F3-64FF-784B-9AB1-6CE58FD48A56}" name="Длина участка, м" dataDxfId="97" dataCellStyle="Обычный 2 2 2"/>
  </tableColumns>
  <tableStyleInfo name="TableStyleLight1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CC5B07-CE8B-C34A-802B-FFB63C532BB9}" name="Таблица_pr1" displayName="Таблица_pr1" ref="G5:J715" totalsRowShown="0" headerRowDxfId="96" tableBorderDxfId="95" headerRowCellStyle="Обычный_Шаблон Таблица 5. Контроль состояния средств ЭХЗ">
  <autoFilter ref="G5:J715" xr:uid="{30CC5B07-CE8B-C34A-802B-FFB63C532BB9}"/>
  <tableColumns count="4">
    <tableColumn id="1" xr3:uid="{DDF17CA9-BA99-094C-BFEC-5CEFD3ECEBE3}" name="№ пикета" dataDxfId="94" dataCellStyle="Обычный_Шаблон Таблица 5. Контроль состояния средств ЭХЗ"/>
    <tableColumn id="2" xr3:uid="{AA4AA434-2028-C44A-AA85-75364C108977}" name="Координата измерения, км" dataDxfId="93" dataCellStyle="Обычный 2 2 2"/>
    <tableColumn id="3" xr3:uid="{6C5A0CEE-01DB-FE40-B060-99793E5EC78C}" name="Удельное сопротивление грунта, Ом·м" dataDxfId="92" dataCellStyle="Обычный 2 2 2"/>
    <tableColumn id="4" xr3:uid="{8D4E7D16-B5EB-D845-A388-5B37E39CBFE0}" name="Длина участка, м" dataDxfId="91" dataCellStyle="Обычный 2 2 2">
      <calculatedColumnFormula>IFERROR(IF(H6-H5&lt;=0,"",(H6-H5)*1000),100)</calculatedColumnFormula>
    </tableColumn>
  </tableColumns>
  <tableStyleInfo name="TableStyleLight1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7D8FA9F-07DA-9042-8DF1-EDFAA26DCFAF}" name="Таблица14" displayName="Таблица14" ref="C5:C13" totalsRowShown="0" headerRowDxfId="81" dataDxfId="79" headerRowBorderDxfId="80" tableBorderDxfId="78" totalsRowBorderDxfId="77">
  <tableColumns count="1">
    <tableColumn id="1" xr3:uid="{A78321C0-8362-6740-B22F-B84EC6F1012C}" name="Марка стали трубопровода (мСт)" dataDxfId="7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65FC74B-8146-BC49-BE15-167A3AE3A75C}" name="TableCP" displayName="TableCP" ref="A1:G352" totalsRowShown="0" headerRowDxfId="53" dataDxfId="52">
  <autoFilter ref="A1:G352" xr:uid="{C65FC74B-8146-BC49-BE15-167A3AE3A75C}"/>
  <tableColumns count="7">
    <tableColumn id="1" xr3:uid="{18B75B1B-9DCB-4E49-BF5D-051557E19221}" name="№ п/п"/>
    <tableColumn id="2" xr3:uid="{D6DF4FC4-8D63-FF44-B1ED-D8A56E10BD14}" name="Наименование" dataDxfId="51"/>
    <tableColumn id="3" xr3:uid="{FF308E05-5472-2445-828C-DA8DD55BDCAC}" name="Номинальный ток,  А" dataDxfId="50"/>
    <tableColumn id="4" xr3:uid="{33069553-B6F8-3B44-94D3-444BE039D5D6}" name="Номинальное выходное напряжение,  В" dataDxfId="49"/>
    <tableColumn id="5" xr3:uid="{710C9124-27ED-BB4D-A8D5-E869CBF3B578}" name="Номинальная м ощьность, Вт" dataDxfId="48"/>
    <tableColumn id="6" xr3:uid="{FCC3B964-B173-3442-9967-4B67631B4593}" name="Примечание" dataDxfId="47"/>
    <tableColumn id="7" xr3:uid="{1CB9DA79-A8CF-F845-910F-23CBD77E2B29}" name="Ссылка на сайт производителя" dataDxfId="46"/>
  </tableColumns>
  <tableStyleInfo name="TableStyleLight1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E9DFD95-2C27-DB48-B063-F26BCD8F6265}" name="TableAG" displayName="TableAG" ref="Z2:BD41" totalsRowShown="0" headerRowDxfId="35" dataDxfId="34">
  <autoFilter ref="Z2:BD41" xr:uid="{2E9DFD95-2C27-DB48-B063-F26BCD8F6265}"/>
  <tableColumns count="31">
    <tableColumn id="1" xr3:uid="{483B4A8E-D822-8F4B-BC96-526268B641B4}" name="#" dataDxfId="33"/>
    <tableColumn id="6" xr3:uid="{2202D9E6-F7DD-B54B-95E9-F33802922D6C}" name="Материал анода" dataDxfId="32"/>
    <tableColumn id="7" xr3:uid="{C08D5523-6BF3-CB41-8354-082345B2FE4A}" name="Тип монтажа" dataDxfId="31"/>
    <tableColumn id="8" xr3:uid="{089DF8F9-B7F8-B347-8C00-2D3E9B16D1CC}" name="Комплектация" dataDxfId="30"/>
    <tableColumn id="2" xr3:uid="{79BCF9F6-557F-2644-95BB-0045C22B2263}" name="Сертификат" dataDxfId="29"/>
    <tableColumn id="3" xr3:uid="{87C4F577-DD37-1B4B-90B3-8AC703CD2177}" name="Производитель" dataDxfId="28"/>
    <tableColumn id="4" xr3:uid="{8B57AA8F-0F1E-4841-A4A2-2B3CBE5665ED}" name="Документ" dataDxfId="27"/>
    <tableColumn id="30" xr3:uid="{88632BEE-4EEB-6248-B429-382A44FC7CF4}" name="Сылка" dataDxfId="26"/>
    <tableColumn id="5" xr3:uid="{979B8A97-E647-A04F-9855-1D2072AEEDA7}" name="Model" dataDxfId="25"/>
    <tableColumn id="11" xr3:uid="{9030F7D7-EFDC-294C-86BA-734F466AF494}" name="Диаметр электрода заземлителя (dэ, м)" dataDxfId="24"/>
    <tableColumn id="12" xr3:uid="{73985053-EEAC-014D-B0B4-07E0F4D8F66C}" name="Длина рабочей части электрода заземлителя (lэ, м)" dataDxfId="23"/>
    <tableColumn id="14" xr3:uid="{A543BF93-A8C2-E94B-AE23-5B91A006746C}" name="Диаметр электрода заземлителя в коксовой засыпке (dз, м)" dataDxfId="22"/>
    <tableColumn id="13" xr3:uid="{716E9324-1BC7-9048-9764-60A9B0CE0326}" name="Длина электрода заземлителя в коксовой засыпке (lа, м)" dataDxfId="21"/>
    <tableColumn id="9" xr3:uid="{3D874402-1ED7-8440-B895-19A0FE86ECFA}" name="Масса материала электрода заземлителя без коксовой засыпки (Gэ, кг)" dataDxfId="20"/>
    <tableColumn id="10" xr3:uid="{4224C48F-1E81-7D48-AEC4-FB0ED0012839}" name="Скорость растворения материала заземлителя (qз, кг/(А*год))" dataDxfId="19"/>
    <tableColumn id="31" xr3:uid="{7C1D5E60-BF40-ED4A-9893-5218B02FD95D}" name="Номинальная токовая нагрузка (Iа.н, А)" dataDxfId="18"/>
    <tableColumn id="19" xr3:uid="{E1927511-1786-EA49-BBF4-584ABE76D252}" name="Удельное электрическое сопротивление материала рабочего элемента заземлителя (rа, Ом*м)" dataDxfId="17"/>
    <tableColumn id="20" xr3:uid="{25F9C112-01F5-E543-B9C3-AFB86E401504}" name="Удельное электрическое сопротивление коксовой засыпки заземлителя (rкз, Ом*м)" dataDxfId="16"/>
    <tableColumn id="25" xr3:uid="{0BCB79A4-D317-6F41-AB8E-1CED4149A80E}" name="Удельная номинальная токовая нагрузка на погонный метр изделия (Iаз.н, А/м)" dataDxfId="15"/>
    <tableColumn id="16" xr3:uid="{7D190A08-8827-1B4C-897A-0E64FF6E122E}" name="Удельная масса рабочего элемента протяженного заземлителя (Gэ.пр, кг/м)" dataDxfId="14"/>
    <tableColumn id="23" xr3:uid="{59FB0667-BAB2-8048-926C-4FC7CC8E4ACA}" name="Сечение токопроводящей жилы рабочего элемента, м^2" dataDxfId="13">
      <calculatedColumnFormula>2*SQRT(50*0.000001/PI())</calculatedColumnFormula>
    </tableColumn>
    <tableColumn id="24" xr3:uid="{5502BA0C-3EBB-5243-A2CB-9310AD6C35B6}" name="Масса заземлителя в сборе (без учёта кабеля), кг/м" dataDxfId="12">
      <calculatedColumnFormula>TableAG[[#This Row],[Удельная номинальная токовая нагрузка на погонный метр изделия (Iаз.н, А/м)]]*TableAG[[#This Row],[Длина электрода заземлителя в коксовой засыпке (lа, м)]]</calculatedColumnFormula>
    </tableColumn>
    <tableColumn id="29" xr3:uid="{BA1E95F6-175F-7E48-8A00-E061182F0EDF}" name="Максимальная токовая нагрузка, А" dataDxfId="11"/>
    <tableColumn id="32" xr3:uid="{C1676D5E-7EAF-CA4E-892A-994F30389D9D}" name="Удельная токовая нагрузка заземлителя, не более (Iа, А/м^2)" dataDxfId="10"/>
    <tableColumn id="17" xr3:uid="{9FC92376-EE4F-5E40-B30D-057DFB76496E}" name="Предельное допустимое значение удельной токовой нагрузки с одного метра рабочего элемента, А/м" dataDxfId="9"/>
    <tableColumn id="18" xr3:uid="{747A0DF4-194C-194E-828C-915EFD9D87EB}" name="Срок службы, лет, не менее" dataDxfId="8"/>
    <tableColumn id="21" xr3:uid="{FF832098-3FF9-2B4F-B631-1C13743890D1}" name="Активная площадь поверхности рабочего элемента (электрода), м2, не менее" dataDxfId="7"/>
    <tableColumn id="22" xr3:uid="{AD3628AA-C8C1-6F4F-A844-F3A0424F5CD8}" name="Активная площадь поверхности анода в коксовой засыпке, м2/пог.м, не менее:" dataDxfId="6"/>
    <tableColumn id="26" xr3:uid="{DFA77B42-1F3E-7B4F-83C9-1D171182DB76}" name="Максимальное количество рабочих элементов (электродов) в аноде, не более шт" dataDxfId="5"/>
    <tableColumn id="27" xr3:uid="{B11765B8-AC74-FD42-AAC0-73F236510DDB}" name="Максимальное напряжение «анод-среда», В" dataDxfId="4"/>
    <tableColumn id="28" xr3:uid="{F1233876-2E3E-854B-B1DF-5474505537EC}" name="Описание" dataDxfId="3"/>
  </tableColumns>
  <tableStyleInfo name="TableStyleLight1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715B0F3-AFDC-7444-8CCB-DA42687D18E9}" name="ТаблицаМонтаж" displayName="ТаблицаМонтаж" ref="R2:U11" totalsRowShown="0">
  <tableColumns count="4">
    <tableColumn id="1" xr3:uid="{FE5A7E62-0F27-2E4F-B636-F1B761C6B20C}" name="№"/>
    <tableColumn id="2" xr3:uid="{8904F6AA-5AAA-8346-99DD-CAF32C82340F}" name="Абр." dataDxfId="2"/>
    <tableColumn id="3" xr3:uid="{43F52139-CE6E-8742-96A4-A4CF8E3414A2}" name="Способ монтажа" dataDxfId="1"/>
    <tableColumn id="4" xr3:uid="{12A072FA-B75D-684E-86DF-D79207799316}" name="Тип монтажа" dataDxfId="0"/>
  </tableColumns>
  <tableStyleInfo name="TableStyleLight15"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9" Type="http://schemas.openxmlformats.org/officeDocument/2006/relationships/ctrlProp" Target="../ctrlProps/ctrlProp31.xml"/><Relationship Id="rId21" Type="http://schemas.openxmlformats.org/officeDocument/2006/relationships/ctrlProp" Target="../ctrlProps/ctrlProp13.xml"/><Relationship Id="rId34" Type="http://schemas.openxmlformats.org/officeDocument/2006/relationships/ctrlProp" Target="../ctrlProps/ctrlProp26.xml"/><Relationship Id="rId42" Type="http://schemas.openxmlformats.org/officeDocument/2006/relationships/ctrlProp" Target="../ctrlProps/ctrlProp34.xml"/><Relationship Id="rId47" Type="http://schemas.openxmlformats.org/officeDocument/2006/relationships/ctrlProp" Target="../ctrlProps/ctrlProp39.xml"/><Relationship Id="rId50" Type="http://schemas.openxmlformats.org/officeDocument/2006/relationships/ctrlProp" Target="../ctrlProps/ctrlProp42.xml"/><Relationship Id="rId7" Type="http://schemas.openxmlformats.org/officeDocument/2006/relationships/drawing" Target="../drawings/drawing1.xml"/><Relationship Id="rId2" Type="http://schemas.openxmlformats.org/officeDocument/2006/relationships/hyperlink" Target="https://snip.ruscable.ru/Data1/59/59750/index.htm" TargetMode="External"/><Relationship Id="rId16" Type="http://schemas.openxmlformats.org/officeDocument/2006/relationships/ctrlProp" Target="../ctrlProps/ctrlProp8.xml"/><Relationship Id="rId29" Type="http://schemas.openxmlformats.org/officeDocument/2006/relationships/ctrlProp" Target="../ctrlProps/ctrlProp21.xml"/><Relationship Id="rId11" Type="http://schemas.openxmlformats.org/officeDocument/2006/relationships/ctrlProp" Target="../ctrlProps/ctrlProp3.xml"/><Relationship Id="rId24" Type="http://schemas.openxmlformats.org/officeDocument/2006/relationships/ctrlProp" Target="../ctrlProps/ctrlProp16.xml"/><Relationship Id="rId32" Type="http://schemas.openxmlformats.org/officeDocument/2006/relationships/ctrlProp" Target="../ctrlProps/ctrlProp24.xml"/><Relationship Id="rId37" Type="http://schemas.openxmlformats.org/officeDocument/2006/relationships/ctrlProp" Target="../ctrlProps/ctrlProp29.xml"/><Relationship Id="rId40" Type="http://schemas.openxmlformats.org/officeDocument/2006/relationships/ctrlProp" Target="../ctrlProps/ctrlProp32.xml"/><Relationship Id="rId45" Type="http://schemas.openxmlformats.org/officeDocument/2006/relationships/ctrlProp" Target="../ctrlProps/ctrlProp37.xml"/><Relationship Id="rId53" Type="http://schemas.openxmlformats.org/officeDocument/2006/relationships/comments" Target="../comments1.xml"/><Relationship Id="rId5" Type="http://schemas.openxmlformats.org/officeDocument/2006/relationships/hyperlink" Target="https://www.caduser.ru/press/articles/cm_34_electrics_ecp.html" TargetMode="External"/><Relationship Id="rId10" Type="http://schemas.openxmlformats.org/officeDocument/2006/relationships/ctrlProp" Target="../ctrlProps/ctrlProp2.xml"/><Relationship Id="rId19" Type="http://schemas.openxmlformats.org/officeDocument/2006/relationships/ctrlProp" Target="../ctrlProps/ctrlProp11.xml"/><Relationship Id="rId31" Type="http://schemas.openxmlformats.org/officeDocument/2006/relationships/ctrlProp" Target="../ctrlProps/ctrlProp23.xml"/><Relationship Id="rId44" Type="http://schemas.openxmlformats.org/officeDocument/2006/relationships/ctrlProp" Target="../ctrlProps/ctrlProp36.xml"/><Relationship Id="rId52" Type="http://schemas.openxmlformats.org/officeDocument/2006/relationships/ctrlProp" Target="../ctrlProps/ctrlProp44.xml"/><Relationship Id="rId4" Type="http://schemas.openxmlformats.org/officeDocument/2006/relationships/hyperlink" Target="https://www.&#1093;&#1080;&#1084;&#1089;&#1077;&#1088;&#1074;&#1080;&#1089;.com/programma-rascheta-az.html" TargetMode="External"/><Relationship Id="rId9" Type="http://schemas.openxmlformats.org/officeDocument/2006/relationships/ctrlProp" Target="../ctrlProps/ctrlProp1.xml"/><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 Id="rId35" Type="http://schemas.openxmlformats.org/officeDocument/2006/relationships/ctrlProp" Target="../ctrlProps/ctrlProp27.xml"/><Relationship Id="rId43" Type="http://schemas.openxmlformats.org/officeDocument/2006/relationships/ctrlProp" Target="../ctrlProps/ctrlProp35.xml"/><Relationship Id="rId48" Type="http://schemas.openxmlformats.org/officeDocument/2006/relationships/ctrlProp" Target="../ctrlProps/ctrlProp40.xml"/><Relationship Id="rId8" Type="http://schemas.openxmlformats.org/officeDocument/2006/relationships/vmlDrawing" Target="../drawings/vmlDrawing1.vml"/><Relationship Id="rId51" Type="http://schemas.openxmlformats.org/officeDocument/2006/relationships/ctrlProp" Target="../ctrlProps/ctrlProp43.xml"/><Relationship Id="rId3" Type="http://schemas.openxmlformats.org/officeDocument/2006/relationships/hyperlink" Target="https://pss.ru/servisy-dlya-raschetov/raschet-ekhz/" TargetMode="External"/><Relationship Id="rId12" Type="http://schemas.openxmlformats.org/officeDocument/2006/relationships/ctrlProp" Target="../ctrlProps/ctrlProp4.xml"/><Relationship Id="rId17" Type="http://schemas.openxmlformats.org/officeDocument/2006/relationships/ctrlProp" Target="../ctrlProps/ctrlProp9.xml"/><Relationship Id="rId25" Type="http://schemas.openxmlformats.org/officeDocument/2006/relationships/ctrlProp" Target="../ctrlProps/ctrlProp17.xml"/><Relationship Id="rId33" Type="http://schemas.openxmlformats.org/officeDocument/2006/relationships/ctrlProp" Target="../ctrlProps/ctrlProp25.xml"/><Relationship Id="rId38" Type="http://schemas.openxmlformats.org/officeDocument/2006/relationships/ctrlProp" Target="../ctrlProps/ctrlProp30.xml"/><Relationship Id="rId46" Type="http://schemas.openxmlformats.org/officeDocument/2006/relationships/ctrlProp" Target="../ctrlProps/ctrlProp38.xml"/><Relationship Id="rId20" Type="http://schemas.openxmlformats.org/officeDocument/2006/relationships/ctrlProp" Target="../ctrlProps/ctrlProp12.xml"/><Relationship Id="rId41" Type="http://schemas.openxmlformats.org/officeDocument/2006/relationships/ctrlProp" Target="../ctrlProps/ctrlProp33.xml"/><Relationship Id="rId1" Type="http://schemas.openxmlformats.org/officeDocument/2006/relationships/hyperlink" Target="https://online-electric.ru/echpro/echpro.php" TargetMode="External"/><Relationship Id="rId6" Type="http://schemas.openxmlformats.org/officeDocument/2006/relationships/hyperlink" Target="https://ozlib.com/851633/tehnika/primery_rascheta_anodnogo_zazemleniya" TargetMode="External"/><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36" Type="http://schemas.openxmlformats.org/officeDocument/2006/relationships/ctrlProp" Target="../ctrlProps/ctrlProp28.xml"/><Relationship Id="rId49"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2.xml"/><Relationship Id="rId1" Type="http://schemas.openxmlformats.org/officeDocument/2006/relationships/hyperlink" Target="https://rusneb.ru/catalog/000200_000018_RU_NLR_BIBL_A_012655435/"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18" Type="http://schemas.openxmlformats.org/officeDocument/2006/relationships/table" Target="../tables/table23.xml"/><Relationship Id="rId26" Type="http://schemas.openxmlformats.org/officeDocument/2006/relationships/comments" Target="../comments2.xml"/><Relationship Id="rId3" Type="http://schemas.openxmlformats.org/officeDocument/2006/relationships/table" Target="../tables/table8.xml"/><Relationship Id="rId21" Type="http://schemas.openxmlformats.org/officeDocument/2006/relationships/table" Target="../tables/table26.xml"/><Relationship Id="rId7" Type="http://schemas.openxmlformats.org/officeDocument/2006/relationships/table" Target="../tables/table12.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2" Type="http://schemas.openxmlformats.org/officeDocument/2006/relationships/vmlDrawing" Target="../drawings/vmlDrawing2.vml"/><Relationship Id="rId16" Type="http://schemas.openxmlformats.org/officeDocument/2006/relationships/table" Target="../tables/table21.xml"/><Relationship Id="rId20" Type="http://schemas.openxmlformats.org/officeDocument/2006/relationships/table" Target="../tables/table25.xml"/><Relationship Id="rId1" Type="http://schemas.openxmlformats.org/officeDocument/2006/relationships/drawing" Target="../drawings/drawing3.xml"/><Relationship Id="rId6" Type="http://schemas.openxmlformats.org/officeDocument/2006/relationships/table" Target="../tables/table11.xml"/><Relationship Id="rId11" Type="http://schemas.openxmlformats.org/officeDocument/2006/relationships/table" Target="../tables/table16.xml"/><Relationship Id="rId24" Type="http://schemas.openxmlformats.org/officeDocument/2006/relationships/table" Target="../tables/table29.xml"/><Relationship Id="rId5" Type="http://schemas.openxmlformats.org/officeDocument/2006/relationships/table" Target="../tables/table10.xml"/><Relationship Id="rId15" Type="http://schemas.openxmlformats.org/officeDocument/2006/relationships/table" Target="../tables/table20.xml"/><Relationship Id="rId23" Type="http://schemas.openxmlformats.org/officeDocument/2006/relationships/table" Target="../tables/table28.xml"/><Relationship Id="rId10" Type="http://schemas.openxmlformats.org/officeDocument/2006/relationships/table" Target="../tables/table15.xml"/><Relationship Id="rId19" Type="http://schemas.openxmlformats.org/officeDocument/2006/relationships/table" Target="../tables/table24.xml"/><Relationship Id="rId4" Type="http://schemas.openxmlformats.org/officeDocument/2006/relationships/table" Target="../tables/table9.xml"/><Relationship Id="rId9" Type="http://schemas.openxmlformats.org/officeDocument/2006/relationships/table" Target="../tables/table14.xml"/><Relationship Id="rId14" Type="http://schemas.openxmlformats.org/officeDocument/2006/relationships/table" Target="../tables/table19.xml"/><Relationship Id="rId22" Type="http://schemas.openxmlformats.org/officeDocument/2006/relationships/table" Target="../tables/table2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5.xml"/><Relationship Id="rId7"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table" Target="../tables/table31.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50.xml"/><Relationship Id="rId18" Type="http://schemas.openxmlformats.org/officeDocument/2006/relationships/ctrlProp" Target="../ctrlProps/ctrlProp55.xml"/><Relationship Id="rId26" Type="http://schemas.openxmlformats.org/officeDocument/2006/relationships/ctrlProp" Target="../ctrlProps/ctrlProp63.xml"/><Relationship Id="rId3" Type="http://schemas.openxmlformats.org/officeDocument/2006/relationships/hyperlink" Target="https://www.energomera.ru/ru/products/ehz/mpn-ope-m14" TargetMode="External"/><Relationship Id="rId21" Type="http://schemas.openxmlformats.org/officeDocument/2006/relationships/ctrlProp" Target="../ctrlProps/ctrlProp58.xml"/><Relationship Id="rId34" Type="http://schemas.openxmlformats.org/officeDocument/2006/relationships/ctrlProp" Target="../ctrlProps/ctrlProp71.xml"/><Relationship Id="rId7" Type="http://schemas.openxmlformats.org/officeDocument/2006/relationships/hyperlink" Target="https://www.energomera.ru/ru/products/ehz/mpn-ope-m14" TargetMode="External"/><Relationship Id="rId12" Type="http://schemas.openxmlformats.org/officeDocument/2006/relationships/ctrlProp" Target="../ctrlProps/ctrlProp49.xml"/><Relationship Id="rId17" Type="http://schemas.openxmlformats.org/officeDocument/2006/relationships/ctrlProp" Target="../ctrlProps/ctrlProp54.xml"/><Relationship Id="rId25" Type="http://schemas.openxmlformats.org/officeDocument/2006/relationships/ctrlProp" Target="../ctrlProps/ctrlProp62.xml"/><Relationship Id="rId33" Type="http://schemas.openxmlformats.org/officeDocument/2006/relationships/ctrlProp" Target="../ctrlProps/ctrlProp70.xml"/><Relationship Id="rId2" Type="http://schemas.openxmlformats.org/officeDocument/2006/relationships/hyperlink" Target="https://www.energomera.ru/ru/products/ehz/mpn-ope-m14" TargetMode="External"/><Relationship Id="rId16" Type="http://schemas.openxmlformats.org/officeDocument/2006/relationships/ctrlProp" Target="../ctrlProps/ctrlProp53.xml"/><Relationship Id="rId20" Type="http://schemas.openxmlformats.org/officeDocument/2006/relationships/ctrlProp" Target="../ctrlProps/ctrlProp57.xml"/><Relationship Id="rId29" Type="http://schemas.openxmlformats.org/officeDocument/2006/relationships/ctrlProp" Target="../ctrlProps/ctrlProp66.xml"/><Relationship Id="rId1" Type="http://schemas.openxmlformats.org/officeDocument/2006/relationships/hyperlink" Target="https://www.energomera.ru/ru/products/ehz/mpn-ope-m14" TargetMode="External"/><Relationship Id="rId6" Type="http://schemas.openxmlformats.org/officeDocument/2006/relationships/hyperlink" Target="https://www.energomera.ru/ru/products/ehz/mpn-ope-m14" TargetMode="External"/><Relationship Id="rId11" Type="http://schemas.openxmlformats.org/officeDocument/2006/relationships/ctrlProp" Target="../ctrlProps/ctrlProp48.xml"/><Relationship Id="rId24" Type="http://schemas.openxmlformats.org/officeDocument/2006/relationships/ctrlProp" Target="../ctrlProps/ctrlProp61.xml"/><Relationship Id="rId32" Type="http://schemas.openxmlformats.org/officeDocument/2006/relationships/ctrlProp" Target="../ctrlProps/ctrlProp69.xml"/><Relationship Id="rId5" Type="http://schemas.openxmlformats.org/officeDocument/2006/relationships/hyperlink" Target="https://www.energomera.ru/ru/products/ehz/mpn-ope-m14" TargetMode="External"/><Relationship Id="rId15" Type="http://schemas.openxmlformats.org/officeDocument/2006/relationships/ctrlProp" Target="../ctrlProps/ctrlProp52.xml"/><Relationship Id="rId23" Type="http://schemas.openxmlformats.org/officeDocument/2006/relationships/ctrlProp" Target="../ctrlProps/ctrlProp60.xml"/><Relationship Id="rId28" Type="http://schemas.openxmlformats.org/officeDocument/2006/relationships/ctrlProp" Target="../ctrlProps/ctrlProp65.xml"/><Relationship Id="rId36" Type="http://schemas.openxmlformats.org/officeDocument/2006/relationships/comments" Target="../comments4.xml"/><Relationship Id="rId10" Type="http://schemas.openxmlformats.org/officeDocument/2006/relationships/vmlDrawing" Target="../drawings/vmlDrawing4.vml"/><Relationship Id="rId19" Type="http://schemas.openxmlformats.org/officeDocument/2006/relationships/ctrlProp" Target="../ctrlProps/ctrlProp56.xml"/><Relationship Id="rId31" Type="http://schemas.openxmlformats.org/officeDocument/2006/relationships/ctrlProp" Target="../ctrlProps/ctrlProp68.xml"/><Relationship Id="rId4" Type="http://schemas.openxmlformats.org/officeDocument/2006/relationships/hyperlink" Target="https://www.energomera.ru/ru/products/ehz/mpn-ope-m14" TargetMode="External"/><Relationship Id="rId9" Type="http://schemas.openxmlformats.org/officeDocument/2006/relationships/drawing" Target="../drawings/drawing5.xml"/><Relationship Id="rId14" Type="http://schemas.openxmlformats.org/officeDocument/2006/relationships/ctrlProp" Target="../ctrlProps/ctrlProp51.xml"/><Relationship Id="rId22" Type="http://schemas.openxmlformats.org/officeDocument/2006/relationships/ctrlProp" Target="../ctrlProps/ctrlProp59.xml"/><Relationship Id="rId27" Type="http://schemas.openxmlformats.org/officeDocument/2006/relationships/ctrlProp" Target="../ctrlProps/ctrlProp64.xml"/><Relationship Id="rId30" Type="http://schemas.openxmlformats.org/officeDocument/2006/relationships/ctrlProp" Target="../ctrlProps/ctrlProp67.xml"/><Relationship Id="rId35" Type="http://schemas.openxmlformats.org/officeDocument/2006/relationships/ctrlProp" Target="../ctrlProps/ctrlProp72.xml"/><Relationship Id="rId8" Type="http://schemas.openxmlformats.org/officeDocument/2006/relationships/hyperlink" Target="https://www.energomera.ru/ru/products/ehz/mpn-ope-m14" TargetMode="External"/></Relationships>
</file>

<file path=xl/worksheets/_rels/sheet8.xml.rels><?xml version="1.0" encoding="UTF-8" standalone="yes"?>
<Relationships xmlns="http://schemas.openxmlformats.org/package/2006/relationships"><Relationship Id="rId117" Type="http://schemas.openxmlformats.org/officeDocument/2006/relationships/hyperlink" Target="https://cit-es.ru/catalog/skz-pkzr/pkz-ar-b/" TargetMode="External"/><Relationship Id="rId21" Type="http://schemas.openxmlformats.org/officeDocument/2006/relationships/hyperlink" Target="https://www.energomera.ru/ru/products/ehz/pn-ope-m11" TargetMode="External"/><Relationship Id="rId42" Type="http://schemas.openxmlformats.org/officeDocument/2006/relationships/hyperlink" Target="https://www.energomera.ru/ru/products/ehz/mpn-ope-m14" TargetMode="External"/><Relationship Id="rId63" Type="http://schemas.openxmlformats.org/officeDocument/2006/relationships/hyperlink" Target="http://www.eltech.tver.ru/catalog/elhim/elhim_17.html" TargetMode="External"/><Relationship Id="rId84" Type="http://schemas.openxmlformats.org/officeDocument/2006/relationships/hyperlink" Target="https://cit-es.ru/catalog/skz-pkzr/pkz-ar-b/" TargetMode="External"/><Relationship Id="rId138" Type="http://schemas.openxmlformats.org/officeDocument/2006/relationships/hyperlink" Target="https://cit-es.ru/catalog/skz-pkzr/pkz-ar-b/" TargetMode="External"/><Relationship Id="rId107" Type="http://schemas.openxmlformats.org/officeDocument/2006/relationships/hyperlink" Target="https://cit-es.ru/catalog/skz-pkzr/pkz-ar-b/" TargetMode="External"/><Relationship Id="rId11" Type="http://schemas.openxmlformats.org/officeDocument/2006/relationships/hyperlink" Target="https://www.energomera.ru/ru/products/ehz/v-ope-m3-v" TargetMode="External"/><Relationship Id="rId32" Type="http://schemas.openxmlformats.org/officeDocument/2006/relationships/hyperlink" Target="https://www.energomera.ru/ru/products/ehz/mpn-ope-m14" TargetMode="External"/><Relationship Id="rId37" Type="http://schemas.openxmlformats.org/officeDocument/2006/relationships/hyperlink" Target="https://www.energomera.ru/ru/products/ehz/mpn-ope-m14" TargetMode="External"/><Relationship Id="rId53" Type="http://schemas.openxmlformats.org/officeDocument/2006/relationships/hyperlink" Target="https://www.energomera.ru/ru/products/ehz/mpn-ope-m14" TargetMode="External"/><Relationship Id="rId58" Type="http://schemas.openxmlformats.org/officeDocument/2006/relationships/hyperlink" Target="https://www.energomera.ru/ru/products/ehz/mpn-ope-m14" TargetMode="External"/><Relationship Id="rId74" Type="http://schemas.openxmlformats.org/officeDocument/2006/relationships/hyperlink" Target="https://cit-es.ru/catalog/skz-pkzr/pkz-ar-b/" TargetMode="External"/><Relationship Id="rId79" Type="http://schemas.openxmlformats.org/officeDocument/2006/relationships/hyperlink" Target="https://cit-es.ru/catalog/skz-pkzr/pkz-ar-b/" TargetMode="External"/><Relationship Id="rId102" Type="http://schemas.openxmlformats.org/officeDocument/2006/relationships/hyperlink" Target="https://cit-es.ru/catalog/skz-pkzr/pkz-ar-b/" TargetMode="External"/><Relationship Id="rId123" Type="http://schemas.openxmlformats.org/officeDocument/2006/relationships/hyperlink" Target="https://cit-es.ru/catalog/skz-pkzr/pkz-ar-b/" TargetMode="External"/><Relationship Id="rId128" Type="http://schemas.openxmlformats.org/officeDocument/2006/relationships/hyperlink" Target="https://cit-es.ru/catalog/skz-pkzr/pkz-ar-b/" TargetMode="External"/><Relationship Id="rId5" Type="http://schemas.openxmlformats.org/officeDocument/2006/relationships/hyperlink" Target="http://www.signalrp.ru/catalog/vope-3/" TargetMode="External"/><Relationship Id="rId90" Type="http://schemas.openxmlformats.org/officeDocument/2006/relationships/hyperlink" Target="https://cit-es.ru/catalog/skz-pkzr/pkz-ar-b/" TargetMode="External"/><Relationship Id="rId95" Type="http://schemas.openxmlformats.org/officeDocument/2006/relationships/hyperlink" Target="https://cit-es.ru/catalog/skz-pkzr/pkz-ar-b/" TargetMode="External"/><Relationship Id="rId22" Type="http://schemas.openxmlformats.org/officeDocument/2006/relationships/hyperlink" Target="https://www.energomera.ru/ru/products/ehz/pn-ope-m11" TargetMode="External"/><Relationship Id="rId27" Type="http://schemas.openxmlformats.org/officeDocument/2006/relationships/hyperlink" Target="https://www.energomera.ru/ru/products/ehz/mpn-ope-m14" TargetMode="External"/><Relationship Id="rId43" Type="http://schemas.openxmlformats.org/officeDocument/2006/relationships/hyperlink" Target="https://www.energomera.ru/ru/products/ehz/mpn-ope-m14" TargetMode="External"/><Relationship Id="rId48" Type="http://schemas.openxmlformats.org/officeDocument/2006/relationships/hyperlink" Target="https://www.energomera.ru/ru/products/ehz/mpn-ope-m14" TargetMode="External"/><Relationship Id="rId64" Type="http://schemas.openxmlformats.org/officeDocument/2006/relationships/hyperlink" Target="http://www.eltech.tver.ru/catalog/elhim/elhim_17.html" TargetMode="External"/><Relationship Id="rId69" Type="http://schemas.openxmlformats.org/officeDocument/2006/relationships/hyperlink" Target="https://cit-es.ru/catalog/skz-pkzr/pkz-ar-b/" TargetMode="External"/><Relationship Id="rId113" Type="http://schemas.openxmlformats.org/officeDocument/2006/relationships/hyperlink" Target="https://cit-es.ru/catalog/skz-pkzr/pkz-ar-b/" TargetMode="External"/><Relationship Id="rId118" Type="http://schemas.openxmlformats.org/officeDocument/2006/relationships/hyperlink" Target="https://cit-es.ru/catalog/skz-pkzr/pkz-ar-b/" TargetMode="External"/><Relationship Id="rId134" Type="http://schemas.openxmlformats.org/officeDocument/2006/relationships/hyperlink" Target="https://cit-es.ru/catalog/skz-pkzr/pkz-ar-b/" TargetMode="External"/><Relationship Id="rId139" Type="http://schemas.openxmlformats.org/officeDocument/2006/relationships/hyperlink" Target="https://cit-es.ru/catalog/skz-pkzr/pkz-ar-b/" TargetMode="External"/><Relationship Id="rId80" Type="http://schemas.openxmlformats.org/officeDocument/2006/relationships/hyperlink" Target="https://cit-es.ru/catalog/skz-pkzr/pkz-ar-b/" TargetMode="External"/><Relationship Id="rId85" Type="http://schemas.openxmlformats.org/officeDocument/2006/relationships/hyperlink" Target="https://cit-es.ru/catalog/skz-pkzr/pkz-ar-b/" TargetMode="External"/><Relationship Id="rId12" Type="http://schemas.openxmlformats.org/officeDocument/2006/relationships/hyperlink" Target="https://www.energomera.ru/ru/products/ehz/v-ope-m6-v" TargetMode="External"/><Relationship Id="rId17" Type="http://schemas.openxmlformats.org/officeDocument/2006/relationships/hyperlink" Target="https://www.energomera.ru/ru/products/ehz/v-ope-m10-v" TargetMode="External"/><Relationship Id="rId33" Type="http://schemas.openxmlformats.org/officeDocument/2006/relationships/hyperlink" Target="https://www.energomera.ru/ru/products/ehz/mpn-ope-m14" TargetMode="External"/><Relationship Id="rId38" Type="http://schemas.openxmlformats.org/officeDocument/2006/relationships/hyperlink" Target="https://www.energomera.ru/ru/products/ehz/mpn-ope-m14" TargetMode="External"/><Relationship Id="rId59" Type="http://schemas.openxmlformats.org/officeDocument/2006/relationships/hyperlink" Target="https://www.energomera.ru/ru/products/ehz/mpn-ope-m14" TargetMode="External"/><Relationship Id="rId103" Type="http://schemas.openxmlformats.org/officeDocument/2006/relationships/hyperlink" Target="https://cit-es.ru/catalog/skz-pkzr/pkz-ar-b/" TargetMode="External"/><Relationship Id="rId108" Type="http://schemas.openxmlformats.org/officeDocument/2006/relationships/hyperlink" Target="https://cit-es.ru/catalog/skz-pkzr/pkz-ar-b/" TargetMode="External"/><Relationship Id="rId124" Type="http://schemas.openxmlformats.org/officeDocument/2006/relationships/hyperlink" Target="https://cit-es.ru/catalog/skz-pkzr/pkz-ar-b/" TargetMode="External"/><Relationship Id="rId129" Type="http://schemas.openxmlformats.org/officeDocument/2006/relationships/hyperlink" Target="https://cit-es.ru/catalog/skz-pkzr/pkz-ar-b/" TargetMode="External"/><Relationship Id="rId54" Type="http://schemas.openxmlformats.org/officeDocument/2006/relationships/hyperlink" Target="https://www.energomera.ru/ru/products/ehz/mpn-ope-m14" TargetMode="External"/><Relationship Id="rId70" Type="http://schemas.openxmlformats.org/officeDocument/2006/relationships/hyperlink" Target="https://cit-es.ru/catalog/skz-pkzr/pkz-ar-b/" TargetMode="External"/><Relationship Id="rId75" Type="http://schemas.openxmlformats.org/officeDocument/2006/relationships/hyperlink" Target="https://cit-es.ru/catalog/skz-pkzr/pkz-ar-b/" TargetMode="External"/><Relationship Id="rId91" Type="http://schemas.openxmlformats.org/officeDocument/2006/relationships/hyperlink" Target="https://cit-es.ru/catalog/skz-pkzr/pkz-ar-b/" TargetMode="External"/><Relationship Id="rId96" Type="http://schemas.openxmlformats.org/officeDocument/2006/relationships/hyperlink" Target="https://cit-es.ru/catalog/skz-pkzr/pkz-ar-b/" TargetMode="External"/><Relationship Id="rId140" Type="http://schemas.openxmlformats.org/officeDocument/2006/relationships/hyperlink" Target="https://cit-es.ru/catalog/skz-pkzr/pkz-ar-b/" TargetMode="External"/><Relationship Id="rId1" Type="http://schemas.openxmlformats.org/officeDocument/2006/relationships/hyperlink" Target="http://www.signalrp.ru/catalog/skzip-mr2/" TargetMode="External"/><Relationship Id="rId6" Type="http://schemas.openxmlformats.org/officeDocument/2006/relationships/hyperlink" Target="https://pss.ru/product/ekhz-katodnaya-zashchita/stantsii-katodnoy-zashchity-skz-vypryamiteli/avtomaticheskiy-vypryamitel-v-ope/" TargetMode="External"/><Relationship Id="rId23" Type="http://schemas.openxmlformats.org/officeDocument/2006/relationships/hyperlink" Target="https://www.energomera.ru/ru/products/ehz/pn-ope-m11" TargetMode="External"/><Relationship Id="rId28" Type="http://schemas.openxmlformats.org/officeDocument/2006/relationships/hyperlink" Target="https://www.energomera.ru/ru/products/ehz/mpn-ope-m14" TargetMode="External"/><Relationship Id="rId49" Type="http://schemas.openxmlformats.org/officeDocument/2006/relationships/hyperlink" Target="https://www.energomera.ru/ru/products/ehz/mpn-ope-m14" TargetMode="External"/><Relationship Id="rId114" Type="http://schemas.openxmlformats.org/officeDocument/2006/relationships/hyperlink" Target="https://cit-es.ru/catalog/skz-pkzr/pkz-ar-b/" TargetMode="External"/><Relationship Id="rId119" Type="http://schemas.openxmlformats.org/officeDocument/2006/relationships/hyperlink" Target="https://cit-es.ru/catalog/skz-pkzr/pkz-ar-b/" TargetMode="External"/><Relationship Id="rId44" Type="http://schemas.openxmlformats.org/officeDocument/2006/relationships/hyperlink" Target="https://www.energomera.ru/ru/products/ehz/mpn-ope-m14" TargetMode="External"/><Relationship Id="rId60" Type="http://schemas.openxmlformats.org/officeDocument/2006/relationships/hyperlink" Target="https://www.energomera.ru/ru/products/ehz/mpn-ope-m14" TargetMode="External"/><Relationship Id="rId65" Type="http://schemas.openxmlformats.org/officeDocument/2006/relationships/hyperlink" Target="http://www.eltech.tver.ru/catalog/elhim/elhim_17.html" TargetMode="External"/><Relationship Id="rId81" Type="http://schemas.openxmlformats.org/officeDocument/2006/relationships/hyperlink" Target="https://cit-es.ru/catalog/skz-pkzr/pkz-ar-b/" TargetMode="External"/><Relationship Id="rId86" Type="http://schemas.openxmlformats.org/officeDocument/2006/relationships/hyperlink" Target="https://cit-es.ru/catalog/skz-pkzr/pkz-ar-b/" TargetMode="External"/><Relationship Id="rId130" Type="http://schemas.openxmlformats.org/officeDocument/2006/relationships/hyperlink" Target="https://cit-es.ru/catalog/skz-pkzr/pkz-ar-b/" TargetMode="External"/><Relationship Id="rId135" Type="http://schemas.openxmlformats.org/officeDocument/2006/relationships/hyperlink" Target="https://cit-es.ru/catalog/skz-pkzr/pkz-ar-b/" TargetMode="External"/><Relationship Id="rId13" Type="http://schemas.openxmlformats.org/officeDocument/2006/relationships/hyperlink" Target="https://www.energomera.ru/ru/products/ehz/v-ope-m6-v" TargetMode="External"/><Relationship Id="rId18" Type="http://schemas.openxmlformats.org/officeDocument/2006/relationships/hyperlink" Target="https://www.energomera.ru/ru/products/ehz/pn-ope-m11" TargetMode="External"/><Relationship Id="rId39" Type="http://schemas.openxmlformats.org/officeDocument/2006/relationships/hyperlink" Target="https://www.energomera.ru/ru/products/ehz/mpn-ope-m14" TargetMode="External"/><Relationship Id="rId109" Type="http://schemas.openxmlformats.org/officeDocument/2006/relationships/hyperlink" Target="https://cit-es.ru/catalog/skz-pkzr/pkz-ar-b/" TargetMode="External"/><Relationship Id="rId34" Type="http://schemas.openxmlformats.org/officeDocument/2006/relationships/hyperlink" Target="https://www.energomera.ru/ru/products/ehz/mpn-ope-m14" TargetMode="External"/><Relationship Id="rId50" Type="http://schemas.openxmlformats.org/officeDocument/2006/relationships/hyperlink" Target="https://www.energomera.ru/ru/products/ehz/mpn-ope-m14" TargetMode="External"/><Relationship Id="rId55" Type="http://schemas.openxmlformats.org/officeDocument/2006/relationships/hyperlink" Target="https://www.energomera.ru/ru/products/ehz/mpn-ope-m14" TargetMode="External"/><Relationship Id="rId76" Type="http://schemas.openxmlformats.org/officeDocument/2006/relationships/hyperlink" Target="https://cit-es.ru/catalog/skz-pkzr/pkz-ar-b/" TargetMode="External"/><Relationship Id="rId97" Type="http://schemas.openxmlformats.org/officeDocument/2006/relationships/hyperlink" Target="https://cit-es.ru/catalog/skz-pkzr/pkz-ar-b/" TargetMode="External"/><Relationship Id="rId104" Type="http://schemas.openxmlformats.org/officeDocument/2006/relationships/hyperlink" Target="https://cit-es.ru/catalog/skz-pkzr/pkz-ar-b/" TargetMode="External"/><Relationship Id="rId120" Type="http://schemas.openxmlformats.org/officeDocument/2006/relationships/hyperlink" Target="https://cit-es.ru/catalog/skz-pkzr/pkz-ar-b/" TargetMode="External"/><Relationship Id="rId125" Type="http://schemas.openxmlformats.org/officeDocument/2006/relationships/hyperlink" Target="https://cit-es.ru/catalog/skz-pkzr/pkz-ar-b/" TargetMode="External"/><Relationship Id="rId141" Type="http://schemas.openxmlformats.org/officeDocument/2006/relationships/hyperlink" Target="https://www.energomera.ru/ru/products/ehz/mpn-ope-m14" TargetMode="External"/><Relationship Id="rId7" Type="http://schemas.openxmlformats.org/officeDocument/2006/relationships/hyperlink" Target="https://pss.ru/product/ekhz-katodnaya-zashchita/stantsii-katodnoy-zashchity-skz-vypryamiteli/avtomaticheskiy-vypryamitel-v-ope/" TargetMode="External"/><Relationship Id="rId71" Type="http://schemas.openxmlformats.org/officeDocument/2006/relationships/hyperlink" Target="https://cit-es.ru/catalog/skz-pkzr/pkz-ar-b/" TargetMode="External"/><Relationship Id="rId92" Type="http://schemas.openxmlformats.org/officeDocument/2006/relationships/hyperlink" Target="https://cit-es.ru/catalog/skz-pkzr/pkz-ar-b/" TargetMode="External"/><Relationship Id="rId2" Type="http://schemas.openxmlformats.org/officeDocument/2006/relationships/hyperlink" Target="http://www.signalrp.ru/catalog/skzip-mr2/" TargetMode="External"/><Relationship Id="rId29" Type="http://schemas.openxmlformats.org/officeDocument/2006/relationships/hyperlink" Target="https://www.energomera.ru/ru/products/ehz/mpn-ope-m14" TargetMode="External"/><Relationship Id="rId24" Type="http://schemas.openxmlformats.org/officeDocument/2006/relationships/hyperlink" Target="https://www.energomera.ru/ru/products/ehz/pn-ope-m11" TargetMode="External"/><Relationship Id="rId40" Type="http://schemas.openxmlformats.org/officeDocument/2006/relationships/hyperlink" Target="https://www.energomera.ru/ru/products/ehz/mpn-ope-m14" TargetMode="External"/><Relationship Id="rId45" Type="http://schemas.openxmlformats.org/officeDocument/2006/relationships/hyperlink" Target="https://www.energomera.ru/ru/products/ehz/mpn-ope-m14" TargetMode="External"/><Relationship Id="rId66" Type="http://schemas.openxmlformats.org/officeDocument/2006/relationships/hyperlink" Target="http://www.eltech.tver.ru/catalog/elhim/elhim_17.html" TargetMode="External"/><Relationship Id="rId87" Type="http://schemas.openxmlformats.org/officeDocument/2006/relationships/hyperlink" Target="https://cit-es.ru/catalog/skz-pkzr/pkz-ar-b/" TargetMode="External"/><Relationship Id="rId110" Type="http://schemas.openxmlformats.org/officeDocument/2006/relationships/hyperlink" Target="https://cit-es.ru/catalog/skz-pkzr/pkz-ar-b/" TargetMode="External"/><Relationship Id="rId115" Type="http://schemas.openxmlformats.org/officeDocument/2006/relationships/hyperlink" Target="https://cit-es.ru/catalog/skz-pkzr/pkz-ar-b/" TargetMode="External"/><Relationship Id="rId131" Type="http://schemas.openxmlformats.org/officeDocument/2006/relationships/hyperlink" Target="https://cit-es.ru/catalog/skz-pkzr/pkz-ar-b/" TargetMode="External"/><Relationship Id="rId136" Type="http://schemas.openxmlformats.org/officeDocument/2006/relationships/hyperlink" Target="https://cit-es.ru/catalog/skz-pkzr/pkz-ar-b/" TargetMode="External"/><Relationship Id="rId61" Type="http://schemas.openxmlformats.org/officeDocument/2006/relationships/hyperlink" Target="http://www.eltech.tver.ru/catalog/elhim/elhim_17.html" TargetMode="External"/><Relationship Id="rId82" Type="http://schemas.openxmlformats.org/officeDocument/2006/relationships/hyperlink" Target="https://cit-es.ru/catalog/skz-pkzr/pkz-ar-b/" TargetMode="External"/><Relationship Id="rId19" Type="http://schemas.openxmlformats.org/officeDocument/2006/relationships/hyperlink" Target="https://www.energomera.ru/ru/products/ehz/mpn-ope-m14" TargetMode="External"/><Relationship Id="rId14" Type="http://schemas.openxmlformats.org/officeDocument/2006/relationships/hyperlink" Target="https://www.energomera.ru/ru/products/ehz/v-ope-m7-v" TargetMode="External"/><Relationship Id="rId30" Type="http://schemas.openxmlformats.org/officeDocument/2006/relationships/hyperlink" Target="https://www.energomera.ru/ru/products/ehz/mpn-ope-m14" TargetMode="External"/><Relationship Id="rId35" Type="http://schemas.openxmlformats.org/officeDocument/2006/relationships/hyperlink" Target="https://www.energomera.ru/ru/products/ehz/mpn-ope-m14" TargetMode="External"/><Relationship Id="rId56" Type="http://schemas.openxmlformats.org/officeDocument/2006/relationships/hyperlink" Target="https://www.energomera.ru/ru/products/ehz/mpn-ope-m14" TargetMode="External"/><Relationship Id="rId77" Type="http://schemas.openxmlformats.org/officeDocument/2006/relationships/hyperlink" Target="https://cit-es.ru/catalog/skz-pkzr/pkz-ar-b/" TargetMode="External"/><Relationship Id="rId100" Type="http://schemas.openxmlformats.org/officeDocument/2006/relationships/hyperlink" Target="https://cit-es.ru/catalog/skz-pkzr/pkz-ar-b/" TargetMode="External"/><Relationship Id="rId105" Type="http://schemas.openxmlformats.org/officeDocument/2006/relationships/hyperlink" Target="https://cit-es.ru/catalog/skz-pkzr/pkz-ar-b/" TargetMode="External"/><Relationship Id="rId126" Type="http://schemas.openxmlformats.org/officeDocument/2006/relationships/hyperlink" Target="https://cit-es.ru/catalog/skz-pkzr/pkz-ar-b/" TargetMode="External"/><Relationship Id="rId8" Type="http://schemas.openxmlformats.org/officeDocument/2006/relationships/hyperlink" Target="https://www.energomera.ru/ru/products/ehz/mpn-ope-m14" TargetMode="External"/><Relationship Id="rId51" Type="http://schemas.openxmlformats.org/officeDocument/2006/relationships/hyperlink" Target="https://www.energomera.ru/ru/products/ehz/mpn-ope-m14" TargetMode="External"/><Relationship Id="rId72" Type="http://schemas.openxmlformats.org/officeDocument/2006/relationships/hyperlink" Target="https://cit-es.ru/catalog/skz-pkzr/pkz-ar-b/" TargetMode="External"/><Relationship Id="rId93" Type="http://schemas.openxmlformats.org/officeDocument/2006/relationships/hyperlink" Target="https://cit-es.ru/catalog/skz-pkzr/pkz-ar-b/" TargetMode="External"/><Relationship Id="rId98" Type="http://schemas.openxmlformats.org/officeDocument/2006/relationships/hyperlink" Target="https://cit-es.ru/catalog/skz-pkzr/pkz-ar-b/" TargetMode="External"/><Relationship Id="rId121" Type="http://schemas.openxmlformats.org/officeDocument/2006/relationships/hyperlink" Target="https://cit-es.ru/catalog/skz-pkzr/pkz-ar-b/" TargetMode="External"/><Relationship Id="rId142" Type="http://schemas.openxmlformats.org/officeDocument/2006/relationships/hyperlink" Target="http://www.signalrp.ru/catalog/skzip-mr2/" TargetMode="External"/><Relationship Id="rId3" Type="http://schemas.openxmlformats.org/officeDocument/2006/relationships/hyperlink" Target="http://www.signalrp.ru/catalog/skzip-m1/" TargetMode="External"/><Relationship Id="rId25" Type="http://schemas.openxmlformats.org/officeDocument/2006/relationships/hyperlink" Target="https://www.energomera.ru/ru/products/ehz/pn-ope-m11" TargetMode="External"/><Relationship Id="rId46" Type="http://schemas.openxmlformats.org/officeDocument/2006/relationships/hyperlink" Target="https://www.energomera.ru/ru/products/ehz/mpn-ope-m14" TargetMode="External"/><Relationship Id="rId67" Type="http://schemas.openxmlformats.org/officeDocument/2006/relationships/hyperlink" Target="http://www.eltech.tver.ru/catalog/elhim/elhim_54.html" TargetMode="External"/><Relationship Id="rId116" Type="http://schemas.openxmlformats.org/officeDocument/2006/relationships/hyperlink" Target="https://cit-es.ru/catalog/skz-pkzr/pkz-ar-b/" TargetMode="External"/><Relationship Id="rId137" Type="http://schemas.openxmlformats.org/officeDocument/2006/relationships/hyperlink" Target="https://cit-es.ru/catalog/skz-pkzr/pkz-ar-b/" TargetMode="External"/><Relationship Id="rId20" Type="http://schemas.openxmlformats.org/officeDocument/2006/relationships/hyperlink" Target="https://www.energomera.ru/ru/products/ehz/pn-ope-m11" TargetMode="External"/><Relationship Id="rId41" Type="http://schemas.openxmlformats.org/officeDocument/2006/relationships/hyperlink" Target="https://www.energomera.ru/ru/products/ehz/mpn-ope-m14" TargetMode="External"/><Relationship Id="rId62" Type="http://schemas.openxmlformats.org/officeDocument/2006/relationships/hyperlink" Target="http://www.eltech.tver.ru/catalog/elhim/elhim_17.html" TargetMode="External"/><Relationship Id="rId83" Type="http://schemas.openxmlformats.org/officeDocument/2006/relationships/hyperlink" Target="https://cit-es.ru/catalog/skz-pkzr/pkz-ar-b/" TargetMode="External"/><Relationship Id="rId88" Type="http://schemas.openxmlformats.org/officeDocument/2006/relationships/hyperlink" Target="https://cit-es.ru/catalog/skz-pkzr/pkz-ar-b/" TargetMode="External"/><Relationship Id="rId111" Type="http://schemas.openxmlformats.org/officeDocument/2006/relationships/hyperlink" Target="https://cit-es.ru/catalog/skz-pkzr/pkz-ar-b/" TargetMode="External"/><Relationship Id="rId132" Type="http://schemas.openxmlformats.org/officeDocument/2006/relationships/hyperlink" Target="https://cit-es.ru/catalog/skz-pkzr/pkz-ar-b/" TargetMode="External"/><Relationship Id="rId15" Type="http://schemas.openxmlformats.org/officeDocument/2006/relationships/hyperlink" Target="https://www.energomera.ru/ru/products/ehz/v-ope-m7-v" TargetMode="External"/><Relationship Id="rId36" Type="http://schemas.openxmlformats.org/officeDocument/2006/relationships/hyperlink" Target="https://www.energomera.ru/ru/products/ehz/mpn-ope-m14" TargetMode="External"/><Relationship Id="rId57" Type="http://schemas.openxmlformats.org/officeDocument/2006/relationships/hyperlink" Target="https://www.energomera.ru/ru/products/ehz/mpn-ope-m14" TargetMode="External"/><Relationship Id="rId106" Type="http://schemas.openxmlformats.org/officeDocument/2006/relationships/hyperlink" Target="https://cit-es.ru/catalog/skz-pkzr/pkz-ar-b/" TargetMode="External"/><Relationship Id="rId127" Type="http://schemas.openxmlformats.org/officeDocument/2006/relationships/hyperlink" Target="https://cit-es.ru/catalog/skz-pkzr/pkz-ar-b/" TargetMode="External"/><Relationship Id="rId10" Type="http://schemas.openxmlformats.org/officeDocument/2006/relationships/hyperlink" Target="https://www.energomera.ru/ru/products/ehz/v-ope-m3-v" TargetMode="External"/><Relationship Id="rId31" Type="http://schemas.openxmlformats.org/officeDocument/2006/relationships/hyperlink" Target="https://www.energomera.ru/ru/products/ehz/mpn-ope-m14" TargetMode="External"/><Relationship Id="rId52" Type="http://schemas.openxmlformats.org/officeDocument/2006/relationships/hyperlink" Target="https://www.energomera.ru/ru/products/ehz/mpn-ope-m14" TargetMode="External"/><Relationship Id="rId73" Type="http://schemas.openxmlformats.org/officeDocument/2006/relationships/hyperlink" Target="https://cit-es.ru/catalog/skz-pkzr/pkz-ar-b/" TargetMode="External"/><Relationship Id="rId78" Type="http://schemas.openxmlformats.org/officeDocument/2006/relationships/hyperlink" Target="https://cit-es.ru/catalog/skz-pkzr/pkz-ar-b/" TargetMode="External"/><Relationship Id="rId94" Type="http://schemas.openxmlformats.org/officeDocument/2006/relationships/hyperlink" Target="https://cit-es.ru/catalog/skz-pkzr/pkz-ar-b/" TargetMode="External"/><Relationship Id="rId99" Type="http://schemas.openxmlformats.org/officeDocument/2006/relationships/hyperlink" Target="https://cit-es.ru/catalog/skz-pkzr/pkz-ar-b/" TargetMode="External"/><Relationship Id="rId101" Type="http://schemas.openxmlformats.org/officeDocument/2006/relationships/hyperlink" Target="https://cit-es.ru/catalog/skz-pkzr/pkz-ar-b/" TargetMode="External"/><Relationship Id="rId122" Type="http://schemas.openxmlformats.org/officeDocument/2006/relationships/hyperlink" Target="https://cit-es.ru/catalog/skz-pkzr/pkz-ar-b/" TargetMode="External"/><Relationship Id="rId143" Type="http://schemas.openxmlformats.org/officeDocument/2006/relationships/table" Target="../tables/table32.xml"/><Relationship Id="rId4" Type="http://schemas.openxmlformats.org/officeDocument/2006/relationships/hyperlink" Target="http://www.signalrp.ru/catalog/vope-3/" TargetMode="External"/><Relationship Id="rId9" Type="http://schemas.openxmlformats.org/officeDocument/2006/relationships/hyperlink" Target="https://www.energomera.ru/ru/products/ehz/v-ope-m2-v" TargetMode="External"/><Relationship Id="rId26" Type="http://schemas.openxmlformats.org/officeDocument/2006/relationships/hyperlink" Target="https://www.energomera.ru/ru/products/ehz/mpn-ope-m14" TargetMode="External"/><Relationship Id="rId47" Type="http://schemas.openxmlformats.org/officeDocument/2006/relationships/hyperlink" Target="https://www.energomera.ru/ru/products/ehz/mpn-ope-m14" TargetMode="External"/><Relationship Id="rId68" Type="http://schemas.openxmlformats.org/officeDocument/2006/relationships/hyperlink" Target="http://www.eltech.tver.ru/catalog/elhim/elhim_54.html" TargetMode="External"/><Relationship Id="rId89" Type="http://schemas.openxmlformats.org/officeDocument/2006/relationships/hyperlink" Target="https://cit-es.ru/catalog/skz-pkzr/pkz-ar-b/" TargetMode="External"/><Relationship Id="rId112" Type="http://schemas.openxmlformats.org/officeDocument/2006/relationships/hyperlink" Target="https://cit-es.ru/catalog/skz-pkzr/pkz-ar-b/" TargetMode="External"/><Relationship Id="rId133" Type="http://schemas.openxmlformats.org/officeDocument/2006/relationships/hyperlink" Target="https://cit-es.ru/catalog/skz-pkzr/pkz-ar-b/" TargetMode="External"/><Relationship Id="rId16" Type="http://schemas.openxmlformats.org/officeDocument/2006/relationships/hyperlink" Target="https://www.energomera.ru/ru/products/ehz/v-ope-m10-v" TargetMode="External"/></Relationships>
</file>

<file path=xl/worksheets/_rels/sheet9.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vmlDrawing" Target="../drawings/vmlDrawing5.vm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A2C-324F-5545-BEE9-675C58253B26}">
  <sheetPr codeName="Лист5"/>
  <dimension ref="A1:H174"/>
  <sheetViews>
    <sheetView topLeftCell="A9" workbookViewId="0">
      <selection activeCell="G37" sqref="G37"/>
    </sheetView>
  </sheetViews>
  <sheetFormatPr baseColWidth="10" defaultRowHeight="16"/>
  <cols>
    <col min="1" max="1" width="4.5" customWidth="1"/>
    <col min="2" max="2" width="5.1640625" bestFit="1" customWidth="1"/>
    <col min="3" max="3" width="9" bestFit="1" customWidth="1"/>
    <col min="4" max="4" width="86.1640625" bestFit="1" customWidth="1"/>
    <col min="5" max="5" width="29.33203125" customWidth="1"/>
    <col min="6" max="6" width="16" customWidth="1"/>
    <col min="7" max="7" width="13.33203125" customWidth="1"/>
  </cols>
  <sheetData>
    <row r="1" spans="1:4">
      <c r="A1" s="48" t="s">
        <v>526</v>
      </c>
    </row>
    <row r="2" spans="1:4">
      <c r="B2" s="37" t="s">
        <v>525</v>
      </c>
    </row>
    <row r="3" spans="1:4">
      <c r="B3" s="37" t="s">
        <v>523</v>
      </c>
    </row>
    <row r="4" spans="1:4">
      <c r="B4" s="37" t="s">
        <v>520</v>
      </c>
    </row>
    <row r="5" spans="1:4">
      <c r="B5" s="37" t="s">
        <v>521</v>
      </c>
    </row>
    <row r="6" spans="1:4">
      <c r="B6" s="37" t="s">
        <v>522</v>
      </c>
    </row>
    <row r="7" spans="1:4">
      <c r="B7" s="37" t="s">
        <v>524</v>
      </c>
    </row>
    <row r="8" spans="1:4">
      <c r="B8" s="37"/>
    </row>
    <row r="9" spans="1:4" ht="17" thickBot="1">
      <c r="B9" s="37"/>
      <c r="D9" s="93" t="s">
        <v>580</v>
      </c>
    </row>
    <row r="10" spans="1:4">
      <c r="B10" s="37"/>
      <c r="C10">
        <v>1</v>
      </c>
      <c r="D10" s="147" t="s">
        <v>674</v>
      </c>
    </row>
    <row r="11" spans="1:4">
      <c r="B11" s="37"/>
      <c r="C11">
        <v>2</v>
      </c>
      <c r="D11" s="148" t="s">
        <v>675</v>
      </c>
    </row>
    <row r="12" spans="1:4">
      <c r="B12" s="37"/>
      <c r="C12">
        <v>3</v>
      </c>
      <c r="D12" s="147" t="s">
        <v>676</v>
      </c>
    </row>
    <row r="13" spans="1:4">
      <c r="B13" s="37"/>
      <c r="C13">
        <v>4</v>
      </c>
      <c r="D13" s="148" t="s">
        <v>677</v>
      </c>
    </row>
    <row r="14" spans="1:4">
      <c r="B14" s="37"/>
      <c r="C14">
        <v>5</v>
      </c>
      <c r="D14" s="147" t="s">
        <v>678</v>
      </c>
    </row>
    <row r="15" spans="1:4">
      <c r="B15" s="37"/>
      <c r="C15">
        <v>6</v>
      </c>
      <c r="D15" s="148" t="s">
        <v>679</v>
      </c>
    </row>
    <row r="16" spans="1:4">
      <c r="B16" s="37"/>
      <c r="C16">
        <v>7</v>
      </c>
      <c r="D16" s="147" t="s">
        <v>680</v>
      </c>
    </row>
    <row r="17" spans="1:5">
      <c r="B17" s="37"/>
      <c r="C17">
        <v>8</v>
      </c>
      <c r="D17" s="148" t="s">
        <v>681</v>
      </c>
    </row>
    <row r="18" spans="1:5">
      <c r="C18">
        <v>9</v>
      </c>
      <c r="D18" s="147" t="s">
        <v>682</v>
      </c>
    </row>
    <row r="19" spans="1:5" ht="17" customHeight="1">
      <c r="A19" s="48" t="s">
        <v>861</v>
      </c>
    </row>
    <row r="20" spans="1:5">
      <c r="B20" t="s">
        <v>551</v>
      </c>
    </row>
    <row r="21" spans="1:5">
      <c r="A21" t="s">
        <v>556</v>
      </c>
      <c r="B21" s="761" t="s">
        <v>530</v>
      </c>
      <c r="C21" s="761"/>
      <c r="D21" t="s">
        <v>548</v>
      </c>
      <c r="E21" t="s">
        <v>552</v>
      </c>
    </row>
    <row r="23" spans="1:5">
      <c r="A23">
        <v>1</v>
      </c>
      <c r="B23" s="73" t="s">
        <v>549</v>
      </c>
      <c r="C23" s="73"/>
      <c r="D23" s="762" t="s">
        <v>515</v>
      </c>
      <c r="E23" s="73" t="s">
        <v>553</v>
      </c>
    </row>
    <row r="24" spans="1:5">
      <c r="A24">
        <v>2</v>
      </c>
      <c r="B24" s="73"/>
      <c r="C24" s="73" t="s">
        <v>550</v>
      </c>
      <c r="D24" s="763"/>
      <c r="E24" s="73" t="s">
        <v>553</v>
      </c>
    </row>
    <row r="25" spans="1:5">
      <c r="A25">
        <v>3</v>
      </c>
      <c r="B25" s="73" t="s">
        <v>549</v>
      </c>
      <c r="C25" s="73"/>
      <c r="D25" s="763"/>
      <c r="E25" s="73" t="s">
        <v>554</v>
      </c>
    </row>
    <row r="26" spans="1:5">
      <c r="A26">
        <v>4</v>
      </c>
      <c r="B26" s="73"/>
      <c r="C26" s="73" t="s">
        <v>550</v>
      </c>
      <c r="D26" s="763"/>
      <c r="E26" s="73" t="s">
        <v>554</v>
      </c>
    </row>
    <row r="27" spans="1:5">
      <c r="A27">
        <v>5</v>
      </c>
      <c r="D27" s="87"/>
    </row>
    <row r="28" spans="1:5">
      <c r="A28">
        <v>6</v>
      </c>
      <c r="B28" s="73" t="s">
        <v>549</v>
      </c>
      <c r="C28" s="73"/>
      <c r="D28" s="762" t="s">
        <v>516</v>
      </c>
      <c r="E28" s="73" t="s">
        <v>553</v>
      </c>
    </row>
    <row r="29" spans="1:5">
      <c r="A29">
        <v>7</v>
      </c>
      <c r="B29" s="73"/>
      <c r="C29" s="73" t="s">
        <v>550</v>
      </c>
      <c r="D29" s="763"/>
      <c r="E29" s="73" t="s">
        <v>553</v>
      </c>
    </row>
    <row r="30" spans="1:5">
      <c r="A30">
        <v>8</v>
      </c>
      <c r="B30" s="73" t="s">
        <v>549</v>
      </c>
      <c r="C30" s="73"/>
      <c r="D30" s="763"/>
      <c r="E30" s="73" t="s">
        <v>554</v>
      </c>
    </row>
    <row r="31" spans="1:5">
      <c r="A31">
        <v>9</v>
      </c>
      <c r="B31" s="73"/>
      <c r="C31" s="73" t="s">
        <v>550</v>
      </c>
      <c r="D31" s="763"/>
      <c r="E31" s="73" t="s">
        <v>554</v>
      </c>
    </row>
    <row r="32" spans="1:5">
      <c r="A32">
        <v>10</v>
      </c>
      <c r="D32" s="87"/>
    </row>
    <row r="33" spans="1:5">
      <c r="A33">
        <v>11</v>
      </c>
      <c r="B33" s="73" t="s">
        <v>549</v>
      </c>
      <c r="C33" s="73"/>
      <c r="D33" s="762" t="s">
        <v>516</v>
      </c>
      <c r="E33" s="73" t="s">
        <v>553</v>
      </c>
    </row>
    <row r="34" spans="1:5">
      <c r="A34">
        <v>12</v>
      </c>
      <c r="B34" s="73"/>
      <c r="C34" s="73" t="s">
        <v>550</v>
      </c>
      <c r="D34" s="763"/>
      <c r="E34" s="73" t="s">
        <v>553</v>
      </c>
    </row>
    <row r="35" spans="1:5">
      <c r="A35">
        <v>13</v>
      </c>
      <c r="B35" s="73" t="s">
        <v>549</v>
      </c>
      <c r="C35" s="73"/>
      <c r="D35" s="763"/>
      <c r="E35" s="73" t="s">
        <v>554</v>
      </c>
    </row>
    <row r="36" spans="1:5">
      <c r="A36">
        <v>14</v>
      </c>
      <c r="B36" s="73"/>
      <c r="C36" s="73" t="s">
        <v>550</v>
      </c>
      <c r="D36" s="763"/>
      <c r="E36" s="73" t="s">
        <v>554</v>
      </c>
    </row>
    <row r="37" spans="1:5">
      <c r="A37">
        <v>15</v>
      </c>
      <c r="D37" s="87"/>
    </row>
    <row r="38" spans="1:5">
      <c r="A38">
        <v>16</v>
      </c>
      <c r="B38" s="80" t="s">
        <v>549</v>
      </c>
      <c r="C38" s="84"/>
      <c r="D38" s="762" t="s">
        <v>555</v>
      </c>
      <c r="E38" s="73" t="s">
        <v>554</v>
      </c>
    </row>
    <row r="39" spans="1:5">
      <c r="A39">
        <v>17</v>
      </c>
      <c r="B39" s="82"/>
      <c r="C39" s="85" t="s">
        <v>550</v>
      </c>
      <c r="D39" s="763"/>
      <c r="E39" s="73" t="s">
        <v>554</v>
      </c>
    </row>
    <row r="40" spans="1:5" ht="17" customHeight="1">
      <c r="A40">
        <v>18</v>
      </c>
      <c r="D40" s="86"/>
    </row>
    <row r="41" spans="1:5">
      <c r="A41">
        <v>19</v>
      </c>
      <c r="B41" s="88" t="s">
        <v>549</v>
      </c>
      <c r="C41" s="89"/>
      <c r="D41" s="764" t="s">
        <v>517</v>
      </c>
      <c r="E41" s="73" t="s">
        <v>553</v>
      </c>
    </row>
    <row r="42" spans="1:5">
      <c r="A42">
        <v>20</v>
      </c>
      <c r="B42" s="88" t="s">
        <v>549</v>
      </c>
      <c r="C42" s="89"/>
      <c r="D42" s="765"/>
      <c r="E42" s="73" t="s">
        <v>554</v>
      </c>
    </row>
    <row r="43" spans="1:5">
      <c r="A43">
        <v>21</v>
      </c>
      <c r="D43" s="87"/>
    </row>
    <row r="44" spans="1:5">
      <c r="A44">
        <v>22</v>
      </c>
      <c r="B44" s="88" t="s">
        <v>549</v>
      </c>
      <c r="C44" s="89"/>
      <c r="D44" s="90" t="s">
        <v>518</v>
      </c>
      <c r="E44" s="73" t="s">
        <v>554</v>
      </c>
    </row>
    <row r="45" spans="1:5">
      <c r="A45">
        <v>23</v>
      </c>
      <c r="D45" s="86"/>
    </row>
    <row r="46" spans="1:5">
      <c r="A46">
        <v>24</v>
      </c>
      <c r="B46" s="80" t="s">
        <v>549</v>
      </c>
      <c r="C46" s="81"/>
      <c r="D46" s="764" t="s">
        <v>519</v>
      </c>
      <c r="E46" s="73" t="s">
        <v>553</v>
      </c>
    </row>
    <row r="47" spans="1:5">
      <c r="A47">
        <v>25</v>
      </c>
      <c r="B47" s="82"/>
      <c r="C47" s="83" t="s">
        <v>550</v>
      </c>
      <c r="D47" s="765"/>
      <c r="E47" s="73" t="s">
        <v>553</v>
      </c>
    </row>
    <row r="48" spans="1:5">
      <c r="A48">
        <v>26</v>
      </c>
      <c r="B48" s="88" t="s">
        <v>549</v>
      </c>
      <c r="C48" s="89"/>
      <c r="D48" s="766"/>
      <c r="E48" s="73" t="s">
        <v>554</v>
      </c>
    </row>
    <row r="49" spans="1:8">
      <c r="A49">
        <v>27</v>
      </c>
      <c r="B49" t="s">
        <v>684</v>
      </c>
      <c r="D49" s="74"/>
    </row>
    <row r="50" spans="1:8">
      <c r="A50">
        <v>28</v>
      </c>
      <c r="B50" t="s">
        <v>549</v>
      </c>
      <c r="D50" s="87" t="s">
        <v>493</v>
      </c>
    </row>
    <row r="51" spans="1:8">
      <c r="A51">
        <v>29</v>
      </c>
      <c r="B51" t="s">
        <v>549</v>
      </c>
      <c r="D51" s="87" t="s">
        <v>494</v>
      </c>
    </row>
    <row r="53" spans="1:8" s="149" customFormat="1" ht="26">
      <c r="D53" s="149" t="s">
        <v>903</v>
      </c>
      <c r="E53" s="149">
        <f>A51*7</f>
        <v>203</v>
      </c>
    </row>
    <row r="54" spans="1:8">
      <c r="E54" t="s">
        <v>904</v>
      </c>
      <c r="F54" t="s">
        <v>905</v>
      </c>
      <c r="G54" t="s">
        <v>906</v>
      </c>
      <c r="H54" t="s">
        <v>907</v>
      </c>
    </row>
    <row r="55" spans="1:8" ht="24">
      <c r="D55" s="375" t="s">
        <v>908</v>
      </c>
      <c r="E55">
        <f>ROWS(D56:D173)</f>
        <v>118</v>
      </c>
      <c r="F55">
        <v>2</v>
      </c>
      <c r="G55">
        <v>7</v>
      </c>
      <c r="H55" s="375">
        <f>E55*F55*G55</f>
        <v>1652</v>
      </c>
    </row>
    <row r="56" spans="1:8">
      <c r="B56" s="37"/>
      <c r="C56">
        <v>1</v>
      </c>
      <c r="D56" s="373" t="s">
        <v>534</v>
      </c>
    </row>
    <row r="57" spans="1:8" ht="26" thickBot="1">
      <c r="B57" s="78"/>
      <c r="C57">
        <v>2</v>
      </c>
      <c r="D57" s="373" t="s">
        <v>558</v>
      </c>
    </row>
    <row r="58" spans="1:8" ht="20">
      <c r="B58" s="77"/>
      <c r="C58">
        <v>3</v>
      </c>
      <c r="D58" s="163" t="s">
        <v>502</v>
      </c>
    </row>
    <row r="59" spans="1:8" ht="20">
      <c r="B59" s="77"/>
      <c r="C59">
        <v>4</v>
      </c>
      <c r="D59" s="164" t="s">
        <v>503</v>
      </c>
    </row>
    <row r="60" spans="1:8" ht="20">
      <c r="B60" s="79"/>
      <c r="C60">
        <v>5</v>
      </c>
      <c r="D60" s="164" t="s">
        <v>504</v>
      </c>
    </row>
    <row r="61" spans="1:8" ht="20">
      <c r="B61" s="79"/>
      <c r="C61">
        <v>6</v>
      </c>
      <c r="D61" s="164" t="s">
        <v>505</v>
      </c>
    </row>
    <row r="62" spans="1:8" ht="20">
      <c r="B62" s="79"/>
      <c r="C62">
        <v>7</v>
      </c>
      <c r="D62" s="164" t="s">
        <v>506</v>
      </c>
    </row>
    <row r="63" spans="1:8" ht="20">
      <c r="B63" s="79"/>
      <c r="C63">
        <v>8</v>
      </c>
      <c r="D63" s="164" t="s">
        <v>884</v>
      </c>
    </row>
    <row r="64" spans="1:8" ht="21" thickBot="1">
      <c r="B64" s="79"/>
      <c r="C64">
        <v>9</v>
      </c>
      <c r="D64" s="164" t="s">
        <v>507</v>
      </c>
    </row>
    <row r="65" spans="2:4" ht="20">
      <c r="B65" s="79"/>
      <c r="C65">
        <v>10</v>
      </c>
      <c r="D65" s="163" t="s">
        <v>508</v>
      </c>
    </row>
    <row r="66" spans="2:4" ht="20">
      <c r="B66" s="79"/>
      <c r="C66">
        <v>11</v>
      </c>
      <c r="D66" s="164" t="s">
        <v>509</v>
      </c>
    </row>
    <row r="67" spans="2:4" ht="20">
      <c r="B67" s="79"/>
      <c r="C67">
        <v>12</v>
      </c>
      <c r="D67" s="165" t="s">
        <v>510</v>
      </c>
    </row>
    <row r="68" spans="2:4" ht="17" thickBot="1">
      <c r="B68" s="37"/>
      <c r="C68">
        <v>13</v>
      </c>
      <c r="D68" s="166" t="s">
        <v>511</v>
      </c>
    </row>
    <row r="69" spans="2:4" ht="25">
      <c r="B69" s="78"/>
      <c r="C69">
        <v>14</v>
      </c>
      <c r="D69" s="167" t="s">
        <v>513</v>
      </c>
    </row>
    <row r="70" spans="2:4" ht="21" thickBot="1">
      <c r="B70" s="77"/>
      <c r="C70">
        <v>15</v>
      </c>
      <c r="D70" s="282" t="s">
        <v>150</v>
      </c>
    </row>
    <row r="71" spans="2:4" ht="21" thickBot="1">
      <c r="B71" s="77"/>
      <c r="C71">
        <v>16</v>
      </c>
      <c r="D71" s="292" t="s">
        <v>654</v>
      </c>
    </row>
    <row r="72" spans="2:4" ht="20">
      <c r="B72" s="77"/>
      <c r="C72">
        <v>17</v>
      </c>
      <c r="D72" s="129" t="s">
        <v>655</v>
      </c>
    </row>
    <row r="73" spans="2:4" ht="20">
      <c r="B73" s="79"/>
      <c r="C73">
        <v>18</v>
      </c>
      <c r="D73" s="131" t="s">
        <v>656</v>
      </c>
    </row>
    <row r="74" spans="2:4" ht="20">
      <c r="B74" s="79"/>
      <c r="C74">
        <v>19</v>
      </c>
      <c r="D74" s="125" t="s">
        <v>144</v>
      </c>
    </row>
    <row r="75" spans="2:4" ht="20">
      <c r="B75" s="79"/>
      <c r="C75">
        <v>20</v>
      </c>
      <c r="D75" s="125" t="s">
        <v>657</v>
      </c>
    </row>
    <row r="76" spans="2:4" ht="20">
      <c r="B76" s="79"/>
      <c r="C76">
        <v>21</v>
      </c>
      <c r="D76" s="125" t="s">
        <v>575</v>
      </c>
    </row>
    <row r="77" spans="2:4">
      <c r="C77">
        <v>22</v>
      </c>
      <c r="D77" s="125" t="s">
        <v>512</v>
      </c>
    </row>
    <row r="78" spans="2:4">
      <c r="C78">
        <v>23</v>
      </c>
      <c r="D78" s="125" t="s">
        <v>145</v>
      </c>
    </row>
    <row r="79" spans="2:4">
      <c r="C79">
        <v>24</v>
      </c>
      <c r="D79" s="125" t="s">
        <v>146</v>
      </c>
    </row>
    <row r="80" spans="2:4">
      <c r="C80">
        <v>25</v>
      </c>
      <c r="D80" s="132" t="s">
        <v>149</v>
      </c>
    </row>
    <row r="81" spans="3:4">
      <c r="C81">
        <v>26</v>
      </c>
      <c r="D81" s="125" t="s">
        <v>147</v>
      </c>
    </row>
    <row r="82" spans="3:4">
      <c r="C82">
        <v>27</v>
      </c>
      <c r="D82" s="125" t="s">
        <v>148</v>
      </c>
    </row>
    <row r="83" spans="3:4" ht="17" thickBot="1">
      <c r="C83">
        <v>28</v>
      </c>
      <c r="D83" s="133" t="s">
        <v>562</v>
      </c>
    </row>
    <row r="84" spans="3:4">
      <c r="C84">
        <v>29</v>
      </c>
      <c r="D84" s="284" t="s">
        <v>669</v>
      </c>
    </row>
    <row r="85" spans="3:4">
      <c r="C85">
        <v>30</v>
      </c>
      <c r="D85" s="145" t="s">
        <v>650</v>
      </c>
    </row>
    <row r="86" spans="3:4">
      <c r="C86">
        <v>31</v>
      </c>
      <c r="D86" s="146"/>
    </row>
    <row r="87" spans="3:4">
      <c r="C87">
        <v>32</v>
      </c>
      <c r="D87" s="135" t="s">
        <v>527</v>
      </c>
    </row>
    <row r="88" spans="3:4">
      <c r="C88">
        <v>33</v>
      </c>
      <c r="D88" s="135" t="s">
        <v>528</v>
      </c>
    </row>
    <row r="89" spans="3:4" ht="17" thickBot="1">
      <c r="C89">
        <v>34</v>
      </c>
      <c r="D89" s="136" t="s">
        <v>529</v>
      </c>
    </row>
    <row r="90" spans="3:4">
      <c r="C90">
        <v>35</v>
      </c>
      <c r="D90" s="285" t="s">
        <v>580</v>
      </c>
    </row>
    <row r="91" spans="3:4">
      <c r="C91">
        <v>36</v>
      </c>
      <c r="D91" s="286" t="s">
        <v>607</v>
      </c>
    </row>
    <row r="92" spans="3:4" ht="17" thickBot="1">
      <c r="C92">
        <v>37</v>
      </c>
      <c r="D92" s="287" t="s">
        <v>619</v>
      </c>
    </row>
    <row r="93" spans="3:4">
      <c r="C93">
        <v>38</v>
      </c>
      <c r="D93" s="368" t="s">
        <v>658</v>
      </c>
    </row>
    <row r="94" spans="3:4">
      <c r="C94">
        <v>39</v>
      </c>
      <c r="D94" s="367" t="s">
        <v>579</v>
      </c>
    </row>
    <row r="95" spans="3:4" ht="18" thickBot="1">
      <c r="C95">
        <v>40</v>
      </c>
      <c r="D95" s="360" t="s">
        <v>651</v>
      </c>
    </row>
    <row r="96" spans="3:4">
      <c r="C96">
        <v>41</v>
      </c>
      <c r="D96" s="137" t="s">
        <v>604</v>
      </c>
    </row>
    <row r="97" spans="3:4">
      <c r="C97">
        <v>42</v>
      </c>
      <c r="D97" s="138" t="s">
        <v>608</v>
      </c>
    </row>
    <row r="98" spans="3:4" ht="17">
      <c r="C98">
        <v>43</v>
      </c>
      <c r="D98" s="293" t="s">
        <v>546</v>
      </c>
    </row>
    <row r="99" spans="3:4" ht="17">
      <c r="C99">
        <v>44</v>
      </c>
      <c r="D99" s="293" t="s">
        <v>532</v>
      </c>
    </row>
    <row r="100" spans="3:4" ht="17">
      <c r="C100">
        <v>45</v>
      </c>
      <c r="D100" s="293" t="s">
        <v>545</v>
      </c>
    </row>
    <row r="101" spans="3:4" ht="17">
      <c r="C101">
        <v>46</v>
      </c>
      <c r="D101" s="293" t="s">
        <v>547</v>
      </c>
    </row>
    <row r="102" spans="3:4">
      <c r="C102">
        <v>47</v>
      </c>
      <c r="D102" s="294" t="s">
        <v>531</v>
      </c>
    </row>
    <row r="103" spans="3:4">
      <c r="C103">
        <v>48</v>
      </c>
      <c r="D103" s="295" t="s">
        <v>533</v>
      </c>
    </row>
    <row r="104" spans="3:4">
      <c r="C104">
        <v>49</v>
      </c>
      <c r="D104" s="294" t="s">
        <v>592</v>
      </c>
    </row>
    <row r="105" spans="3:4" ht="17">
      <c r="C105">
        <v>50</v>
      </c>
      <c r="D105" s="296" t="s">
        <v>565</v>
      </c>
    </row>
    <row r="106" spans="3:4" ht="17">
      <c r="C106">
        <v>51</v>
      </c>
      <c r="D106" s="293" t="s">
        <v>544</v>
      </c>
    </row>
    <row r="107" spans="3:4">
      <c r="C107">
        <v>52</v>
      </c>
      <c r="D107" s="139" t="s">
        <v>568</v>
      </c>
    </row>
    <row r="108" spans="3:4" ht="34">
      <c r="C108">
        <v>53</v>
      </c>
      <c r="D108" s="297" t="s">
        <v>569</v>
      </c>
    </row>
    <row r="109" spans="3:4" ht="17">
      <c r="C109">
        <v>54</v>
      </c>
      <c r="D109" s="298" t="s">
        <v>566</v>
      </c>
    </row>
    <row r="110" spans="3:4">
      <c r="C110">
        <v>55</v>
      </c>
      <c r="D110" s="140" t="s">
        <v>611</v>
      </c>
    </row>
    <row r="111" spans="3:4" ht="17" thickBot="1">
      <c r="C111">
        <v>56</v>
      </c>
      <c r="D111" s="141" t="s">
        <v>668</v>
      </c>
    </row>
    <row r="112" spans="3:4" ht="18" thickBot="1">
      <c r="C112">
        <v>57</v>
      </c>
      <c r="D112" s="288" t="s">
        <v>881</v>
      </c>
    </row>
    <row r="113" spans="3:4" ht="17" thickBot="1">
      <c r="C113">
        <v>58</v>
      </c>
      <c r="D113" s="283" t="s">
        <v>864</v>
      </c>
    </row>
    <row r="114" spans="3:4">
      <c r="C114">
        <v>59</v>
      </c>
      <c r="D114" s="143" t="s">
        <v>514</v>
      </c>
    </row>
    <row r="115" spans="3:4">
      <c r="C115">
        <v>60</v>
      </c>
      <c r="D115" s="279" t="s">
        <v>564</v>
      </c>
    </row>
    <row r="116" spans="3:4" ht="30">
      <c r="C116">
        <v>61</v>
      </c>
      <c r="D116" s="369" t="s">
        <v>762</v>
      </c>
    </row>
    <row r="117" spans="3:4" ht="30">
      <c r="C117">
        <v>62</v>
      </c>
      <c r="D117" s="270" t="s">
        <v>769</v>
      </c>
    </row>
    <row r="118" spans="3:4">
      <c r="C118">
        <v>63</v>
      </c>
      <c r="D118" s="257"/>
    </row>
    <row r="119" spans="3:4" ht="30">
      <c r="C119">
        <v>64</v>
      </c>
      <c r="D119" s="257" t="s">
        <v>773</v>
      </c>
    </row>
    <row r="120" spans="3:4" ht="30">
      <c r="C120">
        <v>65</v>
      </c>
      <c r="D120" s="263" t="s">
        <v>778</v>
      </c>
    </row>
    <row r="121" spans="3:4" ht="30">
      <c r="C121">
        <v>66</v>
      </c>
      <c r="D121" s="260" t="s">
        <v>800</v>
      </c>
    </row>
    <row r="122" spans="3:4" ht="30">
      <c r="C122">
        <v>67</v>
      </c>
      <c r="D122" s="274" t="s">
        <v>783</v>
      </c>
    </row>
    <row r="123" spans="3:4" ht="30">
      <c r="C123">
        <v>68</v>
      </c>
      <c r="D123" s="277" t="s">
        <v>788</v>
      </c>
    </row>
    <row r="124" spans="3:4" ht="30">
      <c r="C124">
        <v>69</v>
      </c>
      <c r="D124" s="280" t="s">
        <v>793</v>
      </c>
    </row>
    <row r="125" spans="3:4">
      <c r="C125">
        <v>70</v>
      </c>
      <c r="D125" s="257"/>
    </row>
    <row r="126" spans="3:4" ht="34">
      <c r="C126">
        <v>71</v>
      </c>
      <c r="D126" s="300" t="s">
        <v>761</v>
      </c>
    </row>
    <row r="127" spans="3:4" ht="34">
      <c r="C127">
        <v>72</v>
      </c>
      <c r="D127" s="301" t="s">
        <v>765</v>
      </c>
    </row>
    <row r="128" spans="3:4" ht="34">
      <c r="C128">
        <v>73</v>
      </c>
      <c r="D128" s="302" t="s">
        <v>770</v>
      </c>
    </row>
    <row r="129" spans="3:4" ht="34">
      <c r="C129">
        <v>74</v>
      </c>
      <c r="D129" s="299" t="s">
        <v>774</v>
      </c>
    </row>
    <row r="130" spans="3:4" ht="34">
      <c r="C130">
        <v>75</v>
      </c>
      <c r="D130" s="303" t="s">
        <v>779</v>
      </c>
    </row>
    <row r="131" spans="3:4" ht="34">
      <c r="C131">
        <v>76</v>
      </c>
      <c r="D131" s="304" t="s">
        <v>798</v>
      </c>
    </row>
    <row r="132" spans="3:4" ht="34">
      <c r="C132">
        <v>77</v>
      </c>
      <c r="D132" s="305" t="s">
        <v>784</v>
      </c>
    </row>
    <row r="133" spans="3:4" ht="34">
      <c r="C133">
        <v>78</v>
      </c>
      <c r="D133" s="306" t="s">
        <v>789</v>
      </c>
    </row>
    <row r="134" spans="3:4" ht="34">
      <c r="C134">
        <v>79</v>
      </c>
      <c r="D134" s="307" t="s">
        <v>794</v>
      </c>
    </row>
    <row r="135" spans="3:4">
      <c r="C135">
        <v>80</v>
      </c>
      <c r="D135" s="258"/>
    </row>
    <row r="136" spans="3:4" ht="30">
      <c r="C136">
        <v>81</v>
      </c>
      <c r="D136" s="266" t="s">
        <v>805</v>
      </c>
    </row>
    <row r="137" spans="3:4" ht="30">
      <c r="C137">
        <v>82</v>
      </c>
      <c r="D137" s="268" t="s">
        <v>806</v>
      </c>
    </row>
    <row r="138" spans="3:4" ht="30">
      <c r="C138">
        <v>83</v>
      </c>
      <c r="D138" s="271" t="s">
        <v>807</v>
      </c>
    </row>
    <row r="139" spans="3:4" ht="30">
      <c r="C139">
        <v>84</v>
      </c>
      <c r="D139" s="258" t="s">
        <v>808</v>
      </c>
    </row>
    <row r="140" spans="3:4" ht="30">
      <c r="C140">
        <v>85</v>
      </c>
      <c r="D140" s="264" t="s">
        <v>809</v>
      </c>
    </row>
    <row r="141" spans="3:4" ht="30">
      <c r="C141">
        <v>86</v>
      </c>
      <c r="D141" s="261" t="s">
        <v>810</v>
      </c>
    </row>
    <row r="142" spans="3:4" ht="30">
      <c r="C142">
        <v>87</v>
      </c>
      <c r="D142" s="273" t="s">
        <v>811</v>
      </c>
    </row>
    <row r="143" spans="3:4" ht="30">
      <c r="C143">
        <v>88</v>
      </c>
      <c r="D143" s="276" t="s">
        <v>804</v>
      </c>
    </row>
    <row r="144" spans="3:4" ht="30">
      <c r="C144">
        <v>89</v>
      </c>
      <c r="D144" s="279" t="s">
        <v>812</v>
      </c>
    </row>
    <row r="145" spans="3:4">
      <c r="C145">
        <v>90</v>
      </c>
      <c r="D145" s="256"/>
    </row>
    <row r="146" spans="3:4" ht="29">
      <c r="C146">
        <v>91</v>
      </c>
      <c r="D146" s="267" t="s">
        <v>813</v>
      </c>
    </row>
    <row r="147" spans="3:4" ht="29">
      <c r="C147">
        <v>92</v>
      </c>
      <c r="D147" s="269" t="s">
        <v>766</v>
      </c>
    </row>
    <row r="148" spans="3:4" ht="29">
      <c r="C148">
        <v>93</v>
      </c>
      <c r="D148" s="272" t="s">
        <v>814</v>
      </c>
    </row>
    <row r="149" spans="3:4" ht="29">
      <c r="C149">
        <v>94</v>
      </c>
      <c r="D149" s="259" t="s">
        <v>775</v>
      </c>
    </row>
    <row r="150" spans="3:4" ht="29">
      <c r="C150">
        <v>95</v>
      </c>
      <c r="D150" s="265" t="s">
        <v>780</v>
      </c>
    </row>
    <row r="151" spans="3:4" ht="29">
      <c r="C151">
        <v>96</v>
      </c>
      <c r="D151" s="262" t="s">
        <v>801</v>
      </c>
    </row>
    <row r="152" spans="3:4" ht="29">
      <c r="C152">
        <v>97</v>
      </c>
      <c r="D152" s="275" t="s">
        <v>785</v>
      </c>
    </row>
    <row r="153" spans="3:4" ht="29">
      <c r="C153">
        <v>98</v>
      </c>
      <c r="D153" s="278" t="s">
        <v>790</v>
      </c>
    </row>
    <row r="154" spans="3:4" ht="29">
      <c r="C154">
        <v>99</v>
      </c>
      <c r="D154" s="281" t="s">
        <v>795</v>
      </c>
    </row>
    <row r="155" spans="3:4">
      <c r="C155">
        <v>100</v>
      </c>
      <c r="D155" s="259"/>
    </row>
    <row r="156" spans="3:4" ht="29">
      <c r="C156">
        <v>101</v>
      </c>
      <c r="D156" s="267" t="s">
        <v>763</v>
      </c>
    </row>
    <row r="157" spans="3:4" ht="29">
      <c r="C157">
        <v>102</v>
      </c>
      <c r="D157" s="269" t="s">
        <v>767</v>
      </c>
    </row>
    <row r="158" spans="3:4" ht="29">
      <c r="C158">
        <v>103</v>
      </c>
      <c r="D158" s="272" t="s">
        <v>771</v>
      </c>
    </row>
    <row r="159" spans="3:4" ht="29">
      <c r="C159">
        <v>104</v>
      </c>
      <c r="D159" s="259" t="s">
        <v>776</v>
      </c>
    </row>
    <row r="160" spans="3:4" ht="29">
      <c r="C160">
        <v>105</v>
      </c>
      <c r="D160" s="265" t="s">
        <v>781</v>
      </c>
    </row>
    <row r="161" spans="3:4" ht="29">
      <c r="C161">
        <v>106</v>
      </c>
      <c r="D161" s="262" t="s">
        <v>802</v>
      </c>
    </row>
    <row r="162" spans="3:4" ht="29">
      <c r="C162">
        <v>107</v>
      </c>
      <c r="D162" s="275" t="s">
        <v>786</v>
      </c>
    </row>
    <row r="163" spans="3:4" ht="29">
      <c r="C163">
        <v>108</v>
      </c>
      <c r="D163" s="278" t="s">
        <v>791</v>
      </c>
    </row>
    <row r="164" spans="3:4" ht="34">
      <c r="C164">
        <v>109</v>
      </c>
      <c r="D164" s="317" t="s">
        <v>796</v>
      </c>
    </row>
    <row r="165" spans="3:4">
      <c r="C165">
        <v>110</v>
      </c>
      <c r="D165" s="308"/>
    </row>
    <row r="166" spans="3:4" ht="34">
      <c r="C166">
        <v>111</v>
      </c>
      <c r="D166" s="310" t="s">
        <v>764</v>
      </c>
    </row>
    <row r="167" spans="3:4" ht="34">
      <c r="C167">
        <v>112</v>
      </c>
      <c r="D167" s="311" t="s">
        <v>768</v>
      </c>
    </row>
    <row r="168" spans="3:4" ht="34">
      <c r="C168">
        <v>113</v>
      </c>
      <c r="D168" s="312" t="s">
        <v>772</v>
      </c>
    </row>
    <row r="169" spans="3:4" ht="34">
      <c r="C169">
        <v>114</v>
      </c>
      <c r="D169" s="309" t="s">
        <v>777</v>
      </c>
    </row>
    <row r="170" spans="3:4" ht="34">
      <c r="C170">
        <v>115</v>
      </c>
      <c r="D170" s="313" t="s">
        <v>782</v>
      </c>
    </row>
    <row r="171" spans="3:4" ht="34">
      <c r="C171">
        <v>116</v>
      </c>
      <c r="D171" s="314" t="s">
        <v>803</v>
      </c>
    </row>
    <row r="172" spans="3:4" ht="34">
      <c r="C172">
        <v>117</v>
      </c>
      <c r="D172" s="315" t="s">
        <v>787</v>
      </c>
    </row>
    <row r="173" spans="3:4" ht="34">
      <c r="C173">
        <v>118</v>
      </c>
      <c r="D173" s="316" t="s">
        <v>792</v>
      </c>
    </row>
    <row r="174" spans="3:4" ht="34">
      <c r="C174">
        <v>118</v>
      </c>
      <c r="D174" s="318" t="s">
        <v>797</v>
      </c>
    </row>
  </sheetData>
  <sheetProtection formatCells="0" formatColumns="0" formatRows="0" autoFilter="0" pivotTables="0"/>
  <mergeCells count="7">
    <mergeCell ref="B21:C21"/>
    <mergeCell ref="D38:D39"/>
    <mergeCell ref="D46:D48"/>
    <mergeCell ref="D23:D26"/>
    <mergeCell ref="D28:D31"/>
    <mergeCell ref="D41:D42"/>
    <mergeCell ref="D33:D36"/>
  </mergeCells>
  <conditionalFormatting sqref="D56:D70">
    <cfRule type="duplicateValues" dxfId="284" priority="31"/>
  </conditionalFormatting>
  <conditionalFormatting sqref="D56:D68">
    <cfRule type="duplicateValues" dxfId="283" priority="32"/>
  </conditionalFormatting>
  <conditionalFormatting sqref="D59:D68 D56:D57">
    <cfRule type="duplicateValues" dxfId="282" priority="33"/>
  </conditionalFormatting>
  <conditionalFormatting sqref="D69:D70">
    <cfRule type="duplicateValues" dxfId="281" priority="30"/>
  </conditionalFormatting>
  <conditionalFormatting sqref="D71">
    <cfRule type="duplicateValues" dxfId="280" priority="29"/>
  </conditionalFormatting>
  <conditionalFormatting sqref="D72:D83">
    <cfRule type="duplicateValues" dxfId="279" priority="28"/>
  </conditionalFormatting>
  <conditionalFormatting sqref="D86:D89 D84">
    <cfRule type="duplicateValues" dxfId="278" priority="27"/>
  </conditionalFormatting>
  <conditionalFormatting sqref="D105">
    <cfRule type="duplicateValues" dxfId="277" priority="21"/>
  </conditionalFormatting>
  <conditionalFormatting sqref="D106">
    <cfRule type="duplicateValues" dxfId="276" priority="19"/>
  </conditionalFormatting>
  <conditionalFormatting sqref="D107 D109:D113 D95:D104">
    <cfRule type="duplicateValues" dxfId="275" priority="25"/>
  </conditionalFormatting>
  <conditionalFormatting sqref="D152 D155">
    <cfRule type="duplicateValues" dxfId="274" priority="8"/>
  </conditionalFormatting>
  <conditionalFormatting sqref="D115">
    <cfRule type="duplicateValues" dxfId="273" priority="7"/>
  </conditionalFormatting>
  <conditionalFormatting sqref="D123:D124">
    <cfRule type="duplicateValues" dxfId="272" priority="6"/>
  </conditionalFormatting>
  <conditionalFormatting sqref="D133:D134">
    <cfRule type="duplicateValues" dxfId="271" priority="5"/>
  </conditionalFormatting>
  <conditionalFormatting sqref="D132 D135">
    <cfRule type="duplicateValues" dxfId="270" priority="9"/>
  </conditionalFormatting>
  <conditionalFormatting sqref="D143:D144">
    <cfRule type="duplicateValues" dxfId="269" priority="4"/>
  </conditionalFormatting>
  <conditionalFormatting sqref="D142 D145">
    <cfRule type="duplicateValues" dxfId="268" priority="10"/>
  </conditionalFormatting>
  <conditionalFormatting sqref="D153:D154">
    <cfRule type="duplicateValues" dxfId="267" priority="3"/>
  </conditionalFormatting>
  <conditionalFormatting sqref="D163:D164">
    <cfRule type="duplicateValues" dxfId="266" priority="2"/>
  </conditionalFormatting>
  <conditionalFormatting sqref="D173:D174">
    <cfRule type="duplicateValues" dxfId="265" priority="1"/>
  </conditionalFormatting>
  <conditionalFormatting sqref="D146:D151 D136:D141 D126:D131 D116:D117 D119:D121 D114 D156:D162 D165:D172">
    <cfRule type="duplicateValues" dxfId="264" priority="11"/>
  </conditionalFormatting>
  <conditionalFormatting sqref="D125 D122 D118">
    <cfRule type="duplicateValues" dxfId="263" priority="12"/>
  </conditionalFormatting>
  <hyperlinks>
    <hyperlink ref="B4" r:id="rId1" xr:uid="{75A3076B-B821-DF46-A9A4-CDAF553A97F7}"/>
    <hyperlink ref="B6" r:id="rId2" location="i3066764" xr:uid="{3DBEAB63-0E68-6D45-9A2F-59A57403FB59}"/>
    <hyperlink ref="B3" r:id="rId3" xr:uid="{20918789-FBB2-9844-A217-EDBC366DB7B2}"/>
    <hyperlink ref="B2" r:id="rId4" xr:uid="{73BDF26A-903E-FA4A-95D9-7DDDE2FDB482}"/>
    <hyperlink ref="B5" r:id="rId5" xr:uid="{95E8789D-D0D0-BD46-BBD6-EA5F111C1645}"/>
    <hyperlink ref="B7" r:id="rId6" xr:uid="{F4C28571-E657-2F4B-BCEA-BC1BFB8F227D}"/>
    <hyperlink ref="D70" location="Menu!R6C3" display="Входное сопротивление трубопровода прогноз изменения за срок эксплуатации t" xr:uid="{C16CF75C-553F-FD4B-8067-BFE3634483EB}"/>
    <hyperlink ref="D84" location="Menu!R11C3" display="Выберите установку катодной защиты:" xr:uid="{D5EA47F5-7D63-5448-8930-AD6C90165276}"/>
    <hyperlink ref="D90" location="Menu!R14C3" display="Выберите Материал анода" xr:uid="{57B9A8B4-38E1-6C47-95D3-55BCDF41C728}"/>
    <hyperlink ref="D92" location="Menu!R15C3" display="Выберите Способ монтажа" xr:uid="{A955809C-E78F-8A43-B9C0-6727383EFED1}"/>
    <hyperlink ref="D93" location="Menu!R16C3" display="Выберите Комплектацию" xr:uid="{157121CF-9D17-1D42-ADD1-3844F295091B}"/>
    <hyperlink ref="D94" location="Menu!R17C3" display="Выберите тип анодного заземлителя" xr:uid="{9598C12B-9429-034E-B4A9-2252A63AFE60}"/>
    <hyperlink ref="D113" location="Menu!R25C3" display="Расчет параметров анодных заземлителей" xr:uid="{4209D46A-CC9A-E94D-A179-0AC1DD67844E}"/>
    <hyperlink ref="D98:D106" location="Menu!R20C3" display="Диаметр электрода заземлителя" xr:uid="{4BC92DE2-490A-B24B-84C4-54C4BF3F6B46}"/>
    <hyperlink ref="D108" location="Menu!R21C3" display="Удельное электрическое сопротивление i -того слоя земли, в котором располагается глубинное анодное заземление" xr:uid="{DE4A7292-21BC-5C41-8B73-ACCAB6EC5F50}"/>
    <hyperlink ref="D109" location="Menu!R22C3" display="Коэффициент неоднородности грунта" xr:uid="{C78BB7A2-20E2-EA42-92A4-C98631FABEE4}"/>
    <hyperlink ref="D112" location="Menu!R25C3" display="Нажать кнопку:" xr:uid="{A72E49D6-AA8D-FF40-9177-09542489DF2B}"/>
    <hyperlink ref="D126:D134" location="Menu!R26C3" display="Menu!R26C3" xr:uid="{36DAB2CA-36EF-5044-B6E9-DF315BB9632C}"/>
    <hyperlink ref="D164:D174" location="Menu!R27C3" display="Menu!R27C3" xr:uid="{21C1F7CE-5181-AF4A-A63E-EAF40C4BC70D}"/>
  </hyperlinks>
  <pageMargins left="0.7" right="0.7" top="0.75" bottom="0.75" header="0.3" footer="0.3"/>
  <pageSetup paperSize="9" orientation="portrait" horizontalDpi="0" verticalDpi="0"/>
  <drawing r:id="rId7"/>
  <legacyDrawing r:id="rId8"/>
  <mc:AlternateContent xmlns:mc="http://schemas.openxmlformats.org/markup-compatibility/2006">
    <mc:Choice Requires="x14">
      <controls>
        <mc:AlternateContent xmlns:mc="http://schemas.openxmlformats.org/markup-compatibility/2006">
          <mc:Choice Requires="x14">
            <control shapeId="174085" r:id="rId9" name="Button 5">
              <controlPr defaultSize="0" print="0" autoFill="0" autoPict="0" macro="[0]!button117_click" altText="Вычислить длину трубы по данным изысканий">
                <anchor moveWithCells="1" sizeWithCells="1">
                  <from>
                    <xdr:col>3</xdr:col>
                    <xdr:colOff>2400300</xdr:colOff>
                    <xdr:row>70</xdr:row>
                    <xdr:rowOff>12700</xdr:rowOff>
                  </from>
                  <to>
                    <xdr:col>3</xdr:col>
                    <xdr:colOff>5600700</xdr:colOff>
                    <xdr:row>70</xdr:row>
                    <xdr:rowOff>190500</xdr:rowOff>
                  </to>
                </anchor>
              </controlPr>
            </control>
          </mc:Choice>
        </mc:AlternateContent>
        <mc:AlternateContent xmlns:mc="http://schemas.openxmlformats.org/markup-compatibility/2006">
          <mc:Choice Requires="x14">
            <control shapeId="174086" r:id="rId10" name="Button 6">
              <controlPr defaultSize="0" print="0" autoFill="0" autoPict="0" macro="[0]!button117_click" altText="Вычислить длину трубы по данным изысканий">
                <anchor moveWithCells="1" sizeWithCells="1">
                  <from>
                    <xdr:col>3</xdr:col>
                    <xdr:colOff>2400300</xdr:colOff>
                    <xdr:row>70</xdr:row>
                    <xdr:rowOff>12700</xdr:rowOff>
                  </from>
                  <to>
                    <xdr:col>3</xdr:col>
                    <xdr:colOff>5600700</xdr:colOff>
                    <xdr:row>70</xdr:row>
                    <xdr:rowOff>190500</xdr:rowOff>
                  </to>
                </anchor>
              </controlPr>
            </control>
          </mc:Choice>
        </mc:AlternateContent>
        <mc:AlternateContent xmlns:mc="http://schemas.openxmlformats.org/markup-compatibility/2006">
          <mc:Choice Requires="x14">
            <control shapeId="174091" r:id="rId11" name="Button 11">
              <controlPr defaultSize="0" print="0" autoFill="0" autoPict="0" macro="[0]!button87_click">
                <anchor moveWithCells="1" sizeWithCells="1">
                  <from>
                    <xdr:col>3</xdr:col>
                    <xdr:colOff>3835400</xdr:colOff>
                    <xdr:row>125</xdr:row>
                    <xdr:rowOff>50800</xdr:rowOff>
                  </from>
                  <to>
                    <xdr:col>3</xdr:col>
                    <xdr:colOff>4521200</xdr:colOff>
                    <xdr:row>125</xdr:row>
                    <xdr:rowOff>317500</xdr:rowOff>
                  </to>
                </anchor>
              </controlPr>
            </control>
          </mc:Choice>
        </mc:AlternateContent>
        <mc:AlternateContent xmlns:mc="http://schemas.openxmlformats.org/markup-compatibility/2006">
          <mc:Choice Requires="x14">
            <control shapeId="174092" r:id="rId12" name="Button 12">
              <controlPr defaultSize="0" print="0" autoFill="0" autoPict="0" macro="[0]!button179_click">
                <anchor moveWithCells="1" sizeWithCells="1">
                  <from>
                    <xdr:col>3</xdr:col>
                    <xdr:colOff>3873500</xdr:colOff>
                    <xdr:row>127</xdr:row>
                    <xdr:rowOff>50800</xdr:rowOff>
                  </from>
                  <to>
                    <xdr:col>3</xdr:col>
                    <xdr:colOff>4521200</xdr:colOff>
                    <xdr:row>127</xdr:row>
                    <xdr:rowOff>355600</xdr:rowOff>
                  </to>
                </anchor>
              </controlPr>
            </control>
          </mc:Choice>
        </mc:AlternateContent>
        <mc:AlternateContent xmlns:mc="http://schemas.openxmlformats.org/markup-compatibility/2006">
          <mc:Choice Requires="x14">
            <control shapeId="174093" r:id="rId13" name="Button 13">
              <controlPr defaultSize="0" print="0" autoFill="0" autoPict="0" macro="[0]!button203_click">
                <anchor moveWithCells="1" sizeWithCells="1">
                  <from>
                    <xdr:col>3</xdr:col>
                    <xdr:colOff>3822700</xdr:colOff>
                    <xdr:row>126</xdr:row>
                    <xdr:rowOff>38100</xdr:rowOff>
                  </from>
                  <to>
                    <xdr:col>3</xdr:col>
                    <xdr:colOff>4521200</xdr:colOff>
                    <xdr:row>126</xdr:row>
                    <xdr:rowOff>330200</xdr:rowOff>
                  </to>
                </anchor>
              </controlPr>
            </control>
          </mc:Choice>
        </mc:AlternateContent>
        <mc:AlternateContent xmlns:mc="http://schemas.openxmlformats.org/markup-compatibility/2006">
          <mc:Choice Requires="x14">
            <control shapeId="174094" r:id="rId14" name="Button 14">
              <controlPr defaultSize="0" print="0" autoFill="0" autoPict="0" macro="[0]!button219_click">
                <anchor moveWithCells="1" sizeWithCells="1">
                  <from>
                    <xdr:col>3</xdr:col>
                    <xdr:colOff>3860800</xdr:colOff>
                    <xdr:row>128</xdr:row>
                    <xdr:rowOff>38100</xdr:rowOff>
                  </from>
                  <to>
                    <xdr:col>3</xdr:col>
                    <xdr:colOff>4521200</xdr:colOff>
                    <xdr:row>128</xdr:row>
                    <xdr:rowOff>342900</xdr:rowOff>
                  </to>
                </anchor>
              </controlPr>
            </control>
          </mc:Choice>
        </mc:AlternateContent>
        <mc:AlternateContent xmlns:mc="http://schemas.openxmlformats.org/markup-compatibility/2006">
          <mc:Choice Requires="x14">
            <control shapeId="174095" r:id="rId15" name="Button 15">
              <controlPr defaultSize="0" print="0" autoFill="0" autoPict="0" macro="[0]!button264_click">
                <anchor moveWithCells="1" sizeWithCells="1">
                  <from>
                    <xdr:col>3</xdr:col>
                    <xdr:colOff>3873500</xdr:colOff>
                    <xdr:row>129</xdr:row>
                    <xdr:rowOff>50800</xdr:rowOff>
                  </from>
                  <to>
                    <xdr:col>3</xdr:col>
                    <xdr:colOff>4521200</xdr:colOff>
                    <xdr:row>129</xdr:row>
                    <xdr:rowOff>355600</xdr:rowOff>
                  </to>
                </anchor>
              </controlPr>
            </control>
          </mc:Choice>
        </mc:AlternateContent>
        <mc:AlternateContent xmlns:mc="http://schemas.openxmlformats.org/markup-compatibility/2006">
          <mc:Choice Requires="x14">
            <control shapeId="174096" r:id="rId16" name="Button 16">
              <controlPr defaultSize="0" print="0" autoFill="0" autoPict="0" macro="[0]!button266_click">
                <anchor moveWithCells="1" sizeWithCells="1">
                  <from>
                    <xdr:col>3</xdr:col>
                    <xdr:colOff>3822700</xdr:colOff>
                    <xdr:row>130</xdr:row>
                    <xdr:rowOff>25400</xdr:rowOff>
                  </from>
                  <to>
                    <xdr:col>3</xdr:col>
                    <xdr:colOff>4521200</xdr:colOff>
                    <xdr:row>130</xdr:row>
                    <xdr:rowOff>304800</xdr:rowOff>
                  </to>
                </anchor>
              </controlPr>
            </control>
          </mc:Choice>
        </mc:AlternateContent>
        <mc:AlternateContent xmlns:mc="http://schemas.openxmlformats.org/markup-compatibility/2006">
          <mc:Choice Requires="x14">
            <control shapeId="174097" r:id="rId17" name="Button 17">
              <controlPr defaultSize="0" print="0" autoFill="0" autoPict="0" macro="[0]!button40_click">
                <anchor moveWithCells="1" sizeWithCells="1">
                  <from>
                    <xdr:col>3</xdr:col>
                    <xdr:colOff>3835400</xdr:colOff>
                    <xdr:row>131</xdr:row>
                    <xdr:rowOff>38100</xdr:rowOff>
                  </from>
                  <to>
                    <xdr:col>3</xdr:col>
                    <xdr:colOff>4521200</xdr:colOff>
                    <xdr:row>131</xdr:row>
                    <xdr:rowOff>317500</xdr:rowOff>
                  </to>
                </anchor>
              </controlPr>
            </control>
          </mc:Choice>
        </mc:AlternateContent>
        <mc:AlternateContent xmlns:mc="http://schemas.openxmlformats.org/markup-compatibility/2006">
          <mc:Choice Requires="x14">
            <control shapeId="174098" r:id="rId18" name="Button 18">
              <controlPr defaultSize="0" print="0" autoFill="0" autoPict="0" macro="[0]!button288_click">
                <anchor moveWithCells="1" sizeWithCells="1">
                  <from>
                    <xdr:col>3</xdr:col>
                    <xdr:colOff>4546600</xdr:colOff>
                    <xdr:row>108</xdr:row>
                    <xdr:rowOff>12700</xdr:rowOff>
                  </from>
                  <to>
                    <xdr:col>3</xdr:col>
                    <xdr:colOff>5384800</xdr:colOff>
                    <xdr:row>108</xdr:row>
                    <xdr:rowOff>203200</xdr:rowOff>
                  </to>
                </anchor>
              </controlPr>
            </control>
          </mc:Choice>
        </mc:AlternateContent>
        <mc:AlternateContent xmlns:mc="http://schemas.openxmlformats.org/markup-compatibility/2006">
          <mc:Choice Requires="x14">
            <control shapeId="174099" r:id="rId19" name="Button 19">
              <controlPr defaultSize="0" print="0" autoFill="0" autoPict="0" macro="[0]!button290_click">
                <anchor moveWithCells="1" sizeWithCells="1">
                  <from>
                    <xdr:col>3</xdr:col>
                    <xdr:colOff>4546600</xdr:colOff>
                    <xdr:row>107</xdr:row>
                    <xdr:rowOff>12700</xdr:rowOff>
                  </from>
                  <to>
                    <xdr:col>3</xdr:col>
                    <xdr:colOff>5384800</xdr:colOff>
                    <xdr:row>107</xdr:row>
                    <xdr:rowOff>203200</xdr:rowOff>
                  </to>
                </anchor>
              </controlPr>
            </control>
          </mc:Choice>
        </mc:AlternateContent>
        <mc:AlternateContent xmlns:mc="http://schemas.openxmlformats.org/markup-compatibility/2006">
          <mc:Choice Requires="x14">
            <control shapeId="174100" r:id="rId20" name="Button 20">
              <controlPr defaultSize="0" print="0" autoFill="0" autoPict="0" macro="[0]!button41_click">
                <anchor moveWithCells="1" sizeWithCells="1">
                  <from>
                    <xdr:col>3</xdr:col>
                    <xdr:colOff>3822700</xdr:colOff>
                    <xdr:row>132</xdr:row>
                    <xdr:rowOff>25400</xdr:rowOff>
                  </from>
                  <to>
                    <xdr:col>3</xdr:col>
                    <xdr:colOff>4521200</xdr:colOff>
                    <xdr:row>132</xdr:row>
                    <xdr:rowOff>279400</xdr:rowOff>
                  </to>
                </anchor>
              </controlPr>
            </control>
          </mc:Choice>
        </mc:AlternateContent>
        <mc:AlternateContent xmlns:mc="http://schemas.openxmlformats.org/markup-compatibility/2006">
          <mc:Choice Requires="x14">
            <control shapeId="174101" r:id="rId21" name="Button 21">
              <controlPr defaultSize="0" print="0" autoFill="0" autoPict="0" macro="[0]!button581_click">
                <anchor moveWithCells="1" sizeWithCells="1">
                  <from>
                    <xdr:col>3</xdr:col>
                    <xdr:colOff>3848100</xdr:colOff>
                    <xdr:row>133</xdr:row>
                    <xdr:rowOff>25400</xdr:rowOff>
                  </from>
                  <to>
                    <xdr:col>3</xdr:col>
                    <xdr:colOff>4521200</xdr:colOff>
                    <xdr:row>133</xdr:row>
                    <xdr:rowOff>241300</xdr:rowOff>
                  </to>
                </anchor>
              </controlPr>
            </control>
          </mc:Choice>
        </mc:AlternateContent>
        <mc:AlternateContent xmlns:mc="http://schemas.openxmlformats.org/markup-compatibility/2006">
          <mc:Choice Requires="x14">
            <control shapeId="174102" r:id="rId22" name="Button 22">
              <controlPr defaultSize="0" print="0" autoFill="0" autoPict="0" macro="[0]!button669_click" altText="Кнопка 669">
                <anchor moveWithCells="1" sizeWithCells="1">
                  <from>
                    <xdr:col>3</xdr:col>
                    <xdr:colOff>2273300</xdr:colOff>
                    <xdr:row>111</xdr:row>
                    <xdr:rowOff>12700</xdr:rowOff>
                  </from>
                  <to>
                    <xdr:col>3</xdr:col>
                    <xdr:colOff>5575300</xdr:colOff>
                    <xdr:row>111</xdr:row>
                    <xdr:rowOff>292100</xdr:rowOff>
                  </to>
                </anchor>
              </controlPr>
            </control>
          </mc:Choice>
        </mc:AlternateContent>
        <mc:AlternateContent xmlns:mc="http://schemas.openxmlformats.org/markup-compatibility/2006">
          <mc:Choice Requires="x14">
            <control shapeId="174103" r:id="rId23" name="Button 23">
              <controlPr defaultSize="0" print="0" autoFill="0" autoPict="0" macro="[0]!button87_click">
                <anchor moveWithCells="1" sizeWithCells="1">
                  <from>
                    <xdr:col>3</xdr:col>
                    <xdr:colOff>3835400</xdr:colOff>
                    <xdr:row>125</xdr:row>
                    <xdr:rowOff>50800</xdr:rowOff>
                  </from>
                  <to>
                    <xdr:col>3</xdr:col>
                    <xdr:colOff>4521200</xdr:colOff>
                    <xdr:row>125</xdr:row>
                    <xdr:rowOff>317500</xdr:rowOff>
                  </to>
                </anchor>
              </controlPr>
            </control>
          </mc:Choice>
        </mc:AlternateContent>
        <mc:AlternateContent xmlns:mc="http://schemas.openxmlformats.org/markup-compatibility/2006">
          <mc:Choice Requires="x14">
            <control shapeId="174104" r:id="rId24" name="Button 24">
              <controlPr defaultSize="0" print="0" autoFill="0" autoPict="0" macro="[0]!button179_click">
                <anchor moveWithCells="1" sizeWithCells="1">
                  <from>
                    <xdr:col>3</xdr:col>
                    <xdr:colOff>3873500</xdr:colOff>
                    <xdr:row>127</xdr:row>
                    <xdr:rowOff>50800</xdr:rowOff>
                  </from>
                  <to>
                    <xdr:col>3</xdr:col>
                    <xdr:colOff>4521200</xdr:colOff>
                    <xdr:row>127</xdr:row>
                    <xdr:rowOff>355600</xdr:rowOff>
                  </to>
                </anchor>
              </controlPr>
            </control>
          </mc:Choice>
        </mc:AlternateContent>
        <mc:AlternateContent xmlns:mc="http://schemas.openxmlformats.org/markup-compatibility/2006">
          <mc:Choice Requires="x14">
            <control shapeId="174105" r:id="rId25" name="Button 25">
              <controlPr defaultSize="0" print="0" autoFill="0" autoPict="0" macro="[0]!button203_click">
                <anchor moveWithCells="1" sizeWithCells="1">
                  <from>
                    <xdr:col>3</xdr:col>
                    <xdr:colOff>3822700</xdr:colOff>
                    <xdr:row>126</xdr:row>
                    <xdr:rowOff>38100</xdr:rowOff>
                  </from>
                  <to>
                    <xdr:col>3</xdr:col>
                    <xdr:colOff>4521200</xdr:colOff>
                    <xdr:row>126</xdr:row>
                    <xdr:rowOff>330200</xdr:rowOff>
                  </to>
                </anchor>
              </controlPr>
            </control>
          </mc:Choice>
        </mc:AlternateContent>
        <mc:AlternateContent xmlns:mc="http://schemas.openxmlformats.org/markup-compatibility/2006">
          <mc:Choice Requires="x14">
            <control shapeId="174106" r:id="rId26" name="Button 26">
              <controlPr defaultSize="0" print="0" autoFill="0" autoPict="0" macro="[0]!button219_click">
                <anchor moveWithCells="1" sizeWithCells="1">
                  <from>
                    <xdr:col>3</xdr:col>
                    <xdr:colOff>3860800</xdr:colOff>
                    <xdr:row>128</xdr:row>
                    <xdr:rowOff>38100</xdr:rowOff>
                  </from>
                  <to>
                    <xdr:col>3</xdr:col>
                    <xdr:colOff>4521200</xdr:colOff>
                    <xdr:row>128</xdr:row>
                    <xdr:rowOff>342900</xdr:rowOff>
                  </to>
                </anchor>
              </controlPr>
            </control>
          </mc:Choice>
        </mc:AlternateContent>
        <mc:AlternateContent xmlns:mc="http://schemas.openxmlformats.org/markup-compatibility/2006">
          <mc:Choice Requires="x14">
            <control shapeId="174107" r:id="rId27" name="Button 27">
              <controlPr defaultSize="0" print="0" autoFill="0" autoPict="0" macro="[0]!button264_click">
                <anchor moveWithCells="1" sizeWithCells="1">
                  <from>
                    <xdr:col>3</xdr:col>
                    <xdr:colOff>3873500</xdr:colOff>
                    <xdr:row>129</xdr:row>
                    <xdr:rowOff>50800</xdr:rowOff>
                  </from>
                  <to>
                    <xdr:col>3</xdr:col>
                    <xdr:colOff>4521200</xdr:colOff>
                    <xdr:row>129</xdr:row>
                    <xdr:rowOff>355600</xdr:rowOff>
                  </to>
                </anchor>
              </controlPr>
            </control>
          </mc:Choice>
        </mc:AlternateContent>
        <mc:AlternateContent xmlns:mc="http://schemas.openxmlformats.org/markup-compatibility/2006">
          <mc:Choice Requires="x14">
            <control shapeId="174108" r:id="rId28" name="Button 28">
              <controlPr defaultSize="0" print="0" autoFill="0" autoPict="0" macro="[0]!button266_click">
                <anchor moveWithCells="1" sizeWithCells="1">
                  <from>
                    <xdr:col>3</xdr:col>
                    <xdr:colOff>3822700</xdr:colOff>
                    <xdr:row>130</xdr:row>
                    <xdr:rowOff>25400</xdr:rowOff>
                  </from>
                  <to>
                    <xdr:col>3</xdr:col>
                    <xdr:colOff>4521200</xdr:colOff>
                    <xdr:row>130</xdr:row>
                    <xdr:rowOff>304800</xdr:rowOff>
                  </to>
                </anchor>
              </controlPr>
            </control>
          </mc:Choice>
        </mc:AlternateContent>
        <mc:AlternateContent xmlns:mc="http://schemas.openxmlformats.org/markup-compatibility/2006">
          <mc:Choice Requires="x14">
            <control shapeId="174109" r:id="rId29" name="Button 29">
              <controlPr defaultSize="0" print="0" autoFill="0" autoPict="0" macro="[0]!button40_click">
                <anchor moveWithCells="1" sizeWithCells="1">
                  <from>
                    <xdr:col>3</xdr:col>
                    <xdr:colOff>3835400</xdr:colOff>
                    <xdr:row>131</xdr:row>
                    <xdr:rowOff>38100</xdr:rowOff>
                  </from>
                  <to>
                    <xdr:col>3</xdr:col>
                    <xdr:colOff>4521200</xdr:colOff>
                    <xdr:row>131</xdr:row>
                    <xdr:rowOff>317500</xdr:rowOff>
                  </to>
                </anchor>
              </controlPr>
            </control>
          </mc:Choice>
        </mc:AlternateContent>
        <mc:AlternateContent xmlns:mc="http://schemas.openxmlformats.org/markup-compatibility/2006">
          <mc:Choice Requires="x14">
            <control shapeId="174110" r:id="rId30" name="Button 30">
              <controlPr defaultSize="0" print="0" autoFill="0" autoPict="0" macro="[0]!button288_click">
                <anchor moveWithCells="1" sizeWithCells="1">
                  <from>
                    <xdr:col>3</xdr:col>
                    <xdr:colOff>4546600</xdr:colOff>
                    <xdr:row>108</xdr:row>
                    <xdr:rowOff>12700</xdr:rowOff>
                  </from>
                  <to>
                    <xdr:col>3</xdr:col>
                    <xdr:colOff>5384800</xdr:colOff>
                    <xdr:row>108</xdr:row>
                    <xdr:rowOff>203200</xdr:rowOff>
                  </to>
                </anchor>
              </controlPr>
            </control>
          </mc:Choice>
        </mc:AlternateContent>
        <mc:AlternateContent xmlns:mc="http://schemas.openxmlformats.org/markup-compatibility/2006">
          <mc:Choice Requires="x14">
            <control shapeId="174111" r:id="rId31" name="Button 31">
              <controlPr defaultSize="0" print="0" autoFill="0" autoPict="0" macro="[0]!button290_click">
                <anchor moveWithCells="1" sizeWithCells="1">
                  <from>
                    <xdr:col>3</xdr:col>
                    <xdr:colOff>4546600</xdr:colOff>
                    <xdr:row>107</xdr:row>
                    <xdr:rowOff>12700</xdr:rowOff>
                  </from>
                  <to>
                    <xdr:col>3</xdr:col>
                    <xdr:colOff>5384800</xdr:colOff>
                    <xdr:row>107</xdr:row>
                    <xdr:rowOff>203200</xdr:rowOff>
                  </to>
                </anchor>
              </controlPr>
            </control>
          </mc:Choice>
        </mc:AlternateContent>
        <mc:AlternateContent xmlns:mc="http://schemas.openxmlformats.org/markup-compatibility/2006">
          <mc:Choice Requires="x14">
            <control shapeId="174112" r:id="rId32" name="Button 32">
              <controlPr defaultSize="0" print="0" autoFill="0" autoPict="0" macro="[0]!button41_click">
                <anchor moveWithCells="1" sizeWithCells="1">
                  <from>
                    <xdr:col>3</xdr:col>
                    <xdr:colOff>3822700</xdr:colOff>
                    <xdr:row>132</xdr:row>
                    <xdr:rowOff>25400</xdr:rowOff>
                  </from>
                  <to>
                    <xdr:col>3</xdr:col>
                    <xdr:colOff>4521200</xdr:colOff>
                    <xdr:row>132</xdr:row>
                    <xdr:rowOff>279400</xdr:rowOff>
                  </to>
                </anchor>
              </controlPr>
            </control>
          </mc:Choice>
        </mc:AlternateContent>
        <mc:AlternateContent xmlns:mc="http://schemas.openxmlformats.org/markup-compatibility/2006">
          <mc:Choice Requires="x14">
            <control shapeId="174113" r:id="rId33" name="Button 33">
              <controlPr defaultSize="0" print="0" autoFill="0" autoPict="0" macro="[0]!button581_click">
                <anchor moveWithCells="1" sizeWithCells="1">
                  <from>
                    <xdr:col>3</xdr:col>
                    <xdr:colOff>3848100</xdr:colOff>
                    <xdr:row>133</xdr:row>
                    <xdr:rowOff>25400</xdr:rowOff>
                  </from>
                  <to>
                    <xdr:col>3</xdr:col>
                    <xdr:colOff>4521200</xdr:colOff>
                    <xdr:row>133</xdr:row>
                    <xdr:rowOff>241300</xdr:rowOff>
                  </to>
                </anchor>
              </controlPr>
            </control>
          </mc:Choice>
        </mc:AlternateContent>
        <mc:AlternateContent xmlns:mc="http://schemas.openxmlformats.org/markup-compatibility/2006">
          <mc:Choice Requires="x14">
            <control shapeId="174114" r:id="rId34" name="Button 34">
              <controlPr defaultSize="0" print="0" autoFill="0" autoPict="0" macro="[0]!button669_click" altText="Кнопка 669">
                <anchor moveWithCells="1" sizeWithCells="1">
                  <from>
                    <xdr:col>3</xdr:col>
                    <xdr:colOff>2273300</xdr:colOff>
                    <xdr:row>111</xdr:row>
                    <xdr:rowOff>12700</xdr:rowOff>
                  </from>
                  <to>
                    <xdr:col>3</xdr:col>
                    <xdr:colOff>5575300</xdr:colOff>
                    <xdr:row>111</xdr:row>
                    <xdr:rowOff>292100</xdr:rowOff>
                  </to>
                </anchor>
              </controlPr>
            </control>
          </mc:Choice>
        </mc:AlternateContent>
        <mc:AlternateContent xmlns:mc="http://schemas.openxmlformats.org/markup-compatibility/2006">
          <mc:Choice Requires="x14">
            <control shapeId="174136" r:id="rId35" name="Button 56">
              <controlPr defaultSize="0" print="0" autoFill="0" autoPict="0" macro="[0]!button87_click">
                <anchor moveWithCells="1" sizeWithCells="1">
                  <from>
                    <xdr:col>3</xdr:col>
                    <xdr:colOff>3835400</xdr:colOff>
                    <xdr:row>125</xdr:row>
                    <xdr:rowOff>50800</xdr:rowOff>
                  </from>
                  <to>
                    <xdr:col>3</xdr:col>
                    <xdr:colOff>4521200</xdr:colOff>
                    <xdr:row>125</xdr:row>
                    <xdr:rowOff>317500</xdr:rowOff>
                  </to>
                </anchor>
              </controlPr>
            </control>
          </mc:Choice>
        </mc:AlternateContent>
        <mc:AlternateContent xmlns:mc="http://schemas.openxmlformats.org/markup-compatibility/2006">
          <mc:Choice Requires="x14">
            <control shapeId="174137" r:id="rId36" name="Button 57">
              <controlPr defaultSize="0" print="0" autoFill="0" autoPict="0" macro="[0]!button179_click">
                <anchor moveWithCells="1" sizeWithCells="1">
                  <from>
                    <xdr:col>3</xdr:col>
                    <xdr:colOff>3873500</xdr:colOff>
                    <xdr:row>127</xdr:row>
                    <xdr:rowOff>50800</xdr:rowOff>
                  </from>
                  <to>
                    <xdr:col>3</xdr:col>
                    <xdr:colOff>4521200</xdr:colOff>
                    <xdr:row>127</xdr:row>
                    <xdr:rowOff>355600</xdr:rowOff>
                  </to>
                </anchor>
              </controlPr>
            </control>
          </mc:Choice>
        </mc:AlternateContent>
        <mc:AlternateContent xmlns:mc="http://schemas.openxmlformats.org/markup-compatibility/2006">
          <mc:Choice Requires="x14">
            <control shapeId="174138" r:id="rId37" name="Button 58">
              <controlPr defaultSize="0" print="0" autoFill="0" autoPict="0" macro="[0]!button203_click">
                <anchor moveWithCells="1" sizeWithCells="1">
                  <from>
                    <xdr:col>3</xdr:col>
                    <xdr:colOff>3822700</xdr:colOff>
                    <xdr:row>126</xdr:row>
                    <xdr:rowOff>38100</xdr:rowOff>
                  </from>
                  <to>
                    <xdr:col>3</xdr:col>
                    <xdr:colOff>4521200</xdr:colOff>
                    <xdr:row>126</xdr:row>
                    <xdr:rowOff>330200</xdr:rowOff>
                  </to>
                </anchor>
              </controlPr>
            </control>
          </mc:Choice>
        </mc:AlternateContent>
        <mc:AlternateContent xmlns:mc="http://schemas.openxmlformats.org/markup-compatibility/2006">
          <mc:Choice Requires="x14">
            <control shapeId="174139" r:id="rId38" name="Button 59">
              <controlPr defaultSize="0" print="0" autoFill="0" autoPict="0" macro="[0]!button219_click">
                <anchor moveWithCells="1" sizeWithCells="1">
                  <from>
                    <xdr:col>3</xdr:col>
                    <xdr:colOff>3860800</xdr:colOff>
                    <xdr:row>128</xdr:row>
                    <xdr:rowOff>38100</xdr:rowOff>
                  </from>
                  <to>
                    <xdr:col>3</xdr:col>
                    <xdr:colOff>4521200</xdr:colOff>
                    <xdr:row>128</xdr:row>
                    <xdr:rowOff>342900</xdr:rowOff>
                  </to>
                </anchor>
              </controlPr>
            </control>
          </mc:Choice>
        </mc:AlternateContent>
        <mc:AlternateContent xmlns:mc="http://schemas.openxmlformats.org/markup-compatibility/2006">
          <mc:Choice Requires="x14">
            <control shapeId="174140" r:id="rId39" name="Button 60">
              <controlPr defaultSize="0" print="0" autoFill="0" autoPict="0" macro="[0]!button264_click">
                <anchor moveWithCells="1" sizeWithCells="1">
                  <from>
                    <xdr:col>3</xdr:col>
                    <xdr:colOff>3873500</xdr:colOff>
                    <xdr:row>129</xdr:row>
                    <xdr:rowOff>50800</xdr:rowOff>
                  </from>
                  <to>
                    <xdr:col>3</xdr:col>
                    <xdr:colOff>4521200</xdr:colOff>
                    <xdr:row>129</xdr:row>
                    <xdr:rowOff>355600</xdr:rowOff>
                  </to>
                </anchor>
              </controlPr>
            </control>
          </mc:Choice>
        </mc:AlternateContent>
        <mc:AlternateContent xmlns:mc="http://schemas.openxmlformats.org/markup-compatibility/2006">
          <mc:Choice Requires="x14">
            <control shapeId="174141" r:id="rId40" name="Button 61">
              <controlPr defaultSize="0" print="0" autoFill="0" autoPict="0" macro="[0]!button266_click">
                <anchor moveWithCells="1" sizeWithCells="1">
                  <from>
                    <xdr:col>3</xdr:col>
                    <xdr:colOff>3822700</xdr:colOff>
                    <xdr:row>130</xdr:row>
                    <xdr:rowOff>25400</xdr:rowOff>
                  </from>
                  <to>
                    <xdr:col>3</xdr:col>
                    <xdr:colOff>4521200</xdr:colOff>
                    <xdr:row>130</xdr:row>
                    <xdr:rowOff>304800</xdr:rowOff>
                  </to>
                </anchor>
              </controlPr>
            </control>
          </mc:Choice>
        </mc:AlternateContent>
        <mc:AlternateContent xmlns:mc="http://schemas.openxmlformats.org/markup-compatibility/2006">
          <mc:Choice Requires="x14">
            <control shapeId="174142" r:id="rId41" name="Button 62">
              <controlPr defaultSize="0" print="0" autoFill="0" autoPict="0" macro="[0]!button40_click">
                <anchor moveWithCells="1" sizeWithCells="1">
                  <from>
                    <xdr:col>3</xdr:col>
                    <xdr:colOff>3835400</xdr:colOff>
                    <xdr:row>131</xdr:row>
                    <xdr:rowOff>38100</xdr:rowOff>
                  </from>
                  <to>
                    <xdr:col>3</xdr:col>
                    <xdr:colOff>4521200</xdr:colOff>
                    <xdr:row>131</xdr:row>
                    <xdr:rowOff>317500</xdr:rowOff>
                  </to>
                </anchor>
              </controlPr>
            </control>
          </mc:Choice>
        </mc:AlternateContent>
        <mc:AlternateContent xmlns:mc="http://schemas.openxmlformats.org/markup-compatibility/2006">
          <mc:Choice Requires="x14">
            <control shapeId="174143" r:id="rId42" name="Button 63">
              <controlPr defaultSize="0" print="0" autoFill="0" autoPict="0" macro="[0]!button41_click">
                <anchor moveWithCells="1" sizeWithCells="1">
                  <from>
                    <xdr:col>3</xdr:col>
                    <xdr:colOff>3822700</xdr:colOff>
                    <xdr:row>132</xdr:row>
                    <xdr:rowOff>25400</xdr:rowOff>
                  </from>
                  <to>
                    <xdr:col>3</xdr:col>
                    <xdr:colOff>4521200</xdr:colOff>
                    <xdr:row>132</xdr:row>
                    <xdr:rowOff>279400</xdr:rowOff>
                  </to>
                </anchor>
              </controlPr>
            </control>
          </mc:Choice>
        </mc:AlternateContent>
        <mc:AlternateContent xmlns:mc="http://schemas.openxmlformats.org/markup-compatibility/2006">
          <mc:Choice Requires="x14">
            <control shapeId="174144" r:id="rId43" name="Button 64">
              <controlPr defaultSize="0" print="0" autoFill="0" autoPict="0" macro="[0]!button581_click">
                <anchor moveWithCells="1" sizeWithCells="1">
                  <from>
                    <xdr:col>3</xdr:col>
                    <xdr:colOff>3848100</xdr:colOff>
                    <xdr:row>133</xdr:row>
                    <xdr:rowOff>25400</xdr:rowOff>
                  </from>
                  <to>
                    <xdr:col>3</xdr:col>
                    <xdr:colOff>4521200</xdr:colOff>
                    <xdr:row>133</xdr:row>
                    <xdr:rowOff>241300</xdr:rowOff>
                  </to>
                </anchor>
              </controlPr>
            </control>
          </mc:Choice>
        </mc:AlternateContent>
        <mc:AlternateContent xmlns:mc="http://schemas.openxmlformats.org/markup-compatibility/2006">
          <mc:Choice Requires="x14">
            <control shapeId="174145" r:id="rId44" name="Button 65">
              <controlPr defaultSize="0" print="0" autoFill="0" autoPict="0" macro="[0]!button87_click">
                <anchor moveWithCells="1" sizeWithCells="1">
                  <from>
                    <xdr:col>3</xdr:col>
                    <xdr:colOff>3835400</xdr:colOff>
                    <xdr:row>125</xdr:row>
                    <xdr:rowOff>50800</xdr:rowOff>
                  </from>
                  <to>
                    <xdr:col>3</xdr:col>
                    <xdr:colOff>4521200</xdr:colOff>
                    <xdr:row>125</xdr:row>
                    <xdr:rowOff>317500</xdr:rowOff>
                  </to>
                </anchor>
              </controlPr>
            </control>
          </mc:Choice>
        </mc:AlternateContent>
        <mc:AlternateContent xmlns:mc="http://schemas.openxmlformats.org/markup-compatibility/2006">
          <mc:Choice Requires="x14">
            <control shapeId="174146" r:id="rId45" name="Button 66">
              <controlPr defaultSize="0" print="0" autoFill="0" autoPict="0" macro="[0]!button179_click">
                <anchor moveWithCells="1" sizeWithCells="1">
                  <from>
                    <xdr:col>3</xdr:col>
                    <xdr:colOff>3873500</xdr:colOff>
                    <xdr:row>127</xdr:row>
                    <xdr:rowOff>50800</xdr:rowOff>
                  </from>
                  <to>
                    <xdr:col>3</xdr:col>
                    <xdr:colOff>4521200</xdr:colOff>
                    <xdr:row>127</xdr:row>
                    <xdr:rowOff>355600</xdr:rowOff>
                  </to>
                </anchor>
              </controlPr>
            </control>
          </mc:Choice>
        </mc:AlternateContent>
        <mc:AlternateContent xmlns:mc="http://schemas.openxmlformats.org/markup-compatibility/2006">
          <mc:Choice Requires="x14">
            <control shapeId="174147" r:id="rId46" name="Button 67">
              <controlPr defaultSize="0" print="0" autoFill="0" autoPict="0" macro="[0]!button203_click">
                <anchor moveWithCells="1" sizeWithCells="1">
                  <from>
                    <xdr:col>3</xdr:col>
                    <xdr:colOff>3822700</xdr:colOff>
                    <xdr:row>126</xdr:row>
                    <xdr:rowOff>38100</xdr:rowOff>
                  </from>
                  <to>
                    <xdr:col>3</xdr:col>
                    <xdr:colOff>4521200</xdr:colOff>
                    <xdr:row>126</xdr:row>
                    <xdr:rowOff>330200</xdr:rowOff>
                  </to>
                </anchor>
              </controlPr>
            </control>
          </mc:Choice>
        </mc:AlternateContent>
        <mc:AlternateContent xmlns:mc="http://schemas.openxmlformats.org/markup-compatibility/2006">
          <mc:Choice Requires="x14">
            <control shapeId="174148" r:id="rId47" name="Button 68">
              <controlPr defaultSize="0" print="0" autoFill="0" autoPict="0" macro="[0]!button219_click">
                <anchor moveWithCells="1" sizeWithCells="1">
                  <from>
                    <xdr:col>3</xdr:col>
                    <xdr:colOff>3860800</xdr:colOff>
                    <xdr:row>128</xdr:row>
                    <xdr:rowOff>38100</xdr:rowOff>
                  </from>
                  <to>
                    <xdr:col>3</xdr:col>
                    <xdr:colOff>4521200</xdr:colOff>
                    <xdr:row>128</xdr:row>
                    <xdr:rowOff>342900</xdr:rowOff>
                  </to>
                </anchor>
              </controlPr>
            </control>
          </mc:Choice>
        </mc:AlternateContent>
        <mc:AlternateContent xmlns:mc="http://schemas.openxmlformats.org/markup-compatibility/2006">
          <mc:Choice Requires="x14">
            <control shapeId="174149" r:id="rId48" name="Button 69">
              <controlPr defaultSize="0" print="0" autoFill="0" autoPict="0" macro="[0]!button264_click">
                <anchor moveWithCells="1" sizeWithCells="1">
                  <from>
                    <xdr:col>3</xdr:col>
                    <xdr:colOff>3873500</xdr:colOff>
                    <xdr:row>129</xdr:row>
                    <xdr:rowOff>50800</xdr:rowOff>
                  </from>
                  <to>
                    <xdr:col>3</xdr:col>
                    <xdr:colOff>4521200</xdr:colOff>
                    <xdr:row>129</xdr:row>
                    <xdr:rowOff>355600</xdr:rowOff>
                  </to>
                </anchor>
              </controlPr>
            </control>
          </mc:Choice>
        </mc:AlternateContent>
        <mc:AlternateContent xmlns:mc="http://schemas.openxmlformats.org/markup-compatibility/2006">
          <mc:Choice Requires="x14">
            <control shapeId="174150" r:id="rId49" name="Button 70">
              <controlPr defaultSize="0" print="0" autoFill="0" autoPict="0" macro="[0]!button266_click">
                <anchor moveWithCells="1" sizeWithCells="1">
                  <from>
                    <xdr:col>3</xdr:col>
                    <xdr:colOff>3822700</xdr:colOff>
                    <xdr:row>130</xdr:row>
                    <xdr:rowOff>25400</xdr:rowOff>
                  </from>
                  <to>
                    <xdr:col>3</xdr:col>
                    <xdr:colOff>4521200</xdr:colOff>
                    <xdr:row>130</xdr:row>
                    <xdr:rowOff>304800</xdr:rowOff>
                  </to>
                </anchor>
              </controlPr>
            </control>
          </mc:Choice>
        </mc:AlternateContent>
        <mc:AlternateContent xmlns:mc="http://schemas.openxmlformats.org/markup-compatibility/2006">
          <mc:Choice Requires="x14">
            <control shapeId="174151" r:id="rId50" name="Button 71">
              <controlPr defaultSize="0" print="0" autoFill="0" autoPict="0" macro="[0]!button40_click">
                <anchor moveWithCells="1" sizeWithCells="1">
                  <from>
                    <xdr:col>3</xdr:col>
                    <xdr:colOff>3835400</xdr:colOff>
                    <xdr:row>131</xdr:row>
                    <xdr:rowOff>38100</xdr:rowOff>
                  </from>
                  <to>
                    <xdr:col>3</xdr:col>
                    <xdr:colOff>4521200</xdr:colOff>
                    <xdr:row>131</xdr:row>
                    <xdr:rowOff>317500</xdr:rowOff>
                  </to>
                </anchor>
              </controlPr>
            </control>
          </mc:Choice>
        </mc:AlternateContent>
        <mc:AlternateContent xmlns:mc="http://schemas.openxmlformats.org/markup-compatibility/2006">
          <mc:Choice Requires="x14">
            <control shapeId="174152" r:id="rId51" name="Button 72">
              <controlPr defaultSize="0" print="0" autoFill="0" autoPict="0" macro="[0]!button41_click">
                <anchor moveWithCells="1" sizeWithCells="1">
                  <from>
                    <xdr:col>3</xdr:col>
                    <xdr:colOff>3822700</xdr:colOff>
                    <xdr:row>132</xdr:row>
                    <xdr:rowOff>25400</xdr:rowOff>
                  </from>
                  <to>
                    <xdr:col>3</xdr:col>
                    <xdr:colOff>4521200</xdr:colOff>
                    <xdr:row>132</xdr:row>
                    <xdr:rowOff>279400</xdr:rowOff>
                  </to>
                </anchor>
              </controlPr>
            </control>
          </mc:Choice>
        </mc:AlternateContent>
        <mc:AlternateContent xmlns:mc="http://schemas.openxmlformats.org/markup-compatibility/2006">
          <mc:Choice Requires="x14">
            <control shapeId="174153" r:id="rId52" name="Button 73">
              <controlPr defaultSize="0" print="0" autoFill="0" autoPict="0" macro="[0]!button581_click">
                <anchor moveWithCells="1" sizeWithCells="1">
                  <from>
                    <xdr:col>3</xdr:col>
                    <xdr:colOff>3848100</xdr:colOff>
                    <xdr:row>133</xdr:row>
                    <xdr:rowOff>25400</xdr:rowOff>
                  </from>
                  <to>
                    <xdr:col>3</xdr:col>
                    <xdr:colOff>4521200</xdr:colOff>
                    <xdr:row>133</xdr:row>
                    <xdr:rowOff>241300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65C52-7E63-AD43-A917-54C530F81977}">
  <sheetPr codeName="Лист3"/>
  <dimension ref="A1:D1"/>
  <sheetViews>
    <sheetView workbookViewId="0"/>
  </sheetViews>
  <sheetFormatPr baseColWidth="10" defaultRowHeight="16"/>
  <sheetData>
    <row r="1" spans="1:4">
      <c r="A1" t="s">
        <v>1132</v>
      </c>
      <c r="B1" t="s">
        <v>1133</v>
      </c>
      <c r="D1" s="560">
        <v>46210.315810185188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0B798-1BCB-1748-85F5-29E3F473FB9F}">
  <sheetPr codeName="Лист2">
    <tabColor theme="4" tint="0.59999389629810485"/>
  </sheetPr>
  <dimension ref="A1:CH103"/>
  <sheetViews>
    <sheetView topLeftCell="B8" zoomScale="244" zoomScaleNormal="83" workbookViewId="0">
      <selection activeCell="H107" sqref="H107"/>
    </sheetView>
  </sheetViews>
  <sheetFormatPr baseColWidth="10" defaultRowHeight="16"/>
  <cols>
    <col min="2" max="2" width="50.1640625" customWidth="1"/>
    <col min="3" max="24" width="11.83203125" customWidth="1"/>
    <col min="26" max="26" width="16.33203125" customWidth="1"/>
  </cols>
  <sheetData>
    <row r="1" spans="2:9">
      <c r="B1" s="37" t="s">
        <v>143</v>
      </c>
    </row>
    <row r="2" spans="2:9">
      <c r="B2" s="3" t="s">
        <v>5</v>
      </c>
      <c r="C2" s="4"/>
      <c r="D2" s="4"/>
      <c r="E2" s="4"/>
      <c r="F2" s="4"/>
      <c r="G2" s="4"/>
      <c r="H2" s="4"/>
      <c r="I2" s="4"/>
    </row>
    <row r="3" spans="2:9" ht="141" customHeight="1" thickBot="1">
      <c r="B3" s="12" t="s">
        <v>6</v>
      </c>
      <c r="C3" s="44" t="s">
        <v>110</v>
      </c>
    </row>
    <row r="4" spans="2:9" ht="45">
      <c r="B4" s="18" t="s">
        <v>7</v>
      </c>
      <c r="C4" s="19">
        <v>1000000</v>
      </c>
    </row>
    <row r="5" spans="2:9">
      <c r="B5" s="7" t="s">
        <v>8</v>
      </c>
      <c r="C5" s="8">
        <v>100000</v>
      </c>
    </row>
    <row r="7" spans="2:9">
      <c r="B7" s="3" t="s">
        <v>9</v>
      </c>
    </row>
    <row r="8" spans="2:9" ht="79" customHeight="1">
      <c r="B8" s="43" t="s">
        <v>10</v>
      </c>
      <c r="C8" s="43" t="s">
        <v>11</v>
      </c>
    </row>
    <row r="9" spans="2:9">
      <c r="B9" s="20" t="s">
        <v>94</v>
      </c>
      <c r="C9" s="21">
        <v>2.4499999999999998E-7</v>
      </c>
    </row>
    <row r="10" spans="2:9">
      <c r="B10" s="20" t="s">
        <v>95</v>
      </c>
      <c r="C10" s="21">
        <v>2.4499999999999998E-7</v>
      </c>
    </row>
    <row r="11" spans="2:9">
      <c r="B11" s="20" t="s">
        <v>96</v>
      </c>
      <c r="C11" s="21">
        <v>2.4499999999999998E-7</v>
      </c>
    </row>
    <row r="12" spans="2:9">
      <c r="B12" s="20" t="s">
        <v>97</v>
      </c>
      <c r="C12" s="21">
        <v>2.1799999999999999E-7</v>
      </c>
    </row>
    <row r="13" spans="2:9">
      <c r="B13" s="20" t="s">
        <v>101</v>
      </c>
      <c r="C13" s="21">
        <v>2.1799999999999999E-7</v>
      </c>
    </row>
    <row r="14" spans="2:9">
      <c r="B14" s="20" t="s">
        <v>98</v>
      </c>
      <c r="C14" s="21">
        <v>2.6300000000000001E-7</v>
      </c>
    </row>
    <row r="15" spans="2:9">
      <c r="B15" s="20" t="s">
        <v>99</v>
      </c>
      <c r="C15" s="21">
        <v>2.6300000000000001E-7</v>
      </c>
    </row>
    <row r="16" spans="2:9">
      <c r="B16" s="20" t="s">
        <v>12</v>
      </c>
      <c r="C16" s="21">
        <v>2.8099999999999999E-7</v>
      </c>
    </row>
    <row r="17" spans="2:4">
      <c r="B17" s="20" t="s">
        <v>13</v>
      </c>
      <c r="C17" s="21">
        <v>2.4499999999999998E-7</v>
      </c>
    </row>
    <row r="19" spans="2:4">
      <c r="B19" t="s">
        <v>64</v>
      </c>
    </row>
    <row r="20" spans="2:4" ht="17" thickBot="1">
      <c r="B20" s="12" t="s">
        <v>50</v>
      </c>
      <c r="C20" s="13" t="s">
        <v>65</v>
      </c>
      <c r="D20" s="14" t="s">
        <v>66</v>
      </c>
    </row>
    <row r="21" spans="2:4">
      <c r="B21" s="6" t="s">
        <v>51</v>
      </c>
      <c r="C21" s="10" t="s">
        <v>52</v>
      </c>
      <c r="D21" s="11" t="s">
        <v>52</v>
      </c>
    </row>
    <row r="22" spans="2:4">
      <c r="B22" s="15" t="s">
        <v>53</v>
      </c>
      <c r="C22" s="16" t="s">
        <v>54</v>
      </c>
      <c r="D22" s="17" t="s">
        <v>55</v>
      </c>
    </row>
    <row r="24" spans="2:4">
      <c r="B24" t="s">
        <v>67</v>
      </c>
    </row>
    <row r="25" spans="2:4" ht="75">
      <c r="B25" s="25" t="s">
        <v>56</v>
      </c>
      <c r="C25" s="26" t="s">
        <v>57</v>
      </c>
    </row>
    <row r="26" spans="2:4">
      <c r="B26" s="6"/>
      <c r="C26" s="24"/>
    </row>
    <row r="27" spans="2:4">
      <c r="B27" s="22">
        <v>1</v>
      </c>
      <c r="C27" s="23" t="s">
        <v>58</v>
      </c>
    </row>
    <row r="28" spans="2:4">
      <c r="B28" s="22">
        <v>2</v>
      </c>
      <c r="C28" s="23" t="s">
        <v>59</v>
      </c>
    </row>
    <row r="29" spans="2:4">
      <c r="B29" s="22">
        <v>3</v>
      </c>
      <c r="C29" s="23" t="s">
        <v>60</v>
      </c>
    </row>
    <row r="30" spans="2:4">
      <c r="B30" s="22">
        <v>4</v>
      </c>
      <c r="C30" s="23" t="s">
        <v>61</v>
      </c>
    </row>
    <row r="31" spans="2:4">
      <c r="B31" s="15" t="s">
        <v>62</v>
      </c>
      <c r="C31" s="17" t="s">
        <v>63</v>
      </c>
    </row>
    <row r="33" spans="2:6">
      <c r="B33" t="s">
        <v>76</v>
      </c>
    </row>
    <row r="34" spans="2:6">
      <c r="B34" s="6" t="s">
        <v>68</v>
      </c>
      <c r="C34" s="10" t="s">
        <v>69</v>
      </c>
      <c r="D34" s="10" t="s">
        <v>70</v>
      </c>
      <c r="E34" s="27" t="s">
        <v>71</v>
      </c>
      <c r="F34" s="28" t="s">
        <v>72</v>
      </c>
    </row>
    <row r="35" spans="2:6" ht="30">
      <c r="B35" s="5" t="s">
        <v>73</v>
      </c>
      <c r="C35" s="9">
        <v>10</v>
      </c>
      <c r="D35" s="9">
        <v>11</v>
      </c>
      <c r="E35" s="9">
        <v>12</v>
      </c>
      <c r="F35" s="23">
        <v>13</v>
      </c>
    </row>
    <row r="36" spans="2:6" ht="30">
      <c r="B36" s="7" t="s">
        <v>74</v>
      </c>
      <c r="C36" s="16" t="s">
        <v>75</v>
      </c>
      <c r="D36" s="16">
        <v>3</v>
      </c>
      <c r="E36" s="16">
        <v>5</v>
      </c>
      <c r="F36" s="17">
        <v>6</v>
      </c>
    </row>
    <row r="38" spans="2:6">
      <c r="B38" t="s">
        <v>91</v>
      </c>
    </row>
    <row r="39" spans="2:6" ht="42" customHeight="1">
      <c r="B39" s="6" t="s">
        <v>77</v>
      </c>
      <c r="C39" s="10" t="s">
        <v>78</v>
      </c>
      <c r="D39" s="10" t="s">
        <v>79</v>
      </c>
      <c r="E39" s="28" t="s">
        <v>80</v>
      </c>
    </row>
    <row r="40" spans="2:6">
      <c r="B40" s="22" t="s">
        <v>86</v>
      </c>
      <c r="C40" s="9" t="s">
        <v>81</v>
      </c>
      <c r="D40" s="9" t="s">
        <v>82</v>
      </c>
      <c r="E40" s="29">
        <v>0.19</v>
      </c>
    </row>
    <row r="41" spans="2:6">
      <c r="B41" s="22" t="s">
        <v>86</v>
      </c>
      <c r="C41" s="9" t="s">
        <v>87</v>
      </c>
      <c r="D41" s="9" t="s">
        <v>83</v>
      </c>
      <c r="E41" s="29">
        <v>0.14000000000000001</v>
      </c>
    </row>
    <row r="42" spans="2:6">
      <c r="B42" s="22" t="s">
        <v>86</v>
      </c>
      <c r="C42" s="9" t="s">
        <v>84</v>
      </c>
      <c r="D42" s="9" t="s">
        <v>82</v>
      </c>
      <c r="E42" s="29">
        <v>0.11</v>
      </c>
    </row>
    <row r="43" spans="2:6">
      <c r="B43" s="22" t="s">
        <v>86</v>
      </c>
      <c r="C43" s="9" t="s">
        <v>88</v>
      </c>
      <c r="D43" s="9" t="s">
        <v>83</v>
      </c>
      <c r="E43" s="29">
        <v>0.08</v>
      </c>
    </row>
    <row r="44" spans="2:6">
      <c r="B44" s="5" t="s">
        <v>89</v>
      </c>
      <c r="C44" s="9" t="s">
        <v>81</v>
      </c>
      <c r="D44" s="9" t="s">
        <v>85</v>
      </c>
      <c r="E44" s="29">
        <v>300</v>
      </c>
    </row>
    <row r="45" spans="2:6">
      <c r="B45" s="5" t="s">
        <v>89</v>
      </c>
      <c r="C45" s="9" t="s">
        <v>84</v>
      </c>
      <c r="D45" s="9" t="s">
        <v>85</v>
      </c>
      <c r="E45" s="29">
        <v>200</v>
      </c>
    </row>
    <row r="46" spans="2:6">
      <c r="B46" s="22" t="s">
        <v>90</v>
      </c>
      <c r="C46" s="9" t="s">
        <v>81</v>
      </c>
      <c r="D46" s="9" t="s">
        <v>85</v>
      </c>
      <c r="E46" s="29">
        <v>10</v>
      </c>
    </row>
    <row r="47" spans="2:6">
      <c r="B47" s="15" t="s">
        <v>90</v>
      </c>
      <c r="C47" s="16" t="s">
        <v>84</v>
      </c>
      <c r="D47" s="16" t="s">
        <v>85</v>
      </c>
      <c r="E47" s="30">
        <v>8</v>
      </c>
    </row>
    <row r="50" spans="2:26">
      <c r="B50" t="s">
        <v>92</v>
      </c>
      <c r="L50" t="s">
        <v>93</v>
      </c>
    </row>
    <row r="51" spans="2:26">
      <c r="B51" t="s">
        <v>100</v>
      </c>
      <c r="C51" s="36" t="s">
        <v>1155</v>
      </c>
      <c r="D51" s="36" t="s">
        <v>1134</v>
      </c>
      <c r="E51" s="36" t="s">
        <v>1135</v>
      </c>
      <c r="F51" s="36" t="s">
        <v>1136</v>
      </c>
      <c r="G51" s="36" t="s">
        <v>1137</v>
      </c>
      <c r="H51" s="36" t="s">
        <v>1138</v>
      </c>
      <c r="I51" s="36" t="s">
        <v>1139</v>
      </c>
      <c r="J51" s="36" t="s">
        <v>1140</v>
      </c>
      <c r="K51" s="36" t="s">
        <v>1141</v>
      </c>
      <c r="L51" s="36" t="s">
        <v>1142</v>
      </c>
      <c r="M51" s="36" t="s">
        <v>1143</v>
      </c>
      <c r="N51" s="36" t="s">
        <v>1144</v>
      </c>
      <c r="O51" s="36" t="s">
        <v>1145</v>
      </c>
      <c r="P51" s="36" t="s">
        <v>1146</v>
      </c>
      <c r="Q51" s="36" t="s">
        <v>1147</v>
      </c>
      <c r="R51" s="36" t="s">
        <v>1148</v>
      </c>
      <c r="S51" s="36" t="s">
        <v>1149</v>
      </c>
      <c r="T51" s="36" t="s">
        <v>1150</v>
      </c>
      <c r="U51" s="36" t="s">
        <v>1151</v>
      </c>
      <c r="V51" s="36" t="s">
        <v>1152</v>
      </c>
      <c r="W51" s="36" t="s">
        <v>1153</v>
      </c>
      <c r="X51" s="36" t="s">
        <v>1154</v>
      </c>
    </row>
    <row r="52" spans="2:26">
      <c r="B52" s="561">
        <v>0.14599999999999999</v>
      </c>
      <c r="C52">
        <v>1.37E-4</v>
      </c>
      <c r="D52">
        <v>1.11E-4</v>
      </c>
      <c r="E52">
        <v>1.01E-4</v>
      </c>
      <c r="F52">
        <v>9.2799999999999992E-5</v>
      </c>
      <c r="G52">
        <v>8.599999999999999E-5</v>
      </c>
      <c r="H52">
        <v>8.0199999999999998E-5</v>
      </c>
      <c r="I52">
        <v>7.5099999999999996E-5</v>
      </c>
      <c r="J52">
        <v>7.0599999999999995E-5</v>
      </c>
      <c r="K52" t="s">
        <v>1157</v>
      </c>
      <c r="L52" t="s">
        <v>1157</v>
      </c>
      <c r="M52" t="s">
        <v>1157</v>
      </c>
      <c r="N52" t="s">
        <v>1157</v>
      </c>
      <c r="O52" t="s">
        <v>1157</v>
      </c>
      <c r="P52" t="s">
        <v>1157</v>
      </c>
      <c r="Q52" t="s">
        <v>1157</v>
      </c>
      <c r="R52" t="s">
        <v>1157</v>
      </c>
      <c r="S52" t="s">
        <v>1157</v>
      </c>
      <c r="T52" t="s">
        <v>1157</v>
      </c>
      <c r="U52" t="s">
        <v>1157</v>
      </c>
      <c r="V52" t="s">
        <v>1157</v>
      </c>
      <c r="W52" t="s">
        <v>1157</v>
      </c>
      <c r="X52" t="s">
        <v>1157</v>
      </c>
      <c r="Z52" s="31"/>
    </row>
    <row r="53" spans="2:26">
      <c r="B53" s="561">
        <v>0.152</v>
      </c>
      <c r="C53">
        <v>1.3199999999999998E-4</v>
      </c>
      <c r="D53">
        <v>1.06E-4</v>
      </c>
      <c r="E53">
        <v>9.6799999999999995E-5</v>
      </c>
      <c r="F53">
        <v>8.8999999999999995E-5</v>
      </c>
      <c r="G53">
        <v>8.25E-5</v>
      </c>
      <c r="H53">
        <v>7.6799999999999997E-5</v>
      </c>
      <c r="I53">
        <v>7.2000000000000002E-5</v>
      </c>
      <c r="J53">
        <v>6.7700000000000006E-5</v>
      </c>
      <c r="K53" t="s">
        <v>1157</v>
      </c>
      <c r="L53" t="s">
        <v>1157</v>
      </c>
      <c r="M53" t="s">
        <v>1157</v>
      </c>
      <c r="N53" t="s">
        <v>1157</v>
      </c>
      <c r="O53" t="s">
        <v>1157</v>
      </c>
      <c r="P53" t="s">
        <v>1157</v>
      </c>
      <c r="Q53" t="s">
        <v>1157</v>
      </c>
      <c r="R53" t="s">
        <v>1157</v>
      </c>
      <c r="S53" t="s">
        <v>1157</v>
      </c>
      <c r="T53" t="s">
        <v>1157</v>
      </c>
      <c r="U53" t="s">
        <v>1157</v>
      </c>
      <c r="V53" t="s">
        <v>1157</v>
      </c>
      <c r="W53" t="s">
        <v>1157</v>
      </c>
      <c r="X53" t="s">
        <v>1157</v>
      </c>
      <c r="Z53" s="32"/>
    </row>
    <row r="54" spans="2:26">
      <c r="B54" s="561">
        <v>0.159</v>
      </c>
      <c r="C54">
        <v>1.26E-4</v>
      </c>
      <c r="D54">
        <v>1.01E-4</v>
      </c>
      <c r="E54">
        <v>9.2399999999999996E-5</v>
      </c>
      <c r="F54">
        <v>8.4999999999999993E-5</v>
      </c>
      <c r="G54">
        <v>7.8700000000000002E-5</v>
      </c>
      <c r="H54">
        <v>7.3299999999999993E-5</v>
      </c>
      <c r="I54">
        <v>6.8599999999999987E-5</v>
      </c>
      <c r="J54">
        <v>6.4599999999999998E-5</v>
      </c>
      <c r="K54" t="s">
        <v>1157</v>
      </c>
      <c r="L54" t="s">
        <v>1157</v>
      </c>
      <c r="M54" t="s">
        <v>1157</v>
      </c>
      <c r="N54" t="s">
        <v>1157</v>
      </c>
      <c r="O54" t="s">
        <v>1157</v>
      </c>
      <c r="P54" t="s">
        <v>1157</v>
      </c>
      <c r="Q54" t="s">
        <v>1157</v>
      </c>
      <c r="R54" t="s">
        <v>1157</v>
      </c>
      <c r="S54" t="s">
        <v>1157</v>
      </c>
      <c r="T54" t="s">
        <v>1157</v>
      </c>
      <c r="U54" t="s">
        <v>1157</v>
      </c>
      <c r="V54" t="s">
        <v>1157</v>
      </c>
      <c r="W54" t="s">
        <v>1157</v>
      </c>
      <c r="X54" t="s">
        <v>1157</v>
      </c>
    </row>
    <row r="55" spans="2:26">
      <c r="B55" s="561">
        <v>0.16800000000000001</v>
      </c>
      <c r="C55">
        <v>1.1899999999999999E-4</v>
      </c>
      <c r="D55">
        <v>9.5699999999999995E-5</v>
      </c>
      <c r="E55">
        <v>8.7299999999999994E-5</v>
      </c>
      <c r="F55">
        <v>8.0199999999999998E-5</v>
      </c>
      <c r="G55">
        <v>7.429999999999999E-5</v>
      </c>
      <c r="H55">
        <v>6.9200000000000002E-5</v>
      </c>
      <c r="I55">
        <v>6.4799999999999989E-5</v>
      </c>
      <c r="J55">
        <v>6.0899999999999996E-5</v>
      </c>
      <c r="K55" t="s">
        <v>1157</v>
      </c>
      <c r="L55" t="s">
        <v>1157</v>
      </c>
      <c r="M55" t="s">
        <v>1157</v>
      </c>
      <c r="N55" t="s">
        <v>1157</v>
      </c>
      <c r="O55" t="s">
        <v>1157</v>
      </c>
      <c r="P55" t="s">
        <v>1157</v>
      </c>
      <c r="Q55" t="s">
        <v>1157</v>
      </c>
      <c r="R55" t="s">
        <v>1157</v>
      </c>
      <c r="S55" t="s">
        <v>1157</v>
      </c>
      <c r="T55" t="s">
        <v>1157</v>
      </c>
      <c r="U55" t="s">
        <v>1157</v>
      </c>
      <c r="V55" t="s">
        <v>1157</v>
      </c>
      <c r="W55" t="s">
        <v>1157</v>
      </c>
      <c r="X55" t="s">
        <v>1157</v>
      </c>
    </row>
    <row r="56" spans="2:26">
      <c r="B56" s="561">
        <v>0.18</v>
      </c>
      <c r="C56">
        <v>1.11E-4</v>
      </c>
      <c r="D56">
        <v>8.9099999999999984E-5</v>
      </c>
      <c r="E56">
        <v>8.1299999999999997E-5</v>
      </c>
      <c r="F56">
        <v>7.47E-5</v>
      </c>
      <c r="G56">
        <v>6.9200000000000002E-5</v>
      </c>
      <c r="H56">
        <v>6.4400000000000007E-5</v>
      </c>
      <c r="I56">
        <v>6.0299999999999995E-5</v>
      </c>
      <c r="J56">
        <v>5.6700000000000003E-5</v>
      </c>
      <c r="K56" t="s">
        <v>1157</v>
      </c>
      <c r="L56" t="s">
        <v>1157</v>
      </c>
      <c r="M56" t="s">
        <v>1157</v>
      </c>
      <c r="N56" t="s">
        <v>1157</v>
      </c>
      <c r="O56" t="s">
        <v>1157</v>
      </c>
      <c r="P56" t="s">
        <v>1157</v>
      </c>
      <c r="Q56" t="s">
        <v>1157</v>
      </c>
      <c r="R56" t="s">
        <v>1157</v>
      </c>
      <c r="S56" t="s">
        <v>1157</v>
      </c>
      <c r="T56" t="s">
        <v>1157</v>
      </c>
      <c r="U56" t="s">
        <v>1157</v>
      </c>
      <c r="V56" t="s">
        <v>1157</v>
      </c>
      <c r="W56" t="s">
        <v>1157</v>
      </c>
      <c r="X56" t="s">
        <v>1157</v>
      </c>
      <c r="Z56" s="48"/>
    </row>
    <row r="57" spans="2:26">
      <c r="B57" s="561">
        <v>0.19400000000000001</v>
      </c>
      <c r="C57">
        <v>1.03E-4</v>
      </c>
      <c r="D57">
        <v>8.25E-5</v>
      </c>
      <c r="E57">
        <v>7.5199999999999998E-5</v>
      </c>
      <c r="F57">
        <v>6.9099999999999986E-5</v>
      </c>
      <c r="G57">
        <v>6.3999999999999997E-5</v>
      </c>
      <c r="H57">
        <v>5.9599999999999999E-5</v>
      </c>
      <c r="I57">
        <v>5.5799999999999994E-5</v>
      </c>
      <c r="J57">
        <v>5.2399999999999993E-5</v>
      </c>
      <c r="K57" t="s">
        <v>1157</v>
      </c>
      <c r="L57" t="s">
        <v>1157</v>
      </c>
      <c r="M57" t="s">
        <v>1157</v>
      </c>
      <c r="N57" t="s">
        <v>1157</v>
      </c>
      <c r="O57" t="s">
        <v>1157</v>
      </c>
      <c r="P57" t="s">
        <v>1157</v>
      </c>
      <c r="Q57" t="s">
        <v>1157</v>
      </c>
      <c r="R57" t="s">
        <v>1157</v>
      </c>
      <c r="S57" t="s">
        <v>1157</v>
      </c>
      <c r="T57" t="s">
        <v>1157</v>
      </c>
      <c r="U57" t="s">
        <v>1157</v>
      </c>
      <c r="V57" t="s">
        <v>1157</v>
      </c>
      <c r="W57" t="s">
        <v>1157</v>
      </c>
      <c r="X57" t="s">
        <v>1157</v>
      </c>
    </row>
    <row r="58" spans="2:26">
      <c r="B58" s="561">
        <v>0.219</v>
      </c>
      <c r="C58">
        <v>9.0699999999999996E-5</v>
      </c>
      <c r="D58">
        <v>7.2899999999999997E-5</v>
      </c>
      <c r="E58">
        <v>6.6400000000000001E-5</v>
      </c>
      <c r="F58">
        <v>6.0999999999999999E-5</v>
      </c>
      <c r="G58">
        <v>5.6499999999999998E-5</v>
      </c>
      <c r="H58">
        <v>5.2599999999999998E-5</v>
      </c>
      <c r="I58">
        <v>4.9200000000000003E-5</v>
      </c>
      <c r="J58">
        <v>4.6199999999999998E-5</v>
      </c>
      <c r="K58" t="s">
        <v>1157</v>
      </c>
      <c r="L58" t="s">
        <v>1157</v>
      </c>
      <c r="M58" t="s">
        <v>1157</v>
      </c>
      <c r="N58" t="s">
        <v>1157</v>
      </c>
      <c r="O58" t="s">
        <v>1157</v>
      </c>
      <c r="P58" t="s">
        <v>1157</v>
      </c>
      <c r="Q58" t="s">
        <v>1157</v>
      </c>
      <c r="R58" t="s">
        <v>1157</v>
      </c>
      <c r="S58" t="s">
        <v>1157</v>
      </c>
      <c r="T58" t="s">
        <v>1157</v>
      </c>
      <c r="U58" t="s">
        <v>1157</v>
      </c>
      <c r="V58" t="s">
        <v>1157</v>
      </c>
      <c r="W58" t="s">
        <v>1157</v>
      </c>
      <c r="X58" t="s">
        <v>1157</v>
      </c>
    </row>
    <row r="59" spans="2:26">
      <c r="B59" s="561">
        <v>0.245</v>
      </c>
      <c r="C59">
        <v>8.0900000000000001E-5</v>
      </c>
      <c r="D59">
        <v>6.4999999999999994E-5</v>
      </c>
      <c r="E59">
        <v>5.9200000000000002E-5</v>
      </c>
      <c r="F59">
        <v>5.4399999999999994E-5</v>
      </c>
      <c r="G59">
        <v>5.0299999999999996E-5</v>
      </c>
      <c r="H59">
        <v>4.6799999999999992E-5</v>
      </c>
      <c r="I59">
        <v>4.3799999999999994E-5</v>
      </c>
      <c r="J59">
        <v>4.1100000000000003E-5</v>
      </c>
      <c r="K59" t="s">
        <v>1157</v>
      </c>
      <c r="L59" t="s">
        <v>1157</v>
      </c>
      <c r="M59" t="s">
        <v>1157</v>
      </c>
      <c r="N59" t="s">
        <v>1157</v>
      </c>
      <c r="O59" t="s">
        <v>1157</v>
      </c>
      <c r="P59" t="s">
        <v>1157</v>
      </c>
      <c r="Q59" t="s">
        <v>1157</v>
      </c>
      <c r="R59" t="s">
        <v>1157</v>
      </c>
      <c r="S59" t="s">
        <v>1157</v>
      </c>
      <c r="T59" t="s">
        <v>1157</v>
      </c>
      <c r="U59" t="s">
        <v>1157</v>
      </c>
      <c r="V59" t="s">
        <v>1157</v>
      </c>
      <c r="W59" t="s">
        <v>1157</v>
      </c>
      <c r="X59" t="s">
        <v>1157</v>
      </c>
    </row>
    <row r="60" spans="2:26">
      <c r="B60" s="561">
        <v>0.27300000000000002</v>
      </c>
      <c r="C60">
        <v>7.25E-5</v>
      </c>
      <c r="D60">
        <v>5.8199999999999998E-5</v>
      </c>
      <c r="E60">
        <v>5.3000000000000001E-5</v>
      </c>
      <c r="F60">
        <v>4.8699999999999998E-5</v>
      </c>
      <c r="G60">
        <v>4.4999999999999996E-5</v>
      </c>
      <c r="H60">
        <v>4.1899999999999995E-5</v>
      </c>
      <c r="I60">
        <v>3.9200000000000004E-5</v>
      </c>
      <c r="J60">
        <v>3.6799999999999993E-5</v>
      </c>
      <c r="K60" t="s">
        <v>1157</v>
      </c>
      <c r="L60" t="s">
        <v>1157</v>
      </c>
      <c r="M60" t="s">
        <v>1157</v>
      </c>
      <c r="N60" t="s">
        <v>1157</v>
      </c>
      <c r="O60" t="s">
        <v>1157</v>
      </c>
      <c r="P60" t="s">
        <v>1157</v>
      </c>
      <c r="Q60" t="s">
        <v>1157</v>
      </c>
      <c r="R60" t="s">
        <v>1157</v>
      </c>
      <c r="S60" t="s">
        <v>1157</v>
      </c>
      <c r="T60" t="s">
        <v>1157</v>
      </c>
      <c r="U60" t="s">
        <v>1157</v>
      </c>
      <c r="V60" t="s">
        <v>1157</v>
      </c>
      <c r="W60" t="s">
        <v>1157</v>
      </c>
      <c r="X60" t="s">
        <v>1157</v>
      </c>
    </row>
    <row r="61" spans="2:26">
      <c r="B61" s="561">
        <v>0.29899999999999999</v>
      </c>
      <c r="C61">
        <v>6.6099999999999994E-5</v>
      </c>
      <c r="D61">
        <v>5.3099999999999996E-5</v>
      </c>
      <c r="E61">
        <v>4.8299999999999995E-5</v>
      </c>
      <c r="F61">
        <v>4.4399999999999995E-5</v>
      </c>
      <c r="G61">
        <v>4.1E-5</v>
      </c>
      <c r="H61">
        <v>3.82E-5</v>
      </c>
      <c r="I61">
        <v>3.57E-5</v>
      </c>
      <c r="J61">
        <v>3.3500000000000001E-5</v>
      </c>
      <c r="K61" t="s">
        <v>1157</v>
      </c>
      <c r="L61" t="s">
        <v>1157</v>
      </c>
      <c r="M61" t="s">
        <v>1157</v>
      </c>
      <c r="N61" t="s">
        <v>1157</v>
      </c>
      <c r="O61" t="s">
        <v>1157</v>
      </c>
      <c r="P61" t="s">
        <v>1157</v>
      </c>
      <c r="Q61" t="s">
        <v>1157</v>
      </c>
      <c r="R61" t="s">
        <v>1157</v>
      </c>
      <c r="S61" t="s">
        <v>1157</v>
      </c>
      <c r="T61" t="s">
        <v>1157</v>
      </c>
      <c r="U61" t="s">
        <v>1157</v>
      </c>
      <c r="V61" t="s">
        <v>1157</v>
      </c>
      <c r="W61" t="s">
        <v>1157</v>
      </c>
      <c r="X61" t="s">
        <v>1157</v>
      </c>
    </row>
    <row r="62" spans="2:26">
      <c r="B62" s="561">
        <v>0.32500000000000001</v>
      </c>
      <c r="C62">
        <v>6.0699999999999998E-5</v>
      </c>
      <c r="D62">
        <v>4.8699999999999998E-5</v>
      </c>
      <c r="E62">
        <v>4.4399999999999995E-5</v>
      </c>
      <c r="F62">
        <v>4.07E-5</v>
      </c>
      <c r="G62">
        <v>3.7700000000000002E-5</v>
      </c>
      <c r="H62">
        <v>3.4999999999999997E-5</v>
      </c>
      <c r="I62">
        <v>3.2799999999999998E-5</v>
      </c>
      <c r="J62">
        <v>3.0799999999999996E-5</v>
      </c>
      <c r="K62" t="s">
        <v>1157</v>
      </c>
      <c r="L62" t="s">
        <v>1157</v>
      </c>
      <c r="M62" t="s">
        <v>1157</v>
      </c>
      <c r="N62" t="s">
        <v>1157</v>
      </c>
      <c r="O62" t="s">
        <v>1157</v>
      </c>
      <c r="P62" t="s">
        <v>1157</v>
      </c>
      <c r="Q62" t="s">
        <v>1157</v>
      </c>
      <c r="R62" t="s">
        <v>1157</v>
      </c>
      <c r="S62" t="s">
        <v>1157</v>
      </c>
      <c r="T62" t="s">
        <v>1157</v>
      </c>
      <c r="U62" t="s">
        <v>1157</v>
      </c>
      <c r="V62" t="s">
        <v>1157</v>
      </c>
      <c r="W62" t="s">
        <v>1157</v>
      </c>
      <c r="X62" t="s">
        <v>1157</v>
      </c>
    </row>
    <row r="63" spans="2:26">
      <c r="B63" s="561">
        <v>0.377</v>
      </c>
      <c r="C63">
        <v>5.2299999999999997E-5</v>
      </c>
      <c r="D63">
        <v>4.1899999999999995E-5</v>
      </c>
      <c r="E63">
        <v>3.82E-5</v>
      </c>
      <c r="F63">
        <v>3.4999999999999997E-5</v>
      </c>
      <c r="G63">
        <v>3.2399999999999995E-5</v>
      </c>
      <c r="H63">
        <v>3.01E-5</v>
      </c>
      <c r="I63">
        <v>2.8099999999999999E-5</v>
      </c>
      <c r="J63">
        <v>2.6399999999999998E-5</v>
      </c>
      <c r="K63">
        <v>2.4899999999999999E-5</v>
      </c>
      <c r="L63" t="s">
        <v>1157</v>
      </c>
      <c r="M63" t="s">
        <v>1157</v>
      </c>
      <c r="N63" t="s">
        <v>1157</v>
      </c>
      <c r="O63" t="s">
        <v>1157</v>
      </c>
      <c r="P63" t="s">
        <v>1157</v>
      </c>
      <c r="Q63" t="s">
        <v>1157</v>
      </c>
      <c r="R63" t="s">
        <v>1157</v>
      </c>
      <c r="S63" t="s">
        <v>1157</v>
      </c>
      <c r="T63" t="s">
        <v>1157</v>
      </c>
      <c r="U63" t="s">
        <v>1157</v>
      </c>
      <c r="V63" t="s">
        <v>1157</v>
      </c>
      <c r="W63" t="s">
        <v>1157</v>
      </c>
      <c r="X63" t="s">
        <v>1157</v>
      </c>
    </row>
    <row r="64" spans="2:26">
      <c r="B64" s="561">
        <v>0.42599999999999999</v>
      </c>
      <c r="C64">
        <v>4.6199999999999998E-5</v>
      </c>
      <c r="D64">
        <v>3.6999999999999998E-5</v>
      </c>
      <c r="E64">
        <v>3.3699999999999999E-5</v>
      </c>
      <c r="F64">
        <v>3.0899999999999999E-5</v>
      </c>
      <c r="G64">
        <v>2.8600000000000001E-5</v>
      </c>
      <c r="H64">
        <v>2.6599999999999999E-5</v>
      </c>
      <c r="I64">
        <v>2.48E-5</v>
      </c>
      <c r="J64">
        <v>2.3300000000000001E-5</v>
      </c>
      <c r="K64">
        <v>2.1999999999999999E-5</v>
      </c>
      <c r="L64">
        <v>2.0800000000000001E-5</v>
      </c>
      <c r="M64" t="s">
        <v>1157</v>
      </c>
      <c r="N64" t="s">
        <v>1157</v>
      </c>
      <c r="O64" t="s">
        <v>1157</v>
      </c>
      <c r="P64" t="s">
        <v>1157</v>
      </c>
      <c r="Q64" t="s">
        <v>1157</v>
      </c>
      <c r="R64" t="s">
        <v>1157</v>
      </c>
      <c r="S64" t="s">
        <v>1157</v>
      </c>
      <c r="T64" t="s">
        <v>1157</v>
      </c>
      <c r="U64" t="s">
        <v>1157</v>
      </c>
      <c r="V64" t="s">
        <v>1157</v>
      </c>
      <c r="W64" t="s">
        <v>1157</v>
      </c>
      <c r="X64" t="s">
        <v>1157</v>
      </c>
    </row>
    <row r="65" spans="1:86" ht="23">
      <c r="B65" s="561">
        <v>0.53</v>
      </c>
      <c r="C65" t="s">
        <v>1157</v>
      </c>
      <c r="D65">
        <v>2.9699999999999997E-5</v>
      </c>
      <c r="E65">
        <v>2.6999999999999999E-5</v>
      </c>
      <c r="F65">
        <v>2.48E-5</v>
      </c>
      <c r="G65">
        <v>2.2899999999999998E-5</v>
      </c>
      <c r="H65">
        <v>2.1299999999999999E-5</v>
      </c>
      <c r="I65">
        <v>1.9899999999999999E-5</v>
      </c>
      <c r="J65">
        <v>1.8699999999999997E-5</v>
      </c>
      <c r="K65">
        <v>1.7600000000000001E-5</v>
      </c>
      <c r="L65">
        <v>1.66E-5</v>
      </c>
      <c r="M65" t="s">
        <v>1157</v>
      </c>
      <c r="N65" t="s">
        <v>1157</v>
      </c>
      <c r="O65" t="s">
        <v>1157</v>
      </c>
      <c r="P65" t="s">
        <v>1157</v>
      </c>
      <c r="Q65" t="s">
        <v>1157</v>
      </c>
      <c r="R65" t="s">
        <v>1157</v>
      </c>
      <c r="S65" t="s">
        <v>1157</v>
      </c>
      <c r="T65" t="s">
        <v>1157</v>
      </c>
      <c r="U65" t="s">
        <v>1157</v>
      </c>
      <c r="V65" t="s">
        <v>1157</v>
      </c>
      <c r="W65" t="s">
        <v>1157</v>
      </c>
      <c r="X65" t="s">
        <v>1157</v>
      </c>
      <c r="AB65" s="150"/>
    </row>
    <row r="66" spans="1:86">
      <c r="B66" s="561">
        <v>0.72</v>
      </c>
      <c r="C66" t="s">
        <v>1157</v>
      </c>
      <c r="D66" t="s">
        <v>1157</v>
      </c>
      <c r="E66" t="s">
        <v>1157</v>
      </c>
      <c r="F66" t="s">
        <v>1157</v>
      </c>
      <c r="G66">
        <v>1.6799999999999998E-5</v>
      </c>
      <c r="H66">
        <v>1.56E-5</v>
      </c>
      <c r="I66">
        <v>1.4599999999999999E-5</v>
      </c>
      <c r="J66">
        <v>1.3699999999999999E-5</v>
      </c>
      <c r="K66">
        <v>1.29E-5</v>
      </c>
      <c r="L66">
        <v>1.2199999999999998E-5</v>
      </c>
      <c r="M66">
        <v>1.1599999999999999E-5</v>
      </c>
      <c r="N66">
        <v>1.1E-5</v>
      </c>
      <c r="O66">
        <v>1.0499999999999999E-5</v>
      </c>
      <c r="P66">
        <v>9.9999999999999991E-6</v>
      </c>
      <c r="Q66" t="s">
        <v>1157</v>
      </c>
      <c r="R66" t="s">
        <v>1157</v>
      </c>
      <c r="S66" t="s">
        <v>1157</v>
      </c>
      <c r="T66" t="s">
        <v>1157</v>
      </c>
      <c r="U66" t="s">
        <v>1157</v>
      </c>
      <c r="V66" t="s">
        <v>1157</v>
      </c>
      <c r="W66" t="s">
        <v>1157</v>
      </c>
      <c r="X66" t="s">
        <v>1157</v>
      </c>
    </row>
    <row r="67" spans="1:86">
      <c r="B67" s="561">
        <v>0.82</v>
      </c>
      <c r="C67" t="s">
        <v>1157</v>
      </c>
      <c r="D67" t="s">
        <v>1157</v>
      </c>
      <c r="E67" t="s">
        <v>1157</v>
      </c>
      <c r="F67" t="s">
        <v>1157</v>
      </c>
      <c r="G67" t="s">
        <v>1157</v>
      </c>
      <c r="H67" t="s">
        <v>1157</v>
      </c>
      <c r="I67">
        <v>1.2799999999999999E-5</v>
      </c>
      <c r="J67">
        <v>1.2E-5</v>
      </c>
      <c r="K67">
        <v>1.13E-5</v>
      </c>
      <c r="L67">
        <v>1.0699999999999999E-5</v>
      </c>
      <c r="M67">
        <v>1.01E-5</v>
      </c>
      <c r="N67">
        <v>9.630000000000001E-6</v>
      </c>
      <c r="O67">
        <v>9.1799999999999985E-6</v>
      </c>
      <c r="P67">
        <v>8.7599999999999991E-6</v>
      </c>
      <c r="Q67">
        <v>8.390000000000001E-6</v>
      </c>
      <c r="R67" t="s">
        <v>1157</v>
      </c>
      <c r="S67" t="s">
        <v>1157</v>
      </c>
      <c r="T67" t="s">
        <v>1157</v>
      </c>
      <c r="U67" t="s">
        <v>1157</v>
      </c>
      <c r="V67" t="s">
        <v>1157</v>
      </c>
      <c r="W67" t="s">
        <v>1157</v>
      </c>
      <c r="X67" t="s">
        <v>1157</v>
      </c>
    </row>
    <row r="68" spans="1:86">
      <c r="B68" s="561">
        <v>1.02</v>
      </c>
      <c r="C68" t="s">
        <v>1157</v>
      </c>
      <c r="D68" t="s">
        <v>1157</v>
      </c>
      <c r="E68" t="s">
        <v>1157</v>
      </c>
      <c r="F68" t="s">
        <v>1157</v>
      </c>
      <c r="G68" t="s">
        <v>1157</v>
      </c>
      <c r="H68" t="s">
        <v>1157</v>
      </c>
      <c r="I68" t="s">
        <v>1157</v>
      </c>
      <c r="J68" t="s">
        <v>1157</v>
      </c>
      <c r="K68" t="s">
        <v>1157</v>
      </c>
      <c r="L68">
        <v>8.5699999999999993E-6</v>
      </c>
      <c r="M68">
        <v>8.1199999999999985E-6</v>
      </c>
      <c r="N68">
        <v>7.7199999999999989E-6</v>
      </c>
      <c r="O68">
        <v>7.3599999999999998E-6</v>
      </c>
      <c r="P68">
        <v>7.0299999999999996E-6</v>
      </c>
      <c r="Q68">
        <v>6.7199999999999992E-6</v>
      </c>
      <c r="R68">
        <v>6.4500000000000001E-6</v>
      </c>
      <c r="S68">
        <v>6.19E-6</v>
      </c>
      <c r="T68">
        <v>5.5399999999999995E-6</v>
      </c>
      <c r="U68">
        <v>5.1699999999999996E-6</v>
      </c>
      <c r="V68">
        <v>4.8499999999999993E-6</v>
      </c>
      <c r="W68">
        <v>4.5700000000000003E-6</v>
      </c>
      <c r="X68" t="s">
        <v>1157</v>
      </c>
    </row>
    <row r="69" spans="1:86">
      <c r="B69" s="561">
        <v>1.22</v>
      </c>
      <c r="C69" t="s">
        <v>1157</v>
      </c>
      <c r="D69" t="s">
        <v>1157</v>
      </c>
      <c r="E69" t="s">
        <v>1157</v>
      </c>
      <c r="F69" t="s">
        <v>1157</v>
      </c>
      <c r="G69" t="s">
        <v>1157</v>
      </c>
      <c r="H69" t="s">
        <v>1157</v>
      </c>
      <c r="I69" t="s">
        <v>1157</v>
      </c>
      <c r="J69" t="s">
        <v>1157</v>
      </c>
      <c r="K69" t="s">
        <v>1157</v>
      </c>
      <c r="L69" t="s">
        <v>1157</v>
      </c>
      <c r="M69" t="s">
        <v>1157</v>
      </c>
      <c r="N69" t="s">
        <v>1157</v>
      </c>
      <c r="O69" t="s">
        <v>1157</v>
      </c>
      <c r="P69">
        <v>5.8599999999999998E-6</v>
      </c>
      <c r="Q69">
        <v>5.6099999999999997E-6</v>
      </c>
      <c r="R69">
        <v>5.3799999999999993E-6</v>
      </c>
      <c r="S69">
        <v>5.1699999999999996E-6</v>
      </c>
      <c r="T69">
        <v>4.6199999999999998E-6</v>
      </c>
      <c r="U69">
        <v>4.3099999999999994E-6</v>
      </c>
      <c r="V69">
        <v>4.0499999999999993E-6</v>
      </c>
      <c r="W69">
        <v>3.8099999999999999E-6</v>
      </c>
      <c r="X69">
        <v>3.2499999999999998E-6</v>
      </c>
    </row>
    <row r="70" spans="1:86">
      <c r="B70" s="561">
        <v>1.42</v>
      </c>
      <c r="C70" t="s">
        <v>1157</v>
      </c>
      <c r="D70" t="s">
        <v>1157</v>
      </c>
      <c r="E70" t="s">
        <v>1157</v>
      </c>
      <c r="F70" t="s">
        <v>1157</v>
      </c>
      <c r="G70" t="s">
        <v>1157</v>
      </c>
      <c r="H70" t="s">
        <v>1157</v>
      </c>
      <c r="I70" t="s">
        <v>1157</v>
      </c>
      <c r="J70" t="s">
        <v>1157</v>
      </c>
      <c r="K70" t="s">
        <v>1157</v>
      </c>
      <c r="L70" t="s">
        <v>1157</v>
      </c>
      <c r="M70" t="s">
        <v>1157</v>
      </c>
      <c r="N70" t="s">
        <v>1157</v>
      </c>
      <c r="O70" t="s">
        <v>1157</v>
      </c>
      <c r="P70" t="s">
        <v>1157</v>
      </c>
      <c r="Q70" t="s">
        <v>1157</v>
      </c>
      <c r="R70" t="s">
        <v>1157</v>
      </c>
      <c r="S70" t="s">
        <v>1157</v>
      </c>
      <c r="T70">
        <v>3.9600000000000002E-6</v>
      </c>
      <c r="U70">
        <v>3.7000000000000002E-6</v>
      </c>
      <c r="V70">
        <v>3.4700000000000002E-6</v>
      </c>
      <c r="W70">
        <v>3.27E-6</v>
      </c>
      <c r="X70">
        <v>2.79E-6</v>
      </c>
    </row>
    <row r="71" spans="1:86">
      <c r="B71" s="561">
        <v>1.62</v>
      </c>
      <c r="C71" t="s">
        <v>1157</v>
      </c>
      <c r="D71" t="s">
        <v>1157</v>
      </c>
      <c r="E71" t="s">
        <v>1157</v>
      </c>
      <c r="F71" t="s">
        <v>1157</v>
      </c>
      <c r="G71" t="s">
        <v>1157</v>
      </c>
      <c r="H71" t="s">
        <v>1157</v>
      </c>
      <c r="I71" t="s">
        <v>1157</v>
      </c>
      <c r="J71" t="s">
        <v>1157</v>
      </c>
      <c r="K71" t="s">
        <v>1157</v>
      </c>
      <c r="L71" t="s">
        <v>1157</v>
      </c>
      <c r="M71" t="s">
        <v>1157</v>
      </c>
      <c r="N71" t="s">
        <v>1157</v>
      </c>
      <c r="O71" t="s">
        <v>1157</v>
      </c>
      <c r="P71" t="s">
        <v>1157</v>
      </c>
      <c r="Q71" t="s">
        <v>1157</v>
      </c>
      <c r="R71" t="s">
        <v>1157</v>
      </c>
      <c r="S71" t="s">
        <v>1157</v>
      </c>
      <c r="T71">
        <v>3.4700000000000002E-6</v>
      </c>
      <c r="U71">
        <v>3.2399999999999999E-6</v>
      </c>
      <c r="V71">
        <v>3.0399999999999997E-6</v>
      </c>
      <c r="W71">
        <v>2.8599999999999997E-6</v>
      </c>
      <c r="X71">
        <v>2.4399999999999999E-6</v>
      </c>
    </row>
    <row r="73" spans="1:86">
      <c r="A73" s="564"/>
    </row>
    <row r="75" spans="1:86" s="2" customFormat="1">
      <c r="A75" s="41" t="s">
        <v>49</v>
      </c>
      <c r="B75" s="38"/>
      <c r="C75"/>
      <c r="D75"/>
      <c r="E75"/>
      <c r="F75"/>
      <c r="G75"/>
      <c r="H75"/>
      <c r="I75"/>
      <c r="J75"/>
      <c r="K75"/>
      <c r="L75"/>
      <c r="M75"/>
      <c r="N75"/>
      <c r="O75"/>
      <c r="P75"/>
      <c r="Q75"/>
      <c r="R75"/>
      <c r="S75"/>
      <c r="T75"/>
      <c r="U75"/>
      <c r="V75"/>
      <c r="W75"/>
      <c r="X75"/>
      <c r="Y75" s="33"/>
      <c r="Z75" s="33"/>
      <c r="AA75"/>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33"/>
      <c r="CA75" s="33"/>
      <c r="CB75" s="33"/>
      <c r="CC75" s="33"/>
      <c r="CD75" s="33"/>
      <c r="CE75" s="33"/>
      <c r="CF75" s="33"/>
      <c r="CG75" s="33"/>
      <c r="CH75" s="33"/>
    </row>
    <row r="76" spans="1:86" s="2" customFormat="1">
      <c r="A76" s="40"/>
      <c r="B76" s="35" t="s">
        <v>21</v>
      </c>
      <c r="C76"/>
      <c r="D76"/>
      <c r="E76"/>
      <c r="F76"/>
      <c r="G76"/>
      <c r="H76"/>
      <c r="I76"/>
      <c r="J76"/>
      <c r="K76"/>
      <c r="L76"/>
      <c r="M76"/>
      <c r="N76"/>
      <c r="O76"/>
      <c r="P76"/>
      <c r="Q76"/>
      <c r="R76"/>
      <c r="S76"/>
      <c r="T76"/>
      <c r="U76"/>
      <c r="V76"/>
      <c r="W76"/>
      <c r="X76"/>
      <c r="Y76" s="33"/>
      <c r="Z76" s="33"/>
      <c r="AA76"/>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33"/>
      <c r="CA76" s="33"/>
      <c r="CB76" s="33"/>
      <c r="CC76" s="33"/>
      <c r="CD76" s="33"/>
      <c r="CE76" s="33"/>
      <c r="CF76" s="33"/>
      <c r="CG76" s="33"/>
      <c r="CH76" s="33"/>
    </row>
    <row r="77" spans="1:86" s="2" customFormat="1">
      <c r="A77" s="40"/>
      <c r="B77" s="35" t="s">
        <v>22</v>
      </c>
      <c r="C77"/>
      <c r="D77"/>
      <c r="E77"/>
      <c r="F77"/>
      <c r="G77"/>
      <c r="H77"/>
      <c r="I77"/>
      <c r="J77"/>
      <c r="K77"/>
      <c r="L77"/>
      <c r="M77"/>
      <c r="N77"/>
      <c r="O77"/>
      <c r="P77"/>
      <c r="Q77"/>
      <c r="R77"/>
      <c r="S77"/>
      <c r="T77"/>
      <c r="U77"/>
      <c r="V77"/>
      <c r="W77"/>
      <c r="X77"/>
      <c r="Y77" s="33"/>
      <c r="Z77" s="33"/>
      <c r="AA77"/>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33"/>
      <c r="CA77" s="33"/>
      <c r="CB77" s="33"/>
      <c r="CC77" s="33"/>
      <c r="CD77" s="33"/>
      <c r="CE77" s="33"/>
      <c r="CF77" s="33"/>
      <c r="CG77" s="33"/>
      <c r="CH77" s="33"/>
    </row>
    <row r="78" spans="1:86" s="2" customFormat="1">
      <c r="A78" s="40"/>
      <c r="B78" s="35" t="s">
        <v>23</v>
      </c>
      <c r="C78"/>
      <c r="D78"/>
      <c r="E78"/>
      <c r="F78"/>
      <c r="G78"/>
      <c r="H78"/>
      <c r="I78"/>
      <c r="J78"/>
      <c r="K78"/>
      <c r="L78"/>
      <c r="M78"/>
      <c r="N78"/>
      <c r="O78"/>
      <c r="P78"/>
      <c r="Q78"/>
      <c r="R78"/>
      <c r="S78"/>
      <c r="T78"/>
      <c r="U78"/>
      <c r="V78"/>
      <c r="W78"/>
      <c r="X78"/>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33"/>
      <c r="CA78" s="33"/>
      <c r="CB78" s="33"/>
      <c r="CC78" s="33"/>
      <c r="CD78" s="33"/>
      <c r="CE78" s="33"/>
      <c r="CF78" s="33"/>
      <c r="CG78" s="33"/>
      <c r="CH78" s="33"/>
    </row>
    <row r="79" spans="1:86" s="2" customFormat="1">
      <c r="A79" s="40"/>
      <c r="B79" s="35" t="s">
        <v>24</v>
      </c>
      <c r="C79"/>
      <c r="D79"/>
      <c r="E79"/>
      <c r="F79"/>
      <c r="G79"/>
      <c r="H79"/>
      <c r="I79"/>
      <c r="J79"/>
      <c r="K79"/>
      <c r="L79"/>
      <c r="M79"/>
      <c r="N79"/>
      <c r="O79"/>
      <c r="P79"/>
      <c r="Q79"/>
      <c r="R79"/>
      <c r="S79"/>
      <c r="T79"/>
      <c r="U79"/>
      <c r="V79"/>
      <c r="W79"/>
      <c r="X79"/>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33"/>
      <c r="CA79" s="33"/>
      <c r="CB79" s="33"/>
      <c r="CC79" s="33"/>
      <c r="CD79" s="33"/>
      <c r="CE79" s="33"/>
      <c r="CF79" s="33"/>
      <c r="CG79" s="33"/>
      <c r="CH79" s="33"/>
    </row>
    <row r="80" spans="1:86" s="2" customFormat="1">
      <c r="A80" s="40"/>
      <c r="B80" s="35" t="s">
        <v>25</v>
      </c>
      <c r="C80"/>
      <c r="D80"/>
      <c r="E80"/>
      <c r="F80"/>
      <c r="G80"/>
      <c r="H80"/>
      <c r="I80"/>
      <c r="J80"/>
      <c r="K80"/>
      <c r="L80"/>
      <c r="M80"/>
      <c r="N80"/>
      <c r="O80"/>
      <c r="P80"/>
      <c r="Q80"/>
      <c r="R80"/>
      <c r="S80"/>
      <c r="T80"/>
      <c r="U80"/>
      <c r="V80"/>
      <c r="W80"/>
      <c r="X80"/>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c r="BZ80" s="33"/>
      <c r="CA80" s="33"/>
      <c r="CB80" s="33"/>
      <c r="CC80" s="33"/>
      <c r="CD80" s="33"/>
      <c r="CE80" s="33"/>
      <c r="CF80" s="33"/>
      <c r="CG80" s="33"/>
      <c r="CH80" s="33"/>
    </row>
    <row r="81" spans="1:86" s="2" customFormat="1">
      <c r="A81" s="40"/>
      <c r="B81" s="35" t="s">
        <v>26</v>
      </c>
      <c r="C81"/>
      <c r="D81"/>
      <c r="E81"/>
      <c r="F81"/>
      <c r="G81"/>
      <c r="H81"/>
      <c r="I81"/>
      <c r="J81"/>
      <c r="K81"/>
      <c r="L81"/>
      <c r="M81"/>
      <c r="N81"/>
      <c r="O81"/>
      <c r="P81"/>
      <c r="Q81"/>
      <c r="R81"/>
      <c r="S81"/>
      <c r="T81"/>
      <c r="U81"/>
      <c r="V81"/>
      <c r="W81"/>
      <c r="X81"/>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33"/>
      <c r="CA81" s="33"/>
      <c r="CB81" s="33"/>
      <c r="CC81" s="33"/>
      <c r="CD81" s="33"/>
      <c r="CE81" s="33"/>
      <c r="CF81" s="33"/>
      <c r="CG81" s="33"/>
      <c r="CH81" s="33"/>
    </row>
    <row r="82" spans="1:86" s="2" customFormat="1">
      <c r="A82" s="40"/>
      <c r="B82" s="35" t="s">
        <v>27</v>
      </c>
      <c r="C82"/>
      <c r="D82"/>
      <c r="E82"/>
      <c r="F82"/>
      <c r="G82"/>
      <c r="H82"/>
      <c r="I82"/>
      <c r="J82"/>
      <c r="K82"/>
      <c r="L82"/>
      <c r="M82"/>
      <c r="N82"/>
      <c r="O82"/>
      <c r="P82"/>
      <c r="Q82"/>
      <c r="R82"/>
      <c r="S82"/>
      <c r="T82"/>
      <c r="U82"/>
      <c r="V82"/>
      <c r="W82"/>
      <c r="X82"/>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33"/>
      <c r="CA82" s="33"/>
      <c r="CB82" s="33"/>
      <c r="CC82" s="33"/>
      <c r="CD82" s="33"/>
      <c r="CE82" s="33"/>
      <c r="CF82" s="33"/>
      <c r="CG82" s="33"/>
      <c r="CH82" s="33"/>
    </row>
    <row r="83" spans="1:86" s="2" customFormat="1">
      <c r="A83" s="40"/>
      <c r="B83" s="35" t="s">
        <v>28</v>
      </c>
      <c r="C83"/>
      <c r="D83"/>
      <c r="E83"/>
      <c r="F83"/>
      <c r="G83"/>
      <c r="H83"/>
      <c r="I83"/>
      <c r="J83"/>
      <c r="K83"/>
      <c r="L83"/>
      <c r="M83"/>
      <c r="N83"/>
      <c r="O83"/>
      <c r="P83"/>
      <c r="Q83"/>
      <c r="R83"/>
      <c r="S83"/>
      <c r="T83"/>
      <c r="U83"/>
      <c r="V83"/>
      <c r="W83"/>
      <c r="X8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33"/>
      <c r="CA83" s="33"/>
      <c r="CB83" s="33"/>
      <c r="CC83" s="33"/>
      <c r="CD83" s="33"/>
      <c r="CE83" s="33"/>
      <c r="CF83" s="33"/>
      <c r="CG83" s="33"/>
      <c r="CH83" s="33"/>
    </row>
    <row r="84" spans="1:86" s="2" customFormat="1">
      <c r="A84" s="40"/>
      <c r="B84" s="35" t="s">
        <v>29</v>
      </c>
      <c r="C84"/>
      <c r="D84"/>
      <c r="E84"/>
      <c r="F84"/>
      <c r="G84"/>
      <c r="H84"/>
      <c r="I84"/>
      <c r="J84"/>
      <c r="K84"/>
      <c r="L84"/>
      <c r="M84"/>
      <c r="N84"/>
      <c r="O84"/>
      <c r="P84"/>
      <c r="Q84"/>
      <c r="R84"/>
      <c r="S84"/>
      <c r="T84"/>
      <c r="U84"/>
      <c r="V84"/>
      <c r="W84"/>
      <c r="X84"/>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33"/>
      <c r="CA84" s="33"/>
      <c r="CB84" s="33"/>
      <c r="CC84" s="33"/>
      <c r="CD84" s="33"/>
      <c r="CE84" s="33"/>
      <c r="CF84" s="33"/>
      <c r="CG84" s="33"/>
      <c r="CH84" s="33"/>
    </row>
    <row r="85" spans="1:86" s="2" customFormat="1">
      <c r="A85" s="40"/>
      <c r="B85" s="35" t="s">
        <v>30</v>
      </c>
      <c r="C85"/>
      <c r="D85"/>
      <c r="E85"/>
      <c r="F85"/>
      <c r="G85"/>
      <c r="H85"/>
      <c r="I85"/>
      <c r="J85"/>
      <c r="K85"/>
      <c r="L85"/>
      <c r="M85"/>
      <c r="N85"/>
      <c r="O85"/>
      <c r="P85"/>
      <c r="Q85"/>
      <c r="R85"/>
      <c r="S85"/>
      <c r="T85"/>
      <c r="U85"/>
      <c r="V85"/>
      <c r="W85"/>
      <c r="X85"/>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33"/>
      <c r="CA85" s="33"/>
      <c r="CB85" s="33"/>
      <c r="CC85" s="33"/>
      <c r="CD85" s="33"/>
      <c r="CE85" s="33"/>
      <c r="CF85" s="33"/>
      <c r="CG85" s="33"/>
      <c r="CH85" s="33"/>
    </row>
    <row r="86" spans="1:86" s="2" customFormat="1" ht="30">
      <c r="A86" s="40"/>
      <c r="B86" s="35" t="s">
        <v>31</v>
      </c>
      <c r="C86"/>
      <c r="D86"/>
      <c r="E86"/>
      <c r="F86"/>
      <c r="G86"/>
      <c r="H86"/>
      <c r="I86"/>
      <c r="J86"/>
      <c r="K86"/>
      <c r="L86"/>
      <c r="M86"/>
      <c r="N86"/>
      <c r="O86"/>
      <c r="P86"/>
      <c r="Q86"/>
      <c r="R86"/>
      <c r="S86"/>
      <c r="T86"/>
      <c r="U86"/>
      <c r="V86"/>
      <c r="W86"/>
      <c r="X86"/>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c r="BZ86" s="33"/>
      <c r="CA86" s="33"/>
      <c r="CB86" s="33"/>
      <c r="CC86" s="33"/>
      <c r="CD86" s="33"/>
      <c r="CE86" s="33"/>
      <c r="CF86" s="33"/>
      <c r="CG86" s="33"/>
      <c r="CH86" s="33"/>
    </row>
    <row r="87" spans="1:86" s="2" customFormat="1">
      <c r="A87" s="40"/>
      <c r="B87" s="35" t="s">
        <v>32</v>
      </c>
      <c r="C87"/>
      <c r="D87"/>
      <c r="E87"/>
      <c r="F87"/>
      <c r="G87"/>
      <c r="H87"/>
      <c r="I87"/>
      <c r="J87"/>
      <c r="K87"/>
      <c r="L87"/>
      <c r="M87"/>
      <c r="N87"/>
      <c r="O87"/>
      <c r="P87"/>
      <c r="Q87"/>
      <c r="R87"/>
      <c r="S87"/>
      <c r="T87"/>
      <c r="U87"/>
      <c r="V87"/>
      <c r="W87"/>
      <c r="X87"/>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33"/>
      <c r="CA87" s="33"/>
      <c r="CB87" s="33"/>
      <c r="CC87" s="33"/>
      <c r="CD87" s="33"/>
      <c r="CE87" s="33"/>
      <c r="CF87" s="33"/>
      <c r="CG87" s="33"/>
      <c r="CH87" s="33"/>
    </row>
    <row r="88" spans="1:86" s="2" customFormat="1">
      <c r="A88" s="40"/>
      <c r="B88" s="35" t="s">
        <v>33</v>
      </c>
      <c r="C88"/>
      <c r="D88"/>
      <c r="E88"/>
      <c r="F88"/>
      <c r="G88"/>
      <c r="H88"/>
      <c r="I88"/>
      <c r="J88"/>
      <c r="K88"/>
      <c r="L88"/>
      <c r="M88"/>
      <c r="N88"/>
      <c r="O88"/>
      <c r="P88"/>
      <c r="Q88"/>
      <c r="R88"/>
      <c r="S88"/>
      <c r="T88"/>
      <c r="U88"/>
      <c r="V88"/>
      <c r="W88"/>
      <c r="X88"/>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33"/>
      <c r="CA88" s="33"/>
      <c r="CB88" s="33"/>
      <c r="CC88" s="33"/>
      <c r="CD88" s="33"/>
      <c r="CE88" s="33"/>
      <c r="CF88" s="33"/>
      <c r="CG88" s="33"/>
      <c r="CH88" s="33"/>
    </row>
    <row r="89" spans="1:86" s="2" customFormat="1">
      <c r="A89" s="40"/>
      <c r="B89" s="35" t="s">
        <v>34</v>
      </c>
      <c r="C89"/>
      <c r="D89"/>
      <c r="E89"/>
      <c r="F89"/>
      <c r="G89"/>
      <c r="H89"/>
      <c r="I89"/>
      <c r="J89"/>
      <c r="K89"/>
      <c r="L89"/>
      <c r="M89"/>
      <c r="N89"/>
      <c r="O89"/>
      <c r="P89"/>
      <c r="Q89"/>
      <c r="R89"/>
      <c r="S89"/>
      <c r="T89"/>
      <c r="U89"/>
      <c r="V89"/>
      <c r="W89"/>
      <c r="X89"/>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33"/>
      <c r="CA89" s="33"/>
      <c r="CB89" s="33"/>
      <c r="CC89" s="33"/>
      <c r="CD89" s="33"/>
      <c r="CE89" s="33"/>
      <c r="CF89" s="33"/>
      <c r="CG89" s="33"/>
      <c r="CH89" s="33"/>
    </row>
    <row r="90" spans="1:86" s="2" customFormat="1">
      <c r="A90" s="40"/>
      <c r="B90" s="35" t="s">
        <v>35</v>
      </c>
      <c r="C90"/>
      <c r="D90"/>
      <c r="E90"/>
      <c r="F90"/>
      <c r="G90"/>
      <c r="H90"/>
      <c r="I90"/>
      <c r="J90"/>
      <c r="K90"/>
      <c r="L90"/>
      <c r="M90"/>
      <c r="N90"/>
      <c r="O90"/>
      <c r="P90"/>
      <c r="Q90"/>
      <c r="R90"/>
      <c r="S90"/>
      <c r="T90"/>
      <c r="U90"/>
      <c r="V90"/>
      <c r="W90"/>
      <c r="X90"/>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33"/>
      <c r="CA90" s="33"/>
      <c r="CB90" s="33"/>
      <c r="CC90" s="33"/>
      <c r="CD90" s="33"/>
      <c r="CE90" s="33"/>
      <c r="CF90" s="33"/>
      <c r="CG90" s="33"/>
      <c r="CH90" s="33"/>
    </row>
    <row r="91" spans="1:86" s="2" customFormat="1">
      <c r="A91" s="40"/>
      <c r="B91" s="35" t="s">
        <v>36</v>
      </c>
      <c r="C91"/>
      <c r="D91"/>
      <c r="E91"/>
      <c r="F91"/>
      <c r="G91"/>
      <c r="H91"/>
      <c r="I91"/>
      <c r="J91"/>
      <c r="K91"/>
      <c r="L91"/>
      <c r="M91"/>
      <c r="N91"/>
      <c r="O91"/>
      <c r="P91"/>
      <c r="Q91"/>
      <c r="R91"/>
      <c r="S91"/>
      <c r="T91"/>
      <c r="U91"/>
      <c r="V91"/>
      <c r="W91"/>
      <c r="X91"/>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33"/>
      <c r="CA91" s="33"/>
      <c r="CB91" s="33"/>
      <c r="CC91" s="33"/>
      <c r="CD91" s="33"/>
      <c r="CE91" s="33"/>
      <c r="CF91" s="33"/>
      <c r="CG91" s="33"/>
      <c r="CH91" s="33"/>
    </row>
    <row r="92" spans="1:86" s="2" customFormat="1">
      <c r="A92" s="40"/>
      <c r="B92" s="35" t="s">
        <v>37</v>
      </c>
      <c r="C92"/>
      <c r="D92"/>
      <c r="E92"/>
      <c r="F92"/>
      <c r="G92"/>
      <c r="H92"/>
      <c r="I92"/>
      <c r="J92"/>
      <c r="K92"/>
      <c r="L92"/>
      <c r="M92"/>
      <c r="N92"/>
      <c r="O92"/>
      <c r="P92"/>
      <c r="Q92"/>
      <c r="R92"/>
      <c r="S92"/>
      <c r="T92"/>
      <c r="U92"/>
      <c r="V92"/>
      <c r="W92"/>
      <c r="X92"/>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c r="BZ92" s="33"/>
      <c r="CA92" s="33"/>
      <c r="CB92" s="33"/>
      <c r="CC92" s="33"/>
      <c r="CD92" s="33"/>
      <c r="CE92" s="33"/>
      <c r="CF92" s="33"/>
      <c r="CG92" s="33"/>
      <c r="CH92" s="33"/>
    </row>
    <row r="93" spans="1:86" s="2" customFormat="1">
      <c r="A93" s="40"/>
      <c r="B93" s="35" t="s">
        <v>38</v>
      </c>
      <c r="C93"/>
      <c r="D93" s="33"/>
      <c r="E93" s="33"/>
      <c r="F93" s="33"/>
      <c r="G93" s="33"/>
      <c r="H93" s="39"/>
      <c r="I93" s="33"/>
      <c r="J93" s="34"/>
      <c r="K93" s="34"/>
      <c r="L93" s="34"/>
      <c r="M93" s="34"/>
      <c r="N93" s="34"/>
      <c r="O93" s="34"/>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33"/>
      <c r="CA93" s="33"/>
      <c r="CB93" s="33"/>
      <c r="CC93" s="33"/>
      <c r="CD93" s="33"/>
      <c r="CE93" s="33"/>
      <c r="CF93" s="33"/>
      <c r="CG93" s="33"/>
      <c r="CH93" s="33"/>
    </row>
    <row r="94" spans="1:86" s="2" customFormat="1">
      <c r="A94" s="40"/>
      <c r="B94" s="35" t="s">
        <v>39</v>
      </c>
      <c r="C94"/>
      <c r="D94" s="33"/>
      <c r="E94" s="33"/>
      <c r="F94" s="33"/>
      <c r="G94" s="33"/>
      <c r="H94" s="39"/>
      <c r="I94" s="33"/>
      <c r="J94" s="34"/>
      <c r="K94" s="34"/>
      <c r="L94" s="34"/>
      <c r="M94" s="34"/>
      <c r="N94" s="34"/>
      <c r="O94" s="34"/>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33"/>
      <c r="CA94" s="33"/>
      <c r="CB94" s="33"/>
      <c r="CC94" s="33"/>
      <c r="CD94" s="33"/>
      <c r="CE94" s="33"/>
      <c r="CF94" s="33"/>
      <c r="CG94" s="33"/>
      <c r="CH94" s="33"/>
    </row>
    <row r="95" spans="1:86" s="2" customFormat="1">
      <c r="A95" s="40"/>
      <c r="B95" s="35" t="s">
        <v>40</v>
      </c>
      <c r="C95"/>
      <c r="D95" s="33"/>
      <c r="E95" s="33"/>
      <c r="F95" s="33"/>
      <c r="G95" s="33"/>
      <c r="H95" s="39"/>
      <c r="I95" s="33"/>
      <c r="J95" s="34"/>
      <c r="K95" s="34"/>
      <c r="L95" s="34"/>
      <c r="M95" s="34"/>
      <c r="N95" s="34"/>
      <c r="O95" s="34"/>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33"/>
      <c r="CA95" s="33"/>
      <c r="CB95" s="33"/>
      <c r="CC95" s="33"/>
      <c r="CD95" s="33"/>
      <c r="CE95" s="33"/>
      <c r="CF95" s="33"/>
      <c r="CG95" s="33"/>
      <c r="CH95" s="33"/>
    </row>
    <row r="96" spans="1:86" s="2" customFormat="1">
      <c r="A96" s="40"/>
      <c r="B96" s="35" t="s">
        <v>41</v>
      </c>
      <c r="D96" s="33"/>
      <c r="E96" s="33"/>
      <c r="F96" s="33"/>
      <c r="G96" s="33"/>
      <c r="H96" s="39"/>
      <c r="I96" s="33"/>
      <c r="J96" s="34"/>
      <c r="K96" s="34"/>
      <c r="L96" s="34"/>
      <c r="M96" s="34"/>
      <c r="N96" s="34"/>
      <c r="O96" s="34"/>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33"/>
      <c r="CA96" s="33"/>
      <c r="CB96" s="33"/>
      <c r="CC96" s="33"/>
      <c r="CD96" s="33"/>
      <c r="CE96" s="33"/>
      <c r="CF96" s="33"/>
      <c r="CG96" s="33"/>
      <c r="CH96" s="33"/>
    </row>
    <row r="97" spans="1:86" s="2" customFormat="1">
      <c r="A97" s="40"/>
      <c r="B97" s="35" t="s">
        <v>42</v>
      </c>
      <c r="D97" s="33"/>
      <c r="E97" s="33"/>
      <c r="F97" s="33"/>
      <c r="G97" s="33"/>
      <c r="H97" s="39"/>
      <c r="I97" s="33"/>
      <c r="J97" s="34"/>
      <c r="K97" s="34"/>
      <c r="L97" s="34"/>
      <c r="M97" s="34"/>
      <c r="N97" s="34"/>
      <c r="O97" s="34"/>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33"/>
      <c r="CA97" s="33"/>
      <c r="CB97" s="33"/>
      <c r="CC97" s="33"/>
      <c r="CD97" s="33"/>
      <c r="CE97" s="33"/>
      <c r="CF97" s="33"/>
      <c r="CG97" s="33"/>
      <c r="CH97" s="33"/>
    </row>
    <row r="98" spans="1:86" s="2" customFormat="1">
      <c r="A98" s="40"/>
      <c r="B98" s="35" t="s">
        <v>43</v>
      </c>
      <c r="D98" s="33"/>
      <c r="E98" s="33"/>
      <c r="F98" s="33"/>
      <c r="G98" s="33"/>
      <c r="H98" s="39"/>
      <c r="I98" s="33"/>
      <c r="J98" s="34"/>
      <c r="K98" s="34"/>
      <c r="L98" s="34"/>
      <c r="M98" s="34"/>
      <c r="N98" s="34"/>
      <c r="O98" s="34"/>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c r="BZ98" s="33"/>
      <c r="CA98" s="33"/>
      <c r="CB98" s="33"/>
      <c r="CC98" s="33"/>
      <c r="CD98" s="33"/>
      <c r="CE98" s="33"/>
      <c r="CF98" s="33"/>
      <c r="CG98" s="33"/>
      <c r="CH98" s="33"/>
    </row>
    <row r="99" spans="1:86" s="2" customFormat="1" ht="45">
      <c r="A99" s="40"/>
      <c r="B99" s="35" t="s">
        <v>44</v>
      </c>
      <c r="D99" s="33"/>
      <c r="E99" s="33"/>
      <c r="F99" s="33"/>
      <c r="G99" s="33"/>
      <c r="H99" s="39"/>
      <c r="I99" s="33"/>
      <c r="J99" s="34"/>
      <c r="K99" s="34"/>
      <c r="L99" s="34"/>
      <c r="M99" s="34"/>
      <c r="N99" s="34"/>
      <c r="O99" s="34"/>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33"/>
      <c r="CA99" s="33"/>
      <c r="CB99" s="33"/>
      <c r="CC99" s="33"/>
      <c r="CD99" s="33"/>
      <c r="CE99" s="33"/>
      <c r="CF99" s="33"/>
      <c r="CG99" s="33"/>
      <c r="CH99" s="33"/>
    </row>
    <row r="100" spans="1:86" s="2" customFormat="1">
      <c r="A100" s="40"/>
      <c r="B100" s="35" t="s">
        <v>45</v>
      </c>
      <c r="D100" s="33"/>
      <c r="E100" s="33"/>
      <c r="F100" s="33"/>
      <c r="G100" s="33"/>
      <c r="H100" s="39"/>
      <c r="I100" s="33"/>
      <c r="J100" s="34"/>
      <c r="K100" s="34"/>
      <c r="L100" s="34"/>
      <c r="M100" s="34"/>
      <c r="N100" s="34"/>
      <c r="O100" s="34"/>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row>
    <row r="101" spans="1:86" s="2" customFormat="1" ht="30">
      <c r="A101" s="40"/>
      <c r="B101" s="35" t="s">
        <v>46</v>
      </c>
      <c r="D101" s="33"/>
      <c r="E101" s="33"/>
      <c r="F101" s="33"/>
      <c r="G101" s="33"/>
      <c r="H101" s="39"/>
      <c r="I101" s="33"/>
      <c r="J101" s="34"/>
      <c r="K101" s="34"/>
      <c r="L101" s="34"/>
      <c r="M101" s="34"/>
      <c r="N101" s="34"/>
      <c r="O101" s="34"/>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33"/>
      <c r="CA101" s="33"/>
      <c r="CB101" s="33"/>
      <c r="CC101" s="33"/>
      <c r="CD101" s="33"/>
      <c r="CE101" s="33"/>
      <c r="CF101" s="33"/>
      <c r="CG101" s="33"/>
      <c r="CH101" s="33"/>
    </row>
    <row r="102" spans="1:86" s="2" customFormat="1">
      <c r="A102" s="40"/>
      <c r="B102" s="35" t="s">
        <v>47</v>
      </c>
      <c r="D102" s="33"/>
      <c r="E102" s="33"/>
      <c r="F102" s="33"/>
      <c r="G102" s="33"/>
      <c r="H102" s="39"/>
      <c r="I102" s="33"/>
      <c r="J102" s="34"/>
      <c r="K102" s="34"/>
      <c r="L102" s="34"/>
      <c r="M102" s="34"/>
      <c r="N102" s="34"/>
      <c r="O102" s="34"/>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33"/>
      <c r="CA102" s="33"/>
      <c r="CB102" s="33"/>
      <c r="CC102" s="33"/>
      <c r="CD102" s="33"/>
      <c r="CE102" s="33"/>
      <c r="CF102" s="33"/>
      <c r="CG102" s="33"/>
      <c r="CH102" s="33"/>
    </row>
    <row r="103" spans="1:86" s="2" customFormat="1">
      <c r="A103" s="40"/>
      <c r="B103" s="35" t="s">
        <v>48</v>
      </c>
      <c r="D103" s="33"/>
      <c r="E103" s="33"/>
      <c r="F103" s="33"/>
      <c r="G103" s="33"/>
      <c r="H103" s="39"/>
      <c r="I103" s="33"/>
      <c r="J103" s="34"/>
      <c r="K103" s="34"/>
      <c r="L103" s="34"/>
      <c r="M103" s="34"/>
      <c r="N103" s="34"/>
      <c r="O103" s="34"/>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33"/>
      <c r="CA103" s="33"/>
      <c r="CB103" s="33"/>
      <c r="CC103" s="33"/>
      <c r="CD103" s="33"/>
      <c r="CE103" s="33"/>
      <c r="CF103" s="33"/>
      <c r="CG103" s="33"/>
      <c r="CH103" s="33"/>
    </row>
  </sheetData>
  <sheetProtection formatCells="0" formatColumns="0" formatRows="0" autoFilter="0" pivotTables="0"/>
  <phoneticPr fontId="5" type="noConversion"/>
  <dataValidations disablePrompts="1" count="1">
    <dataValidation type="list" allowBlank="1" showInputMessage="1" showErrorMessage="1" sqref="Z52" xr:uid="{7244A219-C0EF-7747-A742-9352CD54DDEB}">
      <formula1>$B$52:$B$71</formula1>
    </dataValidation>
  </dataValidations>
  <hyperlinks>
    <hyperlink ref="B8" location="'Расчет Л и П плеча трубы'!E6:E7" display="Марка трубной стали" xr:uid="{93564CCE-87EA-EC44-BAD9-B8B047D486BF}"/>
    <hyperlink ref="C8" location="'Расчет Л и П плеча трубы'!E37" display="Удельное электрическое сопротивление трубной стали, Ом·м" xr:uid="{F130BE19-41B8-C945-B40C-B04AD3551B61}"/>
    <hyperlink ref="C3" location="'Расчет Л и П плеча трубы'!E14:E15" display="Начальное сопротивление защитного покрытия уложенного в траншею и засыпанного трубопровода Rиз0  , Ом·м2" xr:uid="{CDBE93FC-B2C5-7D43-81A3-45D6FE13D4DF}"/>
    <hyperlink ref="B1" r:id="rId1" xr:uid="{BB4E3A38-08FC-984E-9FA2-20C175F5A76F}"/>
  </hyperlinks>
  <pageMargins left="0.7" right="0.7" top="0.75" bottom="0.75" header="0.3" footer="0.3"/>
  <pageSetup paperSize="9" orientation="portrait" horizontalDpi="0" verticalDpi="0"/>
  <drawing r:id="rId2"/>
  <tableParts count="7">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DC952-D0DF-034E-80D7-F8420E48558F}">
  <sheetPr codeName="Лист1">
    <tabColor theme="4" tint="0.39997558519241921"/>
  </sheetPr>
  <dimension ref="A1:EM1073"/>
  <sheetViews>
    <sheetView topLeftCell="DL1" zoomScale="83" zoomScaleNormal="87" workbookViewId="0">
      <selection activeCell="DT1" sqref="DT1:EC1"/>
    </sheetView>
  </sheetViews>
  <sheetFormatPr baseColWidth="10" defaultRowHeight="16"/>
  <cols>
    <col min="1" max="1" width="5.6640625" customWidth="1"/>
    <col min="2" max="2" width="7.83203125" customWidth="1"/>
    <col min="3" max="3" width="12.6640625" customWidth="1"/>
    <col min="4" max="4" width="7.5" style="61" customWidth="1"/>
    <col min="5" max="6" width="5.83203125" style="61" customWidth="1"/>
    <col min="7" max="7" width="7.33203125" customWidth="1"/>
    <col min="8" max="8" width="7.6640625" customWidth="1"/>
    <col min="9" max="9" width="11.33203125" customWidth="1"/>
    <col min="10" max="10" width="17.1640625" style="61" customWidth="1"/>
    <col min="11" max="12" width="5.83203125" style="61" customWidth="1"/>
    <col min="13" max="13" width="5.6640625" customWidth="1"/>
    <col min="14" max="14" width="7.83203125" customWidth="1"/>
    <col min="15" max="15" width="12.6640625" customWidth="1"/>
    <col min="16" max="16" width="7.5" style="61" customWidth="1"/>
    <col min="17" max="18" width="5.83203125" style="61" customWidth="1"/>
    <col min="19" max="19" width="5.6640625" customWidth="1"/>
    <col min="20" max="20" width="7.83203125" customWidth="1"/>
    <col min="21" max="21" width="12.6640625" customWidth="1"/>
    <col min="22" max="22" width="7.5" style="61" customWidth="1"/>
    <col min="23" max="24" width="5.83203125" style="61" customWidth="1"/>
    <col min="25" max="25" width="5.6640625" customWidth="1"/>
    <col min="26" max="26" width="7.83203125" customWidth="1"/>
    <col min="27" max="27" width="12.6640625" customWidth="1"/>
    <col min="28" max="28" width="7.5" style="61" customWidth="1"/>
    <col min="29" max="30" width="5.83203125" style="61" customWidth="1"/>
    <col min="31" max="31" width="5.6640625" customWidth="1"/>
    <col min="32" max="32" width="7.83203125" customWidth="1"/>
    <col min="33" max="33" width="12.6640625" customWidth="1"/>
    <col min="34" max="34" width="7.5" style="61" customWidth="1"/>
    <col min="35" max="36" width="5.83203125" style="61" customWidth="1"/>
    <col min="37" max="37" width="5.6640625" customWidth="1"/>
    <col min="38" max="38" width="7.83203125" customWidth="1"/>
    <col min="39" max="39" width="12.6640625" customWidth="1"/>
    <col min="40" max="40" width="7.5" style="61" customWidth="1"/>
    <col min="41" max="42" width="5.83203125" style="61" customWidth="1"/>
    <col min="43" max="43" width="5.6640625" customWidth="1"/>
    <col min="44" max="44" width="7.83203125" customWidth="1"/>
    <col min="45" max="45" width="12.6640625" customWidth="1"/>
    <col min="46" max="46" width="7.5" style="61" customWidth="1"/>
    <col min="47" max="48" width="5.83203125" style="61" customWidth="1"/>
    <col min="49" max="49" width="5.6640625" customWidth="1"/>
    <col min="50" max="50" width="7.83203125" customWidth="1"/>
    <col min="51" max="51" width="12.6640625" customWidth="1"/>
    <col min="52" max="52" width="7.5" style="61" customWidth="1"/>
    <col min="53" max="54" width="5.83203125" style="61" customWidth="1"/>
    <col min="55" max="55" width="5.6640625" customWidth="1"/>
    <col min="56" max="56" width="7.83203125" customWidth="1"/>
    <col min="57" max="57" width="12.6640625" customWidth="1"/>
    <col min="58" max="58" width="7.5" style="61" customWidth="1"/>
    <col min="59" max="60" width="5.83203125" style="61" customWidth="1"/>
    <col min="61" max="61" width="5.6640625" customWidth="1"/>
    <col min="62" max="62" width="7.83203125" customWidth="1"/>
    <col min="63" max="63" width="12.6640625" customWidth="1"/>
    <col min="64" max="64" width="7.5" style="61" customWidth="1"/>
    <col min="65" max="66" width="5.83203125" style="61" customWidth="1"/>
    <col min="67" max="67" width="11.6640625" style="61" customWidth="1"/>
    <col min="68" max="68" width="8.33203125" customWidth="1"/>
    <col min="69" max="69" width="8.83203125" customWidth="1"/>
    <col min="70" max="70" width="9.33203125" customWidth="1"/>
    <col min="71" max="71" width="3.83203125" customWidth="1"/>
    <col min="72" max="72" width="7.83203125" customWidth="1"/>
    <col min="73" max="73" width="8.1640625" style="46" customWidth="1"/>
    <col min="74" max="74" width="8.5" style="46" customWidth="1"/>
    <col min="75" max="75" width="10.33203125" style="46" customWidth="1"/>
    <col min="76" max="76" width="12.33203125" customWidth="1"/>
    <col min="77" max="77" width="6.33203125" style="46" customWidth="1"/>
    <col min="78" max="78" width="8.5" style="46" customWidth="1"/>
    <col min="79" max="79" width="10.33203125" style="46" customWidth="1"/>
    <col min="80" max="80" width="8" customWidth="1"/>
    <col min="81" max="81" width="5.1640625" style="46" customWidth="1"/>
    <col min="82" max="82" width="8.5" style="46" customWidth="1"/>
    <col min="83" max="83" width="10.33203125" style="46" customWidth="1"/>
    <col min="84" max="84" width="8" customWidth="1"/>
    <col min="85" max="85" width="6.33203125" style="46" customWidth="1"/>
    <col min="86" max="86" width="8.5" style="46" customWidth="1"/>
    <col min="87" max="87" width="10.33203125" style="46" customWidth="1"/>
    <col min="88" max="88" width="8" customWidth="1"/>
    <col min="89" max="89" width="5.6640625" style="46" customWidth="1"/>
    <col min="90" max="90" width="8.5" style="46" customWidth="1"/>
    <col min="91" max="91" width="10.33203125" style="46" customWidth="1"/>
    <col min="92" max="92" width="8" customWidth="1"/>
    <col min="93" max="93" width="5.6640625" style="46" customWidth="1"/>
    <col min="94" max="94" width="8.5" style="46" customWidth="1"/>
    <col min="95" max="95" width="10.33203125" style="46" customWidth="1"/>
    <col min="96" max="96" width="8" customWidth="1"/>
    <col min="97" max="97" width="5.33203125" style="46" customWidth="1"/>
    <col min="98" max="98" width="8.5" style="46" customWidth="1"/>
    <col min="99" max="99" width="10.33203125" style="46" customWidth="1"/>
    <col min="100" max="100" width="8" customWidth="1"/>
    <col min="101" max="101" width="6" style="46" customWidth="1"/>
    <col min="102" max="102" width="8.5" style="46" customWidth="1"/>
    <col min="103" max="103" width="10.33203125" style="46" customWidth="1"/>
    <col min="104" max="104" width="8" customWidth="1"/>
    <col min="105" max="105" width="5.33203125" style="46" customWidth="1"/>
    <col min="106" max="106" width="8.5" style="46" customWidth="1"/>
    <col min="107" max="107" width="10.33203125" style="46" customWidth="1"/>
    <col min="108" max="108" width="8" customWidth="1"/>
    <col min="109" max="109" width="6" style="46" customWidth="1"/>
    <col min="110" max="110" width="8.5" style="46" customWidth="1"/>
    <col min="111" max="111" width="10.33203125" style="46" customWidth="1"/>
    <col min="112" max="112" width="8" customWidth="1"/>
    <col min="113" max="113" width="16" customWidth="1"/>
    <col min="114" max="122" width="8.1640625" bestFit="1" customWidth="1"/>
    <col min="123" max="123" width="9.33203125" bestFit="1" customWidth="1"/>
    <col min="124" max="124" width="10.83203125" bestFit="1" customWidth="1"/>
    <col min="125" max="132" width="11.83203125" bestFit="1" customWidth="1"/>
    <col min="133" max="133" width="12.83203125" bestFit="1" customWidth="1"/>
    <col min="134" max="134" width="97.1640625" customWidth="1"/>
    <col min="135" max="135" width="15.1640625" customWidth="1"/>
  </cols>
  <sheetData>
    <row r="1" spans="1:143" ht="48" customHeight="1">
      <c r="A1" t="s">
        <v>142</v>
      </c>
      <c r="G1" t="s">
        <v>117</v>
      </c>
      <c r="M1" t="s">
        <v>118</v>
      </c>
      <c r="S1" t="s">
        <v>117</v>
      </c>
      <c r="Y1" t="s">
        <v>118</v>
      </c>
      <c r="AE1" t="s">
        <v>117</v>
      </c>
      <c r="AK1" t="s">
        <v>118</v>
      </c>
      <c r="AQ1" t="s">
        <v>117</v>
      </c>
      <c r="AW1" t="s">
        <v>118</v>
      </c>
      <c r="BC1" t="s">
        <v>117</v>
      </c>
      <c r="BI1" t="s">
        <v>118</v>
      </c>
      <c r="BO1" s="61" t="s">
        <v>697</v>
      </c>
      <c r="BP1" t="s">
        <v>115</v>
      </c>
      <c r="BU1" t="s">
        <v>115</v>
      </c>
      <c r="BY1"/>
      <c r="CC1" t="s">
        <v>115</v>
      </c>
      <c r="CG1"/>
      <c r="CK1" t="s">
        <v>115</v>
      </c>
      <c r="CO1"/>
      <c r="CS1" t="s">
        <v>115</v>
      </c>
      <c r="CW1"/>
      <c r="DA1" t="s">
        <v>115</v>
      </c>
      <c r="DE1" t="s">
        <v>115</v>
      </c>
      <c r="DI1" t="s">
        <v>115</v>
      </c>
      <c r="DT1" cm="1">
        <f t="array" ref="DT1">SUM(Таблица_pi[li1])/(MIN(Таблица_pi[pi Ом*м])*SUM(Таблица_pi[li1]/Таблица_pi[pi Ом*м]))</f>
        <v>4.5420559597885877</v>
      </c>
      <c r="DU1" cm="1">
        <f t="array" ref="DU1">SUM(Таблица_pi[li2])/(MIN(Таблица_pi[pi Ом*м2])*SUM(Таблица_pi[li2]/Таблица_pi[pi Ом*м2]))</f>
        <v>3.6528355134368482</v>
      </c>
      <c r="DV1" cm="1">
        <f t="array" ref="DV1">SUM(Таблица_pi[li3])/(MIN(Таблица_pi[pi Ом*м3])*SUM(Таблица_pi[li3]/Таблица_pi[pi Ом*м3]))</f>
        <v>3.5855747181806921</v>
      </c>
      <c r="DW1" cm="1">
        <f t="array" ref="DW1">SUM(Таблица_pi[li4])/(MIN(Таблица_pi[pi Ом*м4])*SUM(Таблица_pi[li4]/Таблица_pi[pi Ом*м4]))</f>
        <v>2.6988473977862846</v>
      </c>
      <c r="DX1" cm="1">
        <f t="array" ref="DX1">SUM(Таблица_pi[li5])/(MIN(Таблица_pi[pi Ом*м5])*SUM(Таблица_pi[li5]/Таблица_pi[pi Ом*м5]))</f>
        <v>3.2183398915365586</v>
      </c>
      <c r="DY1" cm="1">
        <f t="array" ref="DY1">SUM(Таблица_pi[li6])/(MIN(Таблица_pi[pi Ом*м6])*SUM(Таблица_pi[li6]/Таблица_pi[pi Ом*м6]))</f>
        <v>3.5121585190909204</v>
      </c>
      <c r="DZ1" cm="1">
        <f t="array" ref="DZ1">SUM(Таблица_pi[li7])/(MIN(Таблица_pi[pi Ом*м7])*SUM(Таблица_pi[li7]/Таблица_pi[pi Ом*м7]))</f>
        <v>4.5588735858407956</v>
      </c>
      <c r="EA1" cm="1">
        <f t="array" ref="EA1">SUM(Таблица_pi[li8])/(MIN(Таблица_pi[pi Ом*м8])*SUM(Таблица_pi[li8]/Таблица_pi[pi Ом*м8]))</f>
        <v>3.464673147793834</v>
      </c>
      <c r="EB1" cm="1">
        <f t="array" ref="EB1">SUM(Таблица_pi[li9])/(MIN(Таблица_pi[pi Ом*м9])*SUM(Таблица_pi[li9]/Таблица_pi[pi Ом*м9]))</f>
        <v>5.1238800104709084</v>
      </c>
      <c r="EC1" cm="1">
        <f t="array" ref="EC1">SUM(Таблица_pi[li10])/(MIN(Таблица_pi[pi Ом*м10])*SUM(Таблица_pi[li10]/Таблица_pi[pi Ом*м10]))</f>
        <v>4.5655420415182295</v>
      </c>
    </row>
    <row r="2" spans="1:143" ht="137" customHeight="1">
      <c r="A2" s="1" t="s">
        <v>119</v>
      </c>
      <c r="B2" s="1" t="s">
        <v>500</v>
      </c>
      <c r="C2" s="1" t="s">
        <v>652</v>
      </c>
      <c r="D2" s="59"/>
      <c r="E2" s="59"/>
      <c r="F2" s="59"/>
      <c r="G2" s="1" t="s">
        <v>698</v>
      </c>
      <c r="H2" s="1" t="s">
        <v>700</v>
      </c>
      <c r="I2" s="1" t="s">
        <v>702</v>
      </c>
      <c r="J2" s="59"/>
      <c r="K2" s="59"/>
      <c r="L2" s="59"/>
      <c r="M2" s="1" t="s">
        <v>699</v>
      </c>
      <c r="N2" s="1" t="s">
        <v>703</v>
      </c>
      <c r="O2" s="1" t="s">
        <v>701</v>
      </c>
      <c r="P2" s="59"/>
      <c r="Q2" s="59"/>
      <c r="R2" s="59"/>
      <c r="S2" s="1" t="s">
        <v>704</v>
      </c>
      <c r="T2" s="1" t="s">
        <v>705</v>
      </c>
      <c r="U2" s="1" t="s">
        <v>706</v>
      </c>
      <c r="V2" s="59"/>
      <c r="W2" s="59"/>
      <c r="X2" s="59"/>
      <c r="Y2" s="1" t="s">
        <v>707</v>
      </c>
      <c r="Z2" s="1" t="s">
        <v>708</v>
      </c>
      <c r="AA2" s="1" t="s">
        <v>709</v>
      </c>
      <c r="AB2" s="59"/>
      <c r="AC2" s="59"/>
      <c r="AD2" s="59"/>
      <c r="AE2" s="1" t="s">
        <v>710</v>
      </c>
      <c r="AF2" s="1" t="s">
        <v>714</v>
      </c>
      <c r="AG2" s="1" t="s">
        <v>702</v>
      </c>
      <c r="AH2" s="59"/>
      <c r="AI2" s="59"/>
      <c r="AJ2" s="59"/>
      <c r="AK2" s="1" t="s">
        <v>711</v>
      </c>
      <c r="AL2" s="1" t="s">
        <v>715</v>
      </c>
      <c r="AM2" s="1" t="s">
        <v>701</v>
      </c>
      <c r="AN2" s="59"/>
      <c r="AO2" s="59"/>
      <c r="AP2" s="59"/>
      <c r="AQ2" s="1" t="s">
        <v>712</v>
      </c>
      <c r="AR2" s="1" t="s">
        <v>716</v>
      </c>
      <c r="AS2" s="1" t="s">
        <v>717</v>
      </c>
      <c r="AT2" s="59"/>
      <c r="AU2" s="59"/>
      <c r="AV2" s="59"/>
      <c r="AW2" s="1" t="s">
        <v>713</v>
      </c>
      <c r="AX2" s="1" t="s">
        <v>718</v>
      </c>
      <c r="AY2" s="1" t="s">
        <v>719</v>
      </c>
      <c r="AZ2" s="59"/>
      <c r="BA2" s="59"/>
      <c r="BB2" s="59"/>
      <c r="BC2" s="1" t="s">
        <v>720</v>
      </c>
      <c r="BD2" s="1" t="s">
        <v>721</v>
      </c>
      <c r="BE2" s="1" t="s">
        <v>722</v>
      </c>
      <c r="BF2" s="59"/>
      <c r="BG2" s="59"/>
      <c r="BH2" s="59"/>
      <c r="BI2" s="1" t="s">
        <v>723</v>
      </c>
      <c r="BJ2" s="1" t="s">
        <v>724</v>
      </c>
      <c r="BK2" s="1" t="s">
        <v>725</v>
      </c>
      <c r="BL2" s="59"/>
      <c r="BM2" s="59"/>
      <c r="BN2" s="59"/>
      <c r="BO2" s="59"/>
      <c r="BP2" t="s">
        <v>696</v>
      </c>
      <c r="BQ2" s="1" t="s">
        <v>695</v>
      </c>
      <c r="BR2" s="1" t="s">
        <v>622</v>
      </c>
      <c r="BU2" t="s">
        <v>696</v>
      </c>
      <c r="BV2" s="1" t="s">
        <v>685</v>
      </c>
      <c r="BW2" s="1" t="s">
        <v>139</v>
      </c>
      <c r="BY2"/>
      <c r="BZ2" s="1" t="s">
        <v>686</v>
      </c>
      <c r="CA2" s="1" t="s">
        <v>140</v>
      </c>
      <c r="CC2"/>
      <c r="CD2" s="1" t="s">
        <v>687</v>
      </c>
      <c r="CE2" s="1" t="s">
        <v>139</v>
      </c>
      <c r="CG2"/>
      <c r="CH2" s="1" t="s">
        <v>688</v>
      </c>
      <c r="CI2" s="1" t="s">
        <v>140</v>
      </c>
      <c r="CK2"/>
      <c r="CL2" s="1" t="s">
        <v>689</v>
      </c>
      <c r="CM2" s="1" t="s">
        <v>139</v>
      </c>
      <c r="CO2"/>
      <c r="CP2" s="1" t="s">
        <v>690</v>
      </c>
      <c r="CQ2" s="1" t="s">
        <v>140</v>
      </c>
      <c r="CS2"/>
      <c r="CT2" s="1" t="s">
        <v>691</v>
      </c>
      <c r="CU2" s="1" t="s">
        <v>139</v>
      </c>
      <c r="CW2"/>
      <c r="CX2" s="1" t="s">
        <v>692</v>
      </c>
      <c r="CY2" s="1" t="s">
        <v>140</v>
      </c>
      <c r="DA2"/>
      <c r="DB2" s="1" t="s">
        <v>693</v>
      </c>
      <c r="DC2" s="1" t="s">
        <v>139</v>
      </c>
      <c r="DE2"/>
      <c r="DF2" s="1" t="s">
        <v>694</v>
      </c>
      <c r="DG2" s="1" t="s">
        <v>140</v>
      </c>
      <c r="DI2" s="1" t="s">
        <v>571</v>
      </c>
      <c r="DJ2" s="767" t="s">
        <v>649</v>
      </c>
      <c r="DK2" s="767"/>
      <c r="DL2" s="767"/>
      <c r="DM2" s="767"/>
      <c r="DN2" s="767"/>
      <c r="DO2" s="767"/>
      <c r="DP2" s="767"/>
      <c r="DQ2" s="767"/>
      <c r="DR2" s="767"/>
      <c r="DS2" s="767"/>
      <c r="DT2" cm="1">
        <f t="array" ref="DT2">DJ4/DT3*SUM(Таблица_pi[li1]/Таблица_pi[pi Ом*м])</f>
        <v>0.12736795887498092</v>
      </c>
      <c r="DU2" cm="1">
        <f t="array" ref="DU2">DK4/DU3*SUM(Таблица_pi[li2]/Таблица_pi[pi Ом*м2])</f>
        <v>0.78021580482240682</v>
      </c>
      <c r="DV2" cm="1">
        <f t="array" ref="DV2">DL4/DV3*SUM(Таблица_pi[li3]/Таблица_pi[pi Ом*м3])</f>
        <v>4.9940597538431442E-2</v>
      </c>
      <c r="DW2" cm="1">
        <f t="array" ref="DW2">DM4/DW3*SUM(Таблица_pi[li4]/Таблица_pi[pi Ом*м4])</f>
        <v>0.24894886630163007</v>
      </c>
      <c r="DX2" cm="1">
        <f t="array" ref="DX2">DN4/DX3*SUM(Таблица_pi[li5]/Таблица_pi[pi Ом*м5])</f>
        <v>0.36457719596954657</v>
      </c>
      <c r="DY2" cm="1">
        <f t="array" ref="DY2">DO4/DY3*SUM(Таблица_pi[li6]/Таблица_pi[pi Ом*м6])</f>
        <v>0.34448232807072682</v>
      </c>
      <c r="DZ2" cm="1">
        <f t="array" ref="DZ2">DP4/DZ3*SUM(Таблица_pi[li7]/Таблица_pi[pi Ом*м7])</f>
        <v>0.17109489555107815</v>
      </c>
      <c r="EA2" cm="1">
        <f t="array" ref="EA2">DQ4/EA3*SUM(Таблица_pi[li8]/Таблица_pi[pi Ом*м8])</f>
        <v>0.19949933818147569</v>
      </c>
      <c r="EB2" cm="1">
        <f t="array" ref="EB2">DR4/EB3*SUM(Таблица_pi[li9]/Таблица_pi[pi Ом*м9])</f>
        <v>0.1536921236232511</v>
      </c>
      <c r="EC2" cm="1">
        <f t="array" ref="EC2">DS4/EC3*SUM(Таблица_pi[li10]/Таблица_pi[pi Ом*м10])</f>
        <v>0.21456200114388596</v>
      </c>
      <c r="EE2" s="92"/>
      <c r="EF2" s="1"/>
    </row>
    <row r="3" spans="1:143" s="94" customFormat="1" ht="45" customHeight="1">
      <c r="A3" s="94">
        <f>MAX(Таблица_pr[№ пикета])</f>
        <v>277</v>
      </c>
      <c r="B3" s="155">
        <f>(MAX(Таблица_pr[Координата измерения, км])-MIN(Таблица_pr[Координата измерения, км]))*1000+100</f>
        <v>27800.000000006297</v>
      </c>
      <c r="C3" s="94">
        <f>((SUM(Таблица_pr[Длина участка, м])/SUM('Research data'!E:E)))^2</f>
        <v>59.989256728017203</v>
      </c>
      <c r="D3" s="158">
        <f>SUM(Таблица_pr[Длина участка, м])</f>
        <v>27800.000000006126</v>
      </c>
      <c r="E3" s="159"/>
      <c r="F3" s="159"/>
      <c r="G3" s="94">
        <f>MAX('Research data'!$G$6:$G$715)</f>
        <v>277</v>
      </c>
      <c r="H3" s="155">
        <f>(MAX('Research data'!$H$6:$H$715)-MIN('Research data'!$H$6:$H$715))*1000+100</f>
        <v>27800.000000006297</v>
      </c>
      <c r="I3" s="94">
        <f>((SUM('Research data'!$J$6:$J$715)/SUM('Research data'!K:K)))^2</f>
        <v>59.989256728017203</v>
      </c>
      <c r="J3" s="158">
        <f>SUM('Research data'!$J$6:$J$715)</f>
        <v>27800.000000006126</v>
      </c>
      <c r="K3" s="159"/>
      <c r="L3" s="159"/>
      <c r="M3" s="94">
        <f>MAX(Таблица_pr2[№ п/п])</f>
        <v>55</v>
      </c>
      <c r="N3" s="155">
        <f>(MAX(Таблица_pr2[Координата измерения, км])-MAX('Research data'!$H$6:$H$715))*1000</f>
        <v>-22300.000000005071</v>
      </c>
      <c r="O3" s="94">
        <f>(SUM(Таблица_pr2[Длина участка, м])/SUM('Research data'!Q:Q))^2</f>
        <v>56.464963555652218</v>
      </c>
      <c r="P3" s="158">
        <f>SUM(Таблица_pr2[Длина участка, м])</f>
        <v>2800.0000000002501</v>
      </c>
      <c r="Q3" s="159"/>
      <c r="R3" s="159"/>
      <c r="S3" s="94">
        <f>MAX(Таблица_pr3[№ п/п])</f>
        <v>83</v>
      </c>
      <c r="T3" s="155">
        <f>(MAX(Таблица_pr4[Координата измерения, км])-MAX(Таблица_pr3[Координата измерения, км]))*1000</f>
        <v>2700.0000000006139</v>
      </c>
      <c r="U3" s="94">
        <f>((SUM(Таблица_pr3[Длина участка, м])/SUM('Research data'!W:W)))^2</f>
        <v>54.885903197209117</v>
      </c>
      <c r="V3" s="158">
        <f>SUM(Таблица_pr4[Длина участка, м])</f>
        <v>2800.0000000006139</v>
      </c>
      <c r="W3" s="159"/>
      <c r="X3" s="159"/>
      <c r="Y3" s="94">
        <f>MAX(Таблица_pr4[№ п/п])</f>
        <v>110</v>
      </c>
      <c r="Z3" s="155">
        <f>(MAX(Таблица_pr4[Координата измерения, км])-MAX(Таблица_pr3[Координата измерения, км]))*1000</f>
        <v>2700.0000000006139</v>
      </c>
      <c r="AA3" s="94">
        <f>(SUM(Таблица_pr4[Длина участка, м])/SUM('Research data'!AC:AC))^2</f>
        <v>61.533827331690013</v>
      </c>
      <c r="AB3" s="158">
        <f>SUM(Таблица_pr4[Длина участка, м])</f>
        <v>2800.0000000006139</v>
      </c>
      <c r="AC3" s="159"/>
      <c r="AD3" s="159"/>
      <c r="AE3" s="94">
        <f>MAX(Таблица_pr5[№ п/п])</f>
        <v>140</v>
      </c>
      <c r="AF3" s="155">
        <f>(MAX(Таблица_pr5[Координата измерения, км])-MAX(Таблица_pr4[Координата измерения, км]))*1000</f>
        <v>3100.0000000007049</v>
      </c>
      <c r="AG3" s="94">
        <f>((SUM(Таблица_pr5[Длина участка, м])/SUM('Research data'!AI:AI)))^2</f>
        <v>50.538434697648007</v>
      </c>
      <c r="AH3" s="158">
        <f>SUM(Таблица_pr5[Длина участка, м])</f>
        <v>3100.0000000007049</v>
      </c>
      <c r="AI3" s="159"/>
      <c r="AJ3" s="159"/>
      <c r="AK3" s="94">
        <f>MAX(Таблица_pr6[№ п/п])</f>
        <v>170</v>
      </c>
      <c r="AL3" s="155">
        <f>(MAX(Таблица_pr6[Координата измерения, км])-MAX(Таблица_pr5[Координата измерения, км]))*1000</f>
        <v>3000.0000000006821</v>
      </c>
      <c r="AM3" s="94">
        <f>(SUM(Таблица_pr6[Длина участка, м])/SUM('Research data'!AO:AO))^2</f>
        <v>46.857974530453646</v>
      </c>
      <c r="AN3" s="158">
        <f>SUM(Таблица_pr6[Длина участка, м])</f>
        <v>3000.0000000006821</v>
      </c>
      <c r="AO3" s="159"/>
      <c r="AP3" s="159"/>
      <c r="AQ3" s="94">
        <f>MAX(Таблица_pr7[№ п/п])</f>
        <v>190</v>
      </c>
      <c r="AR3" s="155">
        <f>(MAX(Таблица_pr7[Координата измерения, км])-MIN(Таблица_pr7[Координата измерения, км]))*1000</f>
        <v>1900.000000000432</v>
      </c>
      <c r="AS3" s="94">
        <f>((SUM(Таблица_pr7[Длина участка, м])/SUM('Research data'!AU:AU)))^2</f>
        <v>30.540229871921333</v>
      </c>
      <c r="AT3" s="158">
        <f>SUM(Таблица_pr7[Длина участка, м])</f>
        <v>2000.0000000004547</v>
      </c>
      <c r="AU3" s="159"/>
      <c r="AV3" s="159"/>
      <c r="AW3" s="94">
        <f>MAX(Таблица_pr8[№ п/п])</f>
        <v>220</v>
      </c>
      <c r="AX3" s="155">
        <f>(MAX(Таблица_pr8[Координата измерения, км])-MAX(Таблица_pr7[Координата измерения, км]))*1000</f>
        <v>3000.0000000006821</v>
      </c>
      <c r="AY3" s="94">
        <f>(SUM(Таблица_pr8[Длина участка, м])/SUM('Research data'!BA:BA))^2</f>
        <v>96.671326192859411</v>
      </c>
      <c r="AZ3" s="158">
        <f>SUM(Таблица_pr8[Длина участка, м])</f>
        <v>3000.0000000006821</v>
      </c>
      <c r="BA3" s="159"/>
      <c r="BB3" s="159"/>
      <c r="BC3" s="94">
        <f>MAX(Таблица_pr9[№ п/п])</f>
        <v>250</v>
      </c>
      <c r="BD3" s="155">
        <f>(MAX(Таблица_pr9[Координата измерения, км])-MAX(Таблица_pr8[Координата измерения, км]))*1000</f>
        <v>3000.0000000006821</v>
      </c>
      <c r="BE3" s="94">
        <f>((SUM(Таблица_pr9[Длина участка, м])/SUM('Research data'!BG:BG)))^2</f>
        <v>121.51849959851226</v>
      </c>
      <c r="BF3" s="158">
        <f>SUM(Таблица_pr9[Длина участка, м])</f>
        <v>3000.0000000006821</v>
      </c>
      <c r="BG3" s="159"/>
      <c r="BH3" s="159"/>
      <c r="BI3" s="94">
        <f>MAX(Таблица_pr10[№ п/п])</f>
        <v>277</v>
      </c>
      <c r="BJ3" s="155">
        <f>(MAX(Таблица_pr10[Координата измерения, км])-MAX(Таблица_pr9[Координата измерения, км]))*1000</f>
        <v>2700.0000000006139</v>
      </c>
      <c r="BK3" s="94">
        <f>(SUM(Таблица_pr10[Длина участка, м])/SUM('Research data'!BM:BM))^2</f>
        <v>40.731451366126258</v>
      </c>
      <c r="BL3" s="158">
        <f>SUM(Таблица_pr10[Длина участка, м])</f>
        <v>2700.0000000006139</v>
      </c>
      <c r="BM3" s="159"/>
      <c r="BN3" s="159"/>
      <c r="BO3" s="159"/>
      <c r="BP3" s="94">
        <f>'Pipe calculation'!D7</f>
        <v>0.32500000000000001</v>
      </c>
      <c r="BQ3" s="156">
        <f>SUM(Таблица_𝛿т.ср[li])</f>
        <v>1120</v>
      </c>
      <c r="BR3" s="156" cm="1">
        <f t="array" ref="BR3">SUM(Таблица_𝛿т.ср[li]*Таблица_𝛿т.ср[𝛿тi])/SUM(Таблица_𝛿т.ср[li])</f>
        <v>1.0910714285714284E-2</v>
      </c>
      <c r="BU3" s="94">
        <f>'Pipe calculation'!E7</f>
        <v>1.22</v>
      </c>
      <c r="BV3" s="156">
        <f>SUM(Таблица_𝛿т.ср.1[li])</f>
        <v>1120</v>
      </c>
      <c r="BW3" s="156" cm="1">
        <f t="array" ref="BW3">SUM(Таблица_𝛿т.ср.1[li]*Таблица_𝛿т.ср.1[𝛿тi])/SUM(Таблица_𝛿т.ср.1[li])</f>
        <v>8.7410714285714296E-3</v>
      </c>
      <c r="BX3" s="160">
        <f>BV3</f>
        <v>1120</v>
      </c>
      <c r="BY3" s="94">
        <f>'Pipe calculation'!F7</f>
        <v>1.22</v>
      </c>
      <c r="BZ3" s="156">
        <f>SUM(Таблица_𝛿т.ср.2[li])</f>
        <v>1580</v>
      </c>
      <c r="CA3" s="156" cm="1">
        <f t="array" ref="CA3">SUM(Таблица_𝛿т.ср.2[li]*Таблица_𝛿т.ср.2[𝛿тi])/SUM(Таблица_𝛿т.ср.2[li])</f>
        <v>1.1091772151898736E-2</v>
      </c>
      <c r="CB3" s="160">
        <f>BX3+BZ3</f>
        <v>2700</v>
      </c>
      <c r="CC3" s="94">
        <f>'Pipe calculation'!F7</f>
        <v>1.22</v>
      </c>
      <c r="CD3" s="156">
        <f>SUM(Таблица_𝛿т.ср.3[li])</f>
        <v>1120</v>
      </c>
      <c r="CE3" s="156" cm="1">
        <f t="array" ref="CE3">SUM(Таблица_𝛿т.ср.3[li]*Таблица_𝛿т.ср.3[𝛿тi])/SUM(Таблица_𝛿т.ср.3[li])</f>
        <v>1.0910714285714284E-2</v>
      </c>
      <c r="CF3" s="160">
        <f>CB3+CD3</f>
        <v>3820</v>
      </c>
      <c r="CG3" s="94">
        <f>'Pipe calculation'!G7</f>
        <v>1.22</v>
      </c>
      <c r="CH3" s="156">
        <f>SUM(Таблица_𝛿т.ср.4[li])</f>
        <v>1580</v>
      </c>
      <c r="CI3" s="156" cm="1">
        <f t="array" ref="CI3">SUM(Таблица_𝛿т.ср.4[li]*Таблица_𝛿т.ср.4[𝛿тi])/SUM(Таблица_𝛿т.ср.4[li])</f>
        <v>1.1091772151898736E-2</v>
      </c>
      <c r="CJ3" s="160">
        <f>CF3+CH3</f>
        <v>5400</v>
      </c>
      <c r="CK3" s="94">
        <f>'Pipe calculation'!G7</f>
        <v>1.22</v>
      </c>
      <c r="CL3" s="156">
        <f>SUM(Таблица_𝛿т.ср.5[li])</f>
        <v>1120</v>
      </c>
      <c r="CM3" s="156" cm="1">
        <f t="array" ref="CM3">SUM(Таблица_𝛿т.ср.5[li]*Таблица_𝛿т.ср.5[𝛿тi])/SUM(Таблица_𝛿т.ср.5[li])</f>
        <v>1.0910714285714284E-2</v>
      </c>
      <c r="CN3" s="160">
        <f>CJ3+CL3</f>
        <v>6520</v>
      </c>
      <c r="CO3" s="94">
        <f>'Pipe calculation'!G7</f>
        <v>1.22</v>
      </c>
      <c r="CP3" s="156">
        <f>SUM(Таблица_𝛿т.ср.П22[li])</f>
        <v>1580</v>
      </c>
      <c r="CQ3" s="156" cm="1">
        <f t="array" ref="CQ3">SUM(Таблица_𝛿т.ср.П22[li]*Таблица_𝛿т.ср.П22[𝛿тi])/SUM(Таблица_𝛿т.ср.П22[li])</f>
        <v>1.1091772151898736E-2</v>
      </c>
      <c r="CR3" s="160">
        <f>CN3+CP3</f>
        <v>8100</v>
      </c>
      <c r="CS3" s="94">
        <f>'Pipe calculation'!G7</f>
        <v>1.22</v>
      </c>
      <c r="CT3" s="156">
        <f>SUM(Таблица_𝛿т.ср.7[li])</f>
        <v>1120</v>
      </c>
      <c r="CU3" s="156" cm="1">
        <f t="array" ref="CU3">SUM(Таблица_𝛿т.ср.7[li]*Таблица_𝛿т.ср.7[𝛿тi])/SUM(Таблица_𝛿т.ср.7[li])</f>
        <v>1.0910714285714284E-2</v>
      </c>
      <c r="CV3" s="160">
        <f>CR3+CT3</f>
        <v>9220</v>
      </c>
      <c r="CW3" s="94">
        <f>'Pipe calculation'!G7</f>
        <v>1.22</v>
      </c>
      <c r="CX3" s="156">
        <f>SUM(Таблица_𝛿т.ср.8[li])</f>
        <v>1580</v>
      </c>
      <c r="CY3" s="156" cm="1">
        <f t="array" ref="CY3">SUM(Таблица_𝛿т.ср.8[li]*Таблица_𝛿т.ср.8[𝛿тi])/SUM(Таблица_𝛿т.ср.8[li])</f>
        <v>1.1091772151898736E-2</v>
      </c>
      <c r="CZ3" s="160">
        <f>CV3+CX3</f>
        <v>10800</v>
      </c>
      <c r="DA3" s="94">
        <f>'Pipe calculation'!G7</f>
        <v>1.22</v>
      </c>
      <c r="DB3" s="156">
        <f>SUM(Таблица_𝛿т.ср.Л1923259[li])</f>
        <v>1120</v>
      </c>
      <c r="DC3" s="156" cm="1">
        <f t="array" ref="DC3">SUM(Таблица_𝛿т.ср.Л1923259[li]*Таблица_𝛿т.ср.Л1923259[𝛿тi])/SUM(Таблица_𝛿т.ср.Л1923259[li])</f>
        <v>1.0910714285714284E-2</v>
      </c>
      <c r="DD3" s="160">
        <f>CZ3+DB3</f>
        <v>11920</v>
      </c>
      <c r="DE3" s="94">
        <f>'Pipe calculation'!G7</f>
        <v>1.22</v>
      </c>
      <c r="DF3" s="156">
        <f>SUM(Таблица_𝛿т.ср.10[li])</f>
        <v>1580</v>
      </c>
      <c r="DG3" s="156" cm="1">
        <f t="array" ref="DG3">SUM(Таблица_𝛿т.ср.10[li]*Таблица_𝛿т.ср.10[𝛿тi])/SUM(Таблица_𝛿т.ср.10[li])</f>
        <v>1.1091772151898736E-2</v>
      </c>
      <c r="DH3" s="160">
        <f>DD3+DF3</f>
        <v>13500</v>
      </c>
      <c r="DI3" s="94">
        <f>MAX(Таблица_pi[n])</f>
        <v>12</v>
      </c>
      <c r="DJ3" s="157">
        <f>SUM(Таблица_pi[li1])</f>
        <v>70</v>
      </c>
      <c r="DK3" s="157">
        <f>SUM(Таблица_pi[li2])</f>
        <v>95</v>
      </c>
      <c r="DL3" s="157">
        <f>SUM(Таблица_pi[li3])</f>
        <v>69</v>
      </c>
      <c r="DM3" s="157">
        <f>SUM(Таблица_pi[li4])</f>
        <v>86</v>
      </c>
      <c r="DN3" s="157">
        <f>SUM(Таблица_pi[li5])</f>
        <v>96</v>
      </c>
      <c r="DO3" s="157">
        <f>SUM(Таблица_pi[li6])</f>
        <v>98</v>
      </c>
      <c r="DP3" s="157">
        <f>SUM(Таблица_pi[li7])</f>
        <v>78</v>
      </c>
      <c r="DQ3" s="157">
        <f>SUM(Таблица_pi[li8])</f>
        <v>72</v>
      </c>
      <c r="DR3" s="157">
        <f>SUM(Таблица_pi[li9])</f>
        <v>63</v>
      </c>
      <c r="DS3" s="157">
        <f>SUM(Таблица_pi[li10])</f>
        <v>72</v>
      </c>
      <c r="DT3" s="161">
        <f>MIN(DT6:DT17)</f>
        <v>22</v>
      </c>
      <c r="DU3" s="161">
        <f t="shared" ref="DU3:EC3" si="0">MIN(DU6:DU17)</f>
        <v>20</v>
      </c>
      <c r="DV3" s="161">
        <f t="shared" si="0"/>
        <v>34</v>
      </c>
      <c r="DW3" s="161">
        <f t="shared" si="0"/>
        <v>32</v>
      </c>
      <c r="DX3" s="161">
        <f t="shared" si="0"/>
        <v>30</v>
      </c>
      <c r="DY3" s="161">
        <f t="shared" si="0"/>
        <v>27</v>
      </c>
      <c r="DZ3" s="161">
        <f t="shared" si="0"/>
        <v>20</v>
      </c>
      <c r="EA3" s="161">
        <f t="shared" si="0"/>
        <v>25</v>
      </c>
      <c r="EB3" s="161">
        <f t="shared" si="0"/>
        <v>20</v>
      </c>
      <c r="EC3" s="161">
        <f t="shared" si="0"/>
        <v>21</v>
      </c>
      <c r="EE3" s="156" t="s">
        <v>573</v>
      </c>
      <c r="EF3" s="94" t="s">
        <v>633</v>
      </c>
    </row>
    <row r="4" spans="1:143" ht="63" customHeight="1" thickBot="1">
      <c r="B4" s="63"/>
      <c r="D4" s="60"/>
      <c r="H4" s="63"/>
      <c r="J4" s="60"/>
      <c r="N4" s="63"/>
      <c r="P4" s="60"/>
      <c r="T4" s="63"/>
      <c r="V4" s="60"/>
      <c r="Z4" s="63"/>
      <c r="AB4" s="60"/>
      <c r="AF4" s="63"/>
      <c r="AH4" s="60"/>
      <c r="AL4" s="63"/>
      <c r="AN4" s="60"/>
      <c r="AR4" s="63"/>
      <c r="AT4" s="60"/>
      <c r="AX4" s="63"/>
      <c r="AZ4" s="60"/>
      <c r="BD4" s="63"/>
      <c r="BF4" s="60"/>
      <c r="BJ4" s="63"/>
      <c r="BL4" s="60" t="s">
        <v>726</v>
      </c>
      <c r="BR4" s="1"/>
      <c r="BS4">
        <v>6.2</v>
      </c>
      <c r="BU4"/>
      <c r="BW4" s="1"/>
      <c r="BY4"/>
      <c r="CA4" s="1"/>
      <c r="CC4"/>
      <c r="CE4" s="1"/>
      <c r="CG4"/>
      <c r="CI4" s="1"/>
      <c r="CK4"/>
      <c r="CM4" s="1"/>
      <c r="CO4"/>
      <c r="CQ4" s="1"/>
      <c r="CS4"/>
      <c r="CU4" s="1"/>
      <c r="CW4"/>
      <c r="CY4" s="1"/>
      <c r="DA4"/>
      <c r="DC4" s="1"/>
      <c r="DE4"/>
      <c r="DG4" s="1"/>
      <c r="DJ4">
        <f>_xlfn.XLOOKUP(DT3,Таблица_pi[pi Ом*м],Таблица_pi[li1])</f>
        <v>4</v>
      </c>
      <c r="DK4">
        <f>_xlfn.XLOOKUP(DU3,Таблица_pi[pi Ом*м2],Таблица_pi[li2])</f>
        <v>12</v>
      </c>
      <c r="DL4">
        <f>_xlfn.XLOOKUP(DV3,Таблица_pi[pi Ом*м3],Таблица_pi[li3])</f>
        <v>3</v>
      </c>
      <c r="DM4">
        <f>_xlfn.XLOOKUP(DW3,Таблица_pi[pi Ом*м4],Таблица_pi[li4])</f>
        <v>8</v>
      </c>
      <c r="DN4">
        <f>_xlfn.XLOOKUP(DX3,Таблица_pi[pi Ом*м5],Таблица_pi[li5],,0,1)</f>
        <v>11</v>
      </c>
      <c r="DO4">
        <f>_xlfn.XLOOKUP(DY3,Таблица_pi[pi Ом*м6],Таблица_pi[li6])</f>
        <v>9</v>
      </c>
      <c r="DP4">
        <f>_xlfn.XLOOKUP(DZ3,Таблица_pi[pi Ом*м7],Таблица_pi[li7])</f>
        <v>4</v>
      </c>
      <c r="DQ4">
        <f>_xlfn.XLOOKUP(EA3,Таблица_pi[pi Ом*м8],Таблица_pi[li8])</f>
        <v>6</v>
      </c>
      <c r="DR4">
        <f>_xlfn.XLOOKUP(EB3,Таблица_pi[pi Ом*м9],Таблица_pi[li9])</f>
        <v>5</v>
      </c>
      <c r="DS4">
        <f>_xlfn.XLOOKUP(EC3,Таблица_pi[pi Ом*м10],Таблица_pi[li10])</f>
        <v>6</v>
      </c>
      <c r="DT4" cm="1">
        <f t="array" ref="DT4">DJ4/(DT3*SUM(Таблица_pi[li1]/Таблица_pi[pi Ом*м]))</f>
        <v>0.25954605484506216</v>
      </c>
      <c r="DU4" cm="1">
        <f t="array" ref="DU4">DK4/(DU3*SUM(Таблица_pi[li2]/Таблица_pi[pi Ом*м2]))</f>
        <v>0.4614108016972861</v>
      </c>
      <c r="DV4" cm="1">
        <f t="array" ref="DV4">DL4/(DV3*SUM(Таблица_pi[li3]/Таблица_pi[pi Ом*м3]))</f>
        <v>0.1558945529643779</v>
      </c>
      <c r="DW4" cm="1">
        <f t="array" ref="DW4">DM4/(DW3*SUM(Таблица_pi[li4]/Таблица_pi[pi Ом*м4]))</f>
        <v>0.25105557188709626</v>
      </c>
      <c r="DX4" cm="1">
        <f t="array" ref="DX4">DN4/(DX3*SUM(Таблица_pi[li5]/Таблица_pi[pi Ом*м5]))</f>
        <v>0.36876811257189734</v>
      </c>
      <c r="DY4" cm="1">
        <f t="array" ref="DY4">DO4/(DY3*SUM(Таблица_pi[li6]/Таблица_pi[pi Ом*м6]))</f>
        <v>0.32254517012059475</v>
      </c>
      <c r="DZ4" cm="1">
        <f t="array" ref="DZ4">DP4/(DZ3*SUM(Таблица_pi[li7]/Таблица_pi[pi Ом*м7]))</f>
        <v>0.2337883890174767</v>
      </c>
      <c r="EA4" cm="1">
        <f t="array" ref="EA4">DQ4/(EA3*SUM(Таблица_pi[li8]/Таблица_pi[pi Ом*м8]))</f>
        <v>0.28872276231615279</v>
      </c>
      <c r="EB4" cm="1">
        <f t="array" ref="EB4">DR4/(EB3*SUM(Таблица_pi[li9]/Таблица_pi[pi Ом*м9]))</f>
        <v>0.4066571436881673</v>
      </c>
      <c r="EC4" cm="1">
        <f t="array" ref="EC4">DS4/(EC3*SUM(Таблица_pi[li10]/Таблица_pi[pi Ом*м10]))</f>
        <v>0.38046183679318579</v>
      </c>
      <c r="ED4" s="48"/>
      <c r="EF4" t="s">
        <v>572</v>
      </c>
    </row>
    <row r="5" spans="1:143" ht="60" customHeight="1" thickBot="1">
      <c r="A5" s="56" t="s">
        <v>683</v>
      </c>
      <c r="B5" s="57" t="s">
        <v>113</v>
      </c>
      <c r="C5" s="58" t="s">
        <v>114</v>
      </c>
      <c r="D5" s="66" t="s">
        <v>116</v>
      </c>
      <c r="E5" s="60"/>
      <c r="F5" s="60"/>
      <c r="G5" s="190" t="s">
        <v>683</v>
      </c>
      <c r="H5" s="191" t="s">
        <v>113</v>
      </c>
      <c r="I5" s="191" t="s">
        <v>114</v>
      </c>
      <c r="J5" s="192" t="s">
        <v>116</v>
      </c>
      <c r="K5" s="60"/>
      <c r="L5" s="60"/>
      <c r="M5" s="56" t="s">
        <v>1</v>
      </c>
      <c r="N5" s="57" t="s">
        <v>113</v>
      </c>
      <c r="O5" s="58" t="s">
        <v>114</v>
      </c>
      <c r="P5" s="66" t="s">
        <v>116</v>
      </c>
      <c r="Q5" s="60"/>
      <c r="R5" s="60"/>
      <c r="S5" s="56" t="s">
        <v>1</v>
      </c>
      <c r="T5" s="57" t="s">
        <v>113</v>
      </c>
      <c r="U5" s="58" t="s">
        <v>114</v>
      </c>
      <c r="V5" s="66" t="s">
        <v>116</v>
      </c>
      <c r="W5" s="60"/>
      <c r="X5" s="60"/>
      <c r="Y5" s="56" t="s">
        <v>1</v>
      </c>
      <c r="Z5" s="57" t="s">
        <v>113</v>
      </c>
      <c r="AA5" s="58" t="s">
        <v>114</v>
      </c>
      <c r="AB5" s="66" t="s">
        <v>116</v>
      </c>
      <c r="AC5" s="60"/>
      <c r="AD5" s="60"/>
      <c r="AE5" s="56" t="s">
        <v>1</v>
      </c>
      <c r="AF5" s="57" t="s">
        <v>113</v>
      </c>
      <c r="AG5" s="58" t="s">
        <v>114</v>
      </c>
      <c r="AH5" s="66" t="s">
        <v>116</v>
      </c>
      <c r="AI5" s="60"/>
      <c r="AJ5" s="60"/>
      <c r="AK5" s="56" t="s">
        <v>1</v>
      </c>
      <c r="AL5" s="57" t="s">
        <v>113</v>
      </c>
      <c r="AM5" s="58" t="s">
        <v>114</v>
      </c>
      <c r="AN5" s="66" t="s">
        <v>116</v>
      </c>
      <c r="AO5" s="60"/>
      <c r="AP5" s="60"/>
      <c r="AQ5" s="56" t="s">
        <v>1</v>
      </c>
      <c r="AR5" s="57" t="s">
        <v>113</v>
      </c>
      <c r="AS5" s="58" t="s">
        <v>114</v>
      </c>
      <c r="AT5" s="66" t="s">
        <v>116</v>
      </c>
      <c r="AU5" s="60"/>
      <c r="AV5" s="60"/>
      <c r="AW5" s="56" t="s">
        <v>1</v>
      </c>
      <c r="AX5" s="57" t="s">
        <v>113</v>
      </c>
      <c r="AY5" s="58" t="s">
        <v>114</v>
      </c>
      <c r="AZ5" s="66" t="s">
        <v>116</v>
      </c>
      <c r="BA5" s="60"/>
      <c r="BB5" s="60"/>
      <c r="BC5" s="56" t="s">
        <v>1</v>
      </c>
      <c r="BD5" s="57" t="s">
        <v>113</v>
      </c>
      <c r="BE5" s="58" t="s">
        <v>114</v>
      </c>
      <c r="BF5" s="66" t="s">
        <v>116</v>
      </c>
      <c r="BG5" s="60"/>
      <c r="BH5" s="60"/>
      <c r="BI5" s="56" t="s">
        <v>1</v>
      </c>
      <c r="BJ5" s="57" t="s">
        <v>113</v>
      </c>
      <c r="BK5" s="58" t="s">
        <v>114</v>
      </c>
      <c r="BL5" s="66" t="s">
        <v>116</v>
      </c>
      <c r="BM5" s="60"/>
      <c r="BN5" s="60"/>
      <c r="BO5" s="60"/>
      <c r="BP5" t="s">
        <v>103</v>
      </c>
      <c r="BQ5" t="s">
        <v>20</v>
      </c>
      <c r="BR5" t="s">
        <v>102</v>
      </c>
      <c r="BU5" t="s">
        <v>103</v>
      </c>
      <c r="BV5" t="s">
        <v>20</v>
      </c>
      <c r="BW5" t="s">
        <v>102</v>
      </c>
      <c r="BY5" t="s">
        <v>103</v>
      </c>
      <c r="BZ5" t="s">
        <v>20</v>
      </c>
      <c r="CA5" t="s">
        <v>102</v>
      </c>
      <c r="CC5" t="s">
        <v>103</v>
      </c>
      <c r="CD5" t="s">
        <v>20</v>
      </c>
      <c r="CE5" t="s">
        <v>102</v>
      </c>
      <c r="CG5" t="s">
        <v>103</v>
      </c>
      <c r="CH5" t="s">
        <v>20</v>
      </c>
      <c r="CI5" t="s">
        <v>102</v>
      </c>
      <c r="CK5" t="s">
        <v>103</v>
      </c>
      <c r="CL5" t="s">
        <v>20</v>
      </c>
      <c r="CM5" t="s">
        <v>102</v>
      </c>
      <c r="CO5" t="s">
        <v>103</v>
      </c>
      <c r="CP5" t="s">
        <v>20</v>
      </c>
      <c r="CQ5" t="s">
        <v>102</v>
      </c>
      <c r="CS5" t="s">
        <v>103</v>
      </c>
      <c r="CT5" t="s">
        <v>20</v>
      </c>
      <c r="CU5" t="s">
        <v>102</v>
      </c>
      <c r="CW5" t="s">
        <v>103</v>
      </c>
      <c r="CX5" t="s">
        <v>20</v>
      </c>
      <c r="CY5" t="s">
        <v>102</v>
      </c>
      <c r="DA5" t="s">
        <v>103</v>
      </c>
      <c r="DB5" t="s">
        <v>20</v>
      </c>
      <c r="DC5" t="s">
        <v>102</v>
      </c>
      <c r="DE5" t="s">
        <v>103</v>
      </c>
      <c r="DF5" t="s">
        <v>20</v>
      </c>
      <c r="DG5" t="s">
        <v>102</v>
      </c>
      <c r="DI5" t="s">
        <v>16</v>
      </c>
      <c r="DJ5" s="100" t="s">
        <v>623</v>
      </c>
      <c r="DK5" s="101" t="s">
        <v>624</v>
      </c>
      <c r="DL5" s="101" t="s">
        <v>625</v>
      </c>
      <c r="DM5" s="101" t="s">
        <v>626</v>
      </c>
      <c r="DN5" s="101" t="s">
        <v>627</v>
      </c>
      <c r="DO5" s="101" t="s">
        <v>628</v>
      </c>
      <c r="DP5" s="101" t="s">
        <v>629</v>
      </c>
      <c r="DQ5" s="101" t="s">
        <v>630</v>
      </c>
      <c r="DR5" s="101" t="s">
        <v>631</v>
      </c>
      <c r="DS5" s="102" t="s">
        <v>632</v>
      </c>
      <c r="DT5" t="s">
        <v>570</v>
      </c>
      <c r="DU5" t="s">
        <v>640</v>
      </c>
      <c r="DV5" t="s">
        <v>641</v>
      </c>
      <c r="DW5" t="s">
        <v>642</v>
      </c>
      <c r="DX5" t="s">
        <v>643</v>
      </c>
      <c r="DY5" t="s">
        <v>644</v>
      </c>
      <c r="DZ5" t="s">
        <v>645</v>
      </c>
      <c r="EA5" t="s">
        <v>646</v>
      </c>
      <c r="EB5" t="s">
        <v>647</v>
      </c>
      <c r="EC5" t="s">
        <v>648</v>
      </c>
      <c r="ED5" s="115" t="s">
        <v>663</v>
      </c>
    </row>
    <row r="6" spans="1:143">
      <c r="A6" s="64">
        <v>1</v>
      </c>
      <c r="B6" s="49">
        <v>496.5</v>
      </c>
      <c r="C6" s="65">
        <v>546</v>
      </c>
      <c r="D6" s="76">
        <f t="shared" ref="D6:D69" si="1">IFERROR(IF(B6-B5&lt;=0,"",(B6-B5)*1000),100)</f>
        <v>100</v>
      </c>
      <c r="E6" s="61">
        <f>IFERROR(IF(B6-B5&lt;=0,"",D6/SQRT(Таблица_pr[[#This Row],[Удельное сопротивление грунта, Ом·м]])),D6/SQRT(Таблица_pr[[#This Row],[Удельное сопротивление грунта, Ом·м]]))</f>
        <v>4.2796049251091288</v>
      </c>
      <c r="G6" s="188">
        <v>1</v>
      </c>
      <c r="H6" s="175">
        <v>496.5</v>
      </c>
      <c r="I6" s="176">
        <v>546</v>
      </c>
      <c r="J6" s="177">
        <f t="shared" ref="J6:J69" si="2">IFERROR(IF(H6-H5&lt;=0,"",(H6-H5)*1000),100)</f>
        <v>100</v>
      </c>
      <c r="K6" s="61">
        <f>IFERROR(IF(H6-H5&lt;=0,"",J6/SQRT(Таблица_pr1[[#This Row],[Удельное сопротивление грунта, Ом·м]])),J6/SQRT(Таблица_pr1[[#This Row],[Удельное сопротивление грунта, Ом·м]]))</f>
        <v>4.2796049251091288</v>
      </c>
      <c r="L6" s="61">
        <v>1</v>
      </c>
      <c r="M6" s="64">
        <v>29</v>
      </c>
      <c r="N6" s="49">
        <v>499.30000000000098</v>
      </c>
      <c r="O6" s="65">
        <v>53</v>
      </c>
      <c r="P6" s="61">
        <v>100</v>
      </c>
      <c r="Q6" s="61">
        <f>IFERROR(IF(N6-N5&lt;=0,"",P6/SQRT(Таблица_pr2[[#This Row],[Удельное сопротивление грунта, Ом·м]])),P6/SQRT(Таблица_pr2[[#This Row],[Удельное сопротивление грунта, Ом·м]]))</f>
        <v>13.736056394868903</v>
      </c>
      <c r="R6" s="76">
        <v>1</v>
      </c>
      <c r="S6" s="51">
        <v>56</v>
      </c>
      <c r="T6" s="49">
        <v>502.00000000000125</v>
      </c>
      <c r="U6" s="50">
        <v>73.3</v>
      </c>
      <c r="V6" s="61">
        <f>IFERROR(IF(T6-N32&lt;=0,"",(T6-N32)*1000),100)</f>
        <v>100.00000000002274</v>
      </c>
      <c r="W6" s="61">
        <f>IFERROR(IF(T6-T5&lt;=0,"",V6/SQRT(Таблица_pr3[[#This Row],[Удельное сопротивление грунта, Ом·м]])),V6/SQRT(Таблица_pr3[[#This Row],[Удельное сопротивление грунта, Ом·м]]))</f>
        <v>11.680139041205381</v>
      </c>
      <c r="X6" s="61">
        <v>1</v>
      </c>
      <c r="Y6" s="51">
        <v>84</v>
      </c>
      <c r="Z6" s="52">
        <v>504.80000000000189</v>
      </c>
      <c r="AA6" s="50">
        <v>53.1</v>
      </c>
      <c r="AB6" s="61">
        <f>IFERROR(IF(Z6-T33&lt;=0,"",(Z6-T33)*1000),100)</f>
        <v>100.00000000002274</v>
      </c>
      <c r="AC6" s="61">
        <f>IFERROR(IF(Z6-Z5&lt;=0,"",AB6/SQRT(Таблица_pr4[[#This Row],[Удельное сопротивление грунта, Ом·м]])),AB6/SQRT(Таблица_pr4[[#This Row],[Удельное сопротивление грунта, Ом·м]]))</f>
        <v>13.723116159880091</v>
      </c>
      <c r="AD6" s="76">
        <v>1</v>
      </c>
      <c r="AE6" s="51">
        <v>111</v>
      </c>
      <c r="AF6" s="52">
        <v>507.5000000000025</v>
      </c>
      <c r="AG6" s="50">
        <v>35.200000000000003</v>
      </c>
      <c r="AH6" s="61">
        <f>IFERROR(IF(AF6-Z32&lt;=0,"",(AF6-Z32)*1000),100)</f>
        <v>100.00000000002274</v>
      </c>
      <c r="AI6" s="61">
        <f>IFERROR(IF(AF6-AF5&lt;=0,"",AH6/SQRT(Таблица_pr5[[#This Row],[Удельное сопротивление грунта, Ом·м]])),AH6/SQRT(Таблица_pr5[[#This Row],[Удельное сопротивление грунта, Ом·м]]))</f>
        <v>16.854996561584883</v>
      </c>
      <c r="AJ6" s="61">
        <v>1</v>
      </c>
      <c r="AK6" s="64">
        <v>141</v>
      </c>
      <c r="AL6" s="52">
        <v>510.60000000000321</v>
      </c>
      <c r="AM6" s="67">
        <v>57.4</v>
      </c>
      <c r="AN6" s="61">
        <f>IFERROR(IF(AL6-AF35&lt;=0,"",(AL6-AF35)*1000),100)</f>
        <v>100.00000000002274</v>
      </c>
      <c r="AO6" s="61">
        <f>IFERROR(IF(AL6-AL5&lt;=0,"",AN6/SQRT(Таблица_pr6[[#This Row],[Удельное сопротивление грунта, Ом·м]])),AN6/SQRT(Таблица_pr6[[#This Row],[Удельное сопротивление грунта, Ом·м]]))</f>
        <v>13.199091933714367</v>
      </c>
      <c r="AP6" s="76">
        <v>1</v>
      </c>
      <c r="AQ6" s="64">
        <v>171</v>
      </c>
      <c r="AR6" s="52">
        <v>513.60000000000389</v>
      </c>
      <c r="AS6" s="67">
        <v>25</v>
      </c>
      <c r="AT6" s="61">
        <f>IFERROR(IF(AR6-AL35&lt;=0,"",(AR6-AL35)*1000),100)</f>
        <v>100.00000000002274</v>
      </c>
      <c r="AU6" s="61">
        <f>IFERROR(IF(AR6-AR5&lt;=0,"",AT6/SQRT(Таблица_pr7[[#This Row],[Удельное сопротивление грунта, Ом·м]])),AT6/SQRT(Таблица_pr7[[#This Row],[Удельное сопротивление грунта, Ом·м]]))</f>
        <v>20.000000000004547</v>
      </c>
      <c r="AV6" s="61">
        <v>1</v>
      </c>
      <c r="AW6" s="64">
        <v>191</v>
      </c>
      <c r="AX6" s="52">
        <v>515.60000000000434</v>
      </c>
      <c r="AY6" s="67">
        <v>77.8</v>
      </c>
      <c r="AZ6" s="61">
        <f>IFERROR(IF(AX6-AR25&lt;=0,"",(AX6-AR25)*1000),100)</f>
        <v>100.00000000002274</v>
      </c>
      <c r="BA6" s="61">
        <f>IFERROR(IF(AX6-AX5&lt;=0,"",AZ6/SQRT(Таблица_pr8[[#This Row],[Удельное сопротивление грунта, Ом·м]])),AZ6/SQRT(Таблица_pr8[[#This Row],[Удельное сопротивление грунта, Ом·м]]))</f>
        <v>11.337314689565533</v>
      </c>
      <c r="BB6" s="76">
        <v>1</v>
      </c>
      <c r="BC6" s="64">
        <v>221</v>
      </c>
      <c r="BD6" s="52">
        <v>518.60000000000502</v>
      </c>
      <c r="BE6" s="67">
        <v>69.900000000000006</v>
      </c>
      <c r="BF6" s="61">
        <f>IFERROR(IF(BD6-AX35&lt;=0,"",(BD6-AX35)*1000),100)</f>
        <v>100.00000000002274</v>
      </c>
      <c r="BG6" s="61">
        <f>IFERROR(IF(BD6-AX25&lt;=0,"",BF6/SQRT(Таблица_pr9[[#This Row],[Удельное сопротивление грунта, Ом·м]])),BF6/SQRT(Таблица_pr9[[#This Row],[Удельное сопротивление грунта, Ом·м]]))</f>
        <v>11.960832598617015</v>
      </c>
      <c r="BH6" s="61">
        <v>1</v>
      </c>
      <c r="BI6" s="64">
        <v>251</v>
      </c>
      <c r="BJ6" s="52">
        <v>521.60000000000571</v>
      </c>
      <c r="BK6" s="67">
        <v>31.8</v>
      </c>
      <c r="BL6" s="61">
        <f>IFERROR(IF(BJ6-BD35&lt;=0,"",(BJ6-BD35)*1000),100)</f>
        <v>100.00000000002274</v>
      </c>
      <c r="BM6" s="61">
        <f>IFERROR(IF(BJ6-BD35&lt;=0,"",BL6/SQRT(Таблица_pr10[[#This Row],[Удельное сопротивление грунта, Ом·м]])),BL6/SQRT(Таблица_pr10[[#This Row],[Удельное сопротивление грунта, Ом·м]]))</f>
        <v>17.733172553301749</v>
      </c>
      <c r="BP6">
        <v>1</v>
      </c>
      <c r="BQ6">
        <v>270</v>
      </c>
      <c r="BR6">
        <f>VALUE(TableB[[#Headers],[0.0090]])</f>
        <v>8.9999999999999993E-3</v>
      </c>
      <c r="BT6" s="61" t="str" cm="1">
        <f t="array" ref="BT6:BT27">TRANSPOSE(_xlfn.XLOOKUP(BU3,TableB[Диаметр трубы Dт, м / Толщина стенки трубы 𝛿т , м],TableB[[0.0040]:[0.0200]]))</f>
        <v/>
      </c>
      <c r="BU6">
        <v>1</v>
      </c>
      <c r="BV6">
        <v>270</v>
      </c>
      <c r="BW6">
        <f>BN2</f>
        <v>0</v>
      </c>
      <c r="BX6" s="45" t="str" cm="1">
        <f t="array" ref="BX6:BX27">TRANSPOSE(_xlfn.XLOOKUP(BY3,TableB[Диаметр трубы Dт, м / Толщина стенки трубы 𝛿т , м],TableB[[0.0040]:[0.0200]]))</f>
        <v/>
      </c>
      <c r="BY6">
        <v>1</v>
      </c>
      <c r="BZ6">
        <v>230</v>
      </c>
      <c r="CA6">
        <f>VALUE(TableB[[#Headers],[0.0090]])</f>
        <v>8.9999999999999993E-3</v>
      </c>
      <c r="CB6" s="45"/>
      <c r="CC6">
        <v>1</v>
      </c>
      <c r="CD6">
        <v>270</v>
      </c>
      <c r="CE6">
        <f>VALUE(TableB[[#Headers],[0.0090]])</f>
        <v>8.9999999999999993E-3</v>
      </c>
      <c r="CF6" s="45"/>
      <c r="CG6">
        <v>1</v>
      </c>
      <c r="CH6">
        <v>230</v>
      </c>
      <c r="CI6">
        <f>VALUE(TableB[[#Headers],[0.0090]])</f>
        <v>8.9999999999999993E-3</v>
      </c>
      <c r="CJ6" s="45"/>
      <c r="CK6">
        <v>1</v>
      </c>
      <c r="CL6">
        <v>270</v>
      </c>
      <c r="CM6">
        <f>VALUE(TableB[[#Headers],[0.0090]])</f>
        <v>8.9999999999999993E-3</v>
      </c>
      <c r="CN6" s="45"/>
      <c r="CO6">
        <v>1</v>
      </c>
      <c r="CP6">
        <v>230</v>
      </c>
      <c r="CQ6">
        <f>VALUE(TableB[[#Headers],[0.0090]])</f>
        <v>8.9999999999999993E-3</v>
      </c>
      <c r="CR6" s="45"/>
      <c r="CS6">
        <v>1</v>
      </c>
      <c r="CT6">
        <v>270</v>
      </c>
      <c r="CU6">
        <f>VALUE(TableB[[#Headers],[0.0090]])</f>
        <v>8.9999999999999993E-3</v>
      </c>
      <c r="CV6" s="45"/>
      <c r="CW6">
        <v>1</v>
      </c>
      <c r="CX6">
        <v>230</v>
      </c>
      <c r="CY6">
        <f>VALUE(TableB[[#Headers],[0.0090]])</f>
        <v>8.9999999999999993E-3</v>
      </c>
      <c r="CZ6" s="45"/>
      <c r="DA6">
        <v>1</v>
      </c>
      <c r="DB6">
        <v>270</v>
      </c>
      <c r="DC6">
        <f>VALUE(TableB[[#Headers],[0.0090]])</f>
        <v>8.9999999999999993E-3</v>
      </c>
      <c r="DD6" s="45"/>
      <c r="DE6">
        <v>1</v>
      </c>
      <c r="DF6">
        <v>230</v>
      </c>
      <c r="DG6">
        <f>VALUE(TableB[[#Headers],[0.0090]])</f>
        <v>8.9999999999999993E-3</v>
      </c>
      <c r="DH6" s="45"/>
      <c r="DI6">
        <v>1</v>
      </c>
      <c r="DJ6" s="103">
        <v>8</v>
      </c>
      <c r="DK6" s="103">
        <v>1</v>
      </c>
      <c r="DL6" s="103">
        <v>4</v>
      </c>
      <c r="DM6" s="103">
        <v>5</v>
      </c>
      <c r="DN6" s="103">
        <v>10</v>
      </c>
      <c r="DO6" s="103">
        <v>7</v>
      </c>
      <c r="DP6" s="103">
        <v>12</v>
      </c>
      <c r="DQ6" s="103">
        <v>5</v>
      </c>
      <c r="DR6" s="103">
        <v>9</v>
      </c>
      <c r="DS6" s="103">
        <v>7</v>
      </c>
      <c r="DT6" s="103">
        <v>117</v>
      </c>
      <c r="DU6" s="103">
        <v>144</v>
      </c>
      <c r="DV6" s="103">
        <v>113</v>
      </c>
      <c r="DW6" s="103">
        <v>120</v>
      </c>
      <c r="DX6" s="103">
        <v>122</v>
      </c>
      <c r="DY6" s="103">
        <v>122</v>
      </c>
      <c r="DZ6" s="103">
        <v>82</v>
      </c>
      <c r="EA6" s="103">
        <v>132</v>
      </c>
      <c r="EB6" s="103">
        <v>133</v>
      </c>
      <c r="EC6" s="103">
        <v>136</v>
      </c>
      <c r="ED6" s="75" t="s">
        <v>659</v>
      </c>
      <c r="EE6" s="36"/>
      <c r="EG6" s="36"/>
      <c r="EH6" s="36"/>
      <c r="EI6" s="36"/>
      <c r="EJ6" s="36"/>
      <c r="EK6" s="36"/>
      <c r="EL6" s="36"/>
      <c r="EM6" s="36"/>
    </row>
    <row r="7" spans="1:143">
      <c r="A7" s="64">
        <v>2</v>
      </c>
      <c r="B7" s="49">
        <v>496.6</v>
      </c>
      <c r="C7" s="65">
        <v>362.8</v>
      </c>
      <c r="D7" s="61">
        <f t="shared" si="1"/>
        <v>100.00000000002274</v>
      </c>
      <c r="E7" s="61">
        <f>IFERROR(IF(B7-B6&lt;=0,"",D7/SQRT(Таблица_pr[[#This Row],[Удельное сопротивление грунта, Ом·м]])),D7/SQRT(Таблица_pr[[#This Row],[Удельное сопротивление грунта, Ом·м]]))</f>
        <v>5.2500853145807422</v>
      </c>
      <c r="G7" s="189">
        <v>2</v>
      </c>
      <c r="H7" s="178">
        <v>496.6</v>
      </c>
      <c r="I7" s="179">
        <v>362.8</v>
      </c>
      <c r="J7" s="180">
        <f t="shared" si="2"/>
        <v>100.00000000002274</v>
      </c>
      <c r="K7" s="61">
        <f>IFERROR(IF(H7-H6&lt;=0,"",J7/SQRT(Таблица_pr1[[#This Row],[Удельное сопротивление грунта, Ом·м]])),J7/SQRT(Таблица_pr1[[#This Row],[Удельное сопротивление грунта, Ом·м]]))</f>
        <v>5.2500853145807422</v>
      </c>
      <c r="L7" s="61">
        <v>2</v>
      </c>
      <c r="M7" s="64">
        <v>30</v>
      </c>
      <c r="N7" s="49">
        <v>499.400000000001</v>
      </c>
      <c r="O7" s="65">
        <v>62</v>
      </c>
      <c r="P7" s="61">
        <f t="shared" ref="P7:P32" si="3">IFERROR(IF(N7-N6&lt;=0,"",(N7-N6)*1000),100)</f>
        <v>100.00000000002274</v>
      </c>
      <c r="Q7" s="61">
        <f>IFERROR(IF(N7-N6&lt;=0,"",P7/SQRT(Таблица_pr2[[#This Row],[Удельное сопротивление грунта, Ом·м]])),P7/SQRT(Таблица_pr2[[#This Row],[Удельное сопротивление грунта, Ом·м]]))</f>
        <v>12.700012700021938</v>
      </c>
      <c r="R7" s="76">
        <v>2</v>
      </c>
      <c r="S7" s="51">
        <v>57</v>
      </c>
      <c r="T7" s="49">
        <v>502.10000000000127</v>
      </c>
      <c r="U7" s="50">
        <v>47</v>
      </c>
      <c r="V7" s="61">
        <f t="shared" ref="V7:V15" si="4">IFERROR(IF(T7-T6&lt;=0,"",(T7-T6)*1000),100)</f>
        <v>100.00000000002274</v>
      </c>
      <c r="W7" s="61">
        <f>IFERROR(IF(T7-T6&lt;=0,"",V7/SQRT(Таблица_pr3[[#This Row],[Удельное сопротивление грунта, Ом·м]])),V7/SQRT(Таблица_pr3[[#This Row],[Удельное сопротивление грунта, Ом·м]]))</f>
        <v>14.586499149792772</v>
      </c>
      <c r="X7" s="61">
        <v>2</v>
      </c>
      <c r="Y7" s="51">
        <v>85</v>
      </c>
      <c r="Z7" s="52">
        <v>504.90000000000191</v>
      </c>
      <c r="AA7" s="50">
        <v>54.5</v>
      </c>
      <c r="AB7" s="61">
        <f t="shared" ref="AB7:AB32" si="5">IFERROR(IF(Z7-Z6&lt;=0,"",(Z7-Z6)*1000),100)</f>
        <v>100.00000000002274</v>
      </c>
      <c r="AC7" s="61">
        <f>IFERROR(IF(Z7-Z6&lt;=0,"",AB7/SQRT(Таблица_pr4[[#This Row],[Удельное сопротивление грунта, Ом·м]])),AB7/SQRT(Таблица_pr4[[#This Row],[Удельное сопротивление грунта, Ом·м]]))</f>
        <v>13.545709229575007</v>
      </c>
      <c r="AD7" s="76">
        <v>2</v>
      </c>
      <c r="AE7" s="51">
        <v>112</v>
      </c>
      <c r="AF7" s="52">
        <v>507.60000000000252</v>
      </c>
      <c r="AG7" s="50">
        <v>38.9</v>
      </c>
      <c r="AH7" s="61">
        <f t="shared" ref="AH7:AH35" si="6">IFERROR(IF(AF7-AF6&lt;=0,"",(AF7-AF6)*1000),100)</f>
        <v>100.00000000002274</v>
      </c>
      <c r="AI7" s="61">
        <f>IFERROR(IF(AF7-AF6&lt;=0,"",AH7/SQRT(Таблица_pr5[[#This Row],[Удельное сопротивление грунта, Ом·м]])),AH7/SQRT(Таблица_pr5[[#This Row],[Удельное сопротивление грунта, Ом·м]]))</f>
        <v>16.033384194875293</v>
      </c>
      <c r="AJ7" s="61">
        <v>2</v>
      </c>
      <c r="AK7" s="64">
        <v>142</v>
      </c>
      <c r="AL7" s="52">
        <v>510.70000000000323</v>
      </c>
      <c r="AM7" s="67">
        <v>55.9</v>
      </c>
      <c r="AN7" s="61">
        <f t="shared" ref="AN7:AN35" si="7">IFERROR(IF(AL7-AL6&lt;=0,"",(AL7-AL6)*1000),100)</f>
        <v>100.00000000002274</v>
      </c>
      <c r="AO7" s="61">
        <f>IFERROR(IF(AL7-AL6&lt;=0,"",AN7/SQRT(Таблица_pr6[[#This Row],[Удельное сопротивление грунта, Ом·м]])),AN7/SQRT(Таблица_pr6[[#This Row],[Удельное сопротивление грунта, Ом·м]]))</f>
        <v>13.375009404309836</v>
      </c>
      <c r="AP7" s="76">
        <v>2</v>
      </c>
      <c r="AQ7" s="64">
        <v>172</v>
      </c>
      <c r="AR7" s="52">
        <v>513.70000000000391</v>
      </c>
      <c r="AS7" s="67">
        <v>27.3</v>
      </c>
      <c r="AT7" s="61">
        <f t="shared" ref="AT7:AT25" si="8">IFERROR(IF(AR7-AR6&lt;=0,"",(AR7-AR6)*1000),100)</f>
        <v>100.00000000002274</v>
      </c>
      <c r="AU7" s="61">
        <f>IFERROR(IF(AR7-AR6&lt;=0,"",AT7/SQRT(Таблица_pr7[[#This Row],[Удельное сопротивление грунта, Ом·м]])),AT7/SQRT(Таблица_pr7[[#This Row],[Удельное сопротивление грунта, Ом·м]]))</f>
        <v>19.138975058778168</v>
      </c>
      <c r="AV7" s="61">
        <v>2</v>
      </c>
      <c r="AW7" s="64">
        <v>192</v>
      </c>
      <c r="AX7" s="52">
        <v>515.70000000000437</v>
      </c>
      <c r="AY7" s="67">
        <v>86.1</v>
      </c>
      <c r="AZ7" s="61">
        <f t="shared" ref="AZ7:AZ35" si="9">IFERROR(IF(AX7-AX6&lt;=0,"",(AX7-AX6)*1000),100)</f>
        <v>100.00000000002274</v>
      </c>
      <c r="BA7" s="61">
        <f>IFERROR(IF(AX7-AX6&lt;=0,"",AZ7/SQRT(Таблица_pr8[[#This Row],[Удельное сопротивление грунта, Ом·м]])),AZ7/SQRT(Таблица_pr8[[#This Row],[Удельное сопротивление грунта, Ом·м]]))</f>
        <v>10.777013435228509</v>
      </c>
      <c r="BB7" s="76">
        <v>2</v>
      </c>
      <c r="BC7" s="64">
        <v>222</v>
      </c>
      <c r="BD7" s="52">
        <v>518.70000000000505</v>
      </c>
      <c r="BE7" s="67">
        <v>90.1</v>
      </c>
      <c r="BF7" s="61">
        <f t="shared" ref="BF7:BF35" si="10">IFERROR(IF(BD7-BD6&lt;=0,"",(BD7-BD6)*1000),100)</f>
        <v>100.00000000002274</v>
      </c>
      <c r="BG7" s="61">
        <f>IFERROR(IF(BD7-AX26&lt;=0,"",BF7/SQRT(Таблица_pr9[[#This Row],[Удельное сопротивление грунта, Ом·м]])),BF7/SQRT(Таблица_pr9[[#This Row],[Удельное сопротивление грунта, Ом·м]]))</f>
        <v>10.535074339699875</v>
      </c>
      <c r="BH7" s="61">
        <v>2</v>
      </c>
      <c r="BI7" s="64">
        <v>252</v>
      </c>
      <c r="BJ7" s="52">
        <v>521.70000000000573</v>
      </c>
      <c r="BK7" s="67">
        <v>28.7</v>
      </c>
      <c r="BL7" s="61">
        <f t="shared" ref="BL7:BL32" si="11">IFERROR(IF(BJ7-BJ6&lt;=0,"",(BJ7-BJ6)*1000),100)</f>
        <v>100.00000000002274</v>
      </c>
      <c r="BM7" s="61">
        <f>IFERROR(IF(BJ7-BD36&lt;=0,"",BL7/SQRT(Таблица_pr10[[#This Row],[Удельное сопротивление грунта, Ом·м]])),BL7/SQRT(Таблица_pr10[[#This Row],[Удельное сопротивление грунта, Ом·м]]))</f>
        <v>18.66633482366818</v>
      </c>
      <c r="BP7">
        <v>2</v>
      </c>
      <c r="BQ7">
        <v>130</v>
      </c>
      <c r="BR7">
        <f>VALUE(TableB[[#Headers],[0.0095]])</f>
        <v>9.4999999999999998E-3</v>
      </c>
      <c r="BT7" t="str">
        <v/>
      </c>
      <c r="BU7">
        <v>2</v>
      </c>
      <c r="BV7">
        <v>130</v>
      </c>
      <c r="BW7">
        <f>VALUE(TableB[[#Headers],[0.0095]])</f>
        <v>9.4999999999999998E-3</v>
      </c>
      <c r="BX7" t="str">
        <v/>
      </c>
      <c r="BY7">
        <v>2</v>
      </c>
      <c r="BZ7">
        <v>200</v>
      </c>
      <c r="CA7">
        <f>VALUE(TableB[[#Headers],[0.0095]])</f>
        <v>9.4999999999999998E-3</v>
      </c>
      <c r="CC7">
        <v>2</v>
      </c>
      <c r="CD7">
        <v>130</v>
      </c>
      <c r="CE7">
        <f>VALUE(TableB[[#Headers],[0.0095]])</f>
        <v>9.4999999999999998E-3</v>
      </c>
      <c r="CG7">
        <v>2</v>
      </c>
      <c r="CH7">
        <v>200</v>
      </c>
      <c r="CI7">
        <f>VALUE(TableB[[#Headers],[0.0095]])</f>
        <v>9.4999999999999998E-3</v>
      </c>
      <c r="CK7">
        <v>2</v>
      </c>
      <c r="CL7">
        <v>130</v>
      </c>
      <c r="CM7">
        <f>VALUE(TableB[[#Headers],[0.0095]])</f>
        <v>9.4999999999999998E-3</v>
      </c>
      <c r="CO7">
        <v>2</v>
      </c>
      <c r="CP7">
        <v>200</v>
      </c>
      <c r="CQ7">
        <f>VALUE(TableB[[#Headers],[0.0095]])</f>
        <v>9.4999999999999998E-3</v>
      </c>
      <c r="CS7">
        <v>2</v>
      </c>
      <c r="CT7">
        <v>130</v>
      </c>
      <c r="CU7">
        <f>VALUE(TableB[[#Headers],[0.0095]])</f>
        <v>9.4999999999999998E-3</v>
      </c>
      <c r="CW7">
        <v>2</v>
      </c>
      <c r="CX7">
        <v>200</v>
      </c>
      <c r="CY7">
        <f>VALUE(TableB[[#Headers],[0.0095]])</f>
        <v>9.4999999999999998E-3</v>
      </c>
      <c r="DA7">
        <v>2</v>
      </c>
      <c r="DB7">
        <v>130</v>
      </c>
      <c r="DC7">
        <f>VALUE(TableB[[#Headers],[0.0095]])</f>
        <v>9.4999999999999998E-3</v>
      </c>
      <c r="DE7">
        <v>2</v>
      </c>
      <c r="DF7">
        <v>200</v>
      </c>
      <c r="DG7">
        <f>VALUE(TableB[[#Headers],[0.0095]])</f>
        <v>9.4999999999999998E-3</v>
      </c>
      <c r="DI7">
        <v>2</v>
      </c>
      <c r="DJ7" s="103">
        <v>5</v>
      </c>
      <c r="DK7" s="103">
        <v>12</v>
      </c>
      <c r="DL7" s="103">
        <v>6</v>
      </c>
      <c r="DM7" s="103">
        <v>9</v>
      </c>
      <c r="DN7" s="103">
        <v>7</v>
      </c>
      <c r="DO7" s="103">
        <v>11</v>
      </c>
      <c r="DP7" s="103">
        <v>12</v>
      </c>
      <c r="DQ7" s="103">
        <v>2</v>
      </c>
      <c r="DR7" s="103">
        <v>4</v>
      </c>
      <c r="DS7" s="103">
        <v>5</v>
      </c>
      <c r="DT7" s="103">
        <v>134</v>
      </c>
      <c r="DU7" s="103">
        <v>99</v>
      </c>
      <c r="DV7" s="103">
        <v>98</v>
      </c>
      <c r="DW7" s="103">
        <v>110</v>
      </c>
      <c r="DX7" s="103">
        <v>140</v>
      </c>
      <c r="DY7" s="103">
        <v>89</v>
      </c>
      <c r="DZ7" s="103">
        <v>121</v>
      </c>
      <c r="EA7" s="103">
        <v>109</v>
      </c>
      <c r="EB7" s="103">
        <v>130</v>
      </c>
      <c r="EC7" s="103">
        <v>146</v>
      </c>
      <c r="ED7" s="75" t="s">
        <v>659</v>
      </c>
    </row>
    <row r="8" spans="1:143">
      <c r="A8" s="64">
        <v>3</v>
      </c>
      <c r="B8" s="49">
        <v>496.7</v>
      </c>
      <c r="C8" s="65">
        <v>269.8</v>
      </c>
      <c r="D8" s="61">
        <f t="shared" si="1"/>
        <v>99.999999999965894</v>
      </c>
      <c r="E8" s="61">
        <f>IFERROR(IF(B8-B7&lt;=0,"",D8/SQRT(Таблица_pr[[#This Row],[Удельное сопротивление грунта, Ом·м]])),D8/SQRT(Таблица_pr[[#This Row],[Удельное сопротивление грунта, Ом·м]]))</f>
        <v>6.0880614497910051</v>
      </c>
      <c r="G8" s="188">
        <v>3</v>
      </c>
      <c r="H8" s="175">
        <v>496.7</v>
      </c>
      <c r="I8" s="176">
        <v>269.8</v>
      </c>
      <c r="J8" s="181">
        <f t="shared" si="2"/>
        <v>99.999999999965894</v>
      </c>
      <c r="K8" s="61">
        <f>IFERROR(IF(H8-H7&lt;=0,"",J8/SQRT(Таблица_pr1[[#This Row],[Удельное сопротивление грунта, Ом·м]])),J8/SQRT(Таблица_pr1[[#This Row],[Удельное сопротивление грунта, Ом·м]]))</f>
        <v>6.0880614497910051</v>
      </c>
      <c r="L8" s="61">
        <v>3</v>
      </c>
      <c r="M8" s="64">
        <v>31</v>
      </c>
      <c r="N8" s="49">
        <v>499.50000000000102</v>
      </c>
      <c r="O8" s="50">
        <v>44</v>
      </c>
      <c r="P8" s="61">
        <f t="shared" si="3"/>
        <v>100.00000000002274</v>
      </c>
      <c r="Q8" s="61">
        <f>IFERROR(IF(N8-N7&lt;=0,"",P8/SQRT(Таблица_pr2[[#This Row],[Удельное сопротивление грунта, Ом·м]])),P8/SQRT(Таблица_pr2[[#This Row],[Удельное сопротивление грунта, Ом·м]]))</f>
        <v>15.075567228891609</v>
      </c>
      <c r="R8" s="76">
        <v>3</v>
      </c>
      <c r="S8" s="51">
        <v>58</v>
      </c>
      <c r="T8" s="49">
        <v>502.2000000000013</v>
      </c>
      <c r="U8" s="50">
        <v>76.400000000000006</v>
      </c>
      <c r="V8" s="61">
        <f t="shared" si="4"/>
        <v>100.00000000002274</v>
      </c>
      <c r="W8" s="61">
        <f>IFERROR(IF(T8-T7&lt;=0,"",V8/SQRT(Таблица_pr3[[#This Row],[Удельное сопротивление грунта, Ом·м]])),V8/SQRT(Таблица_pr3[[#This Row],[Удельное сопротивление грунта, Ом·м]]))</f>
        <v>11.440719048909489</v>
      </c>
      <c r="X8" s="61">
        <v>3</v>
      </c>
      <c r="Y8" s="51">
        <v>86</v>
      </c>
      <c r="Z8" s="52">
        <v>505.00000000000193</v>
      </c>
      <c r="AA8" s="50">
        <v>57.9</v>
      </c>
      <c r="AB8" s="61">
        <f t="shared" si="5"/>
        <v>100.00000000002274</v>
      </c>
      <c r="AC8" s="61">
        <f>IFERROR(IF(Z8-Z7&lt;=0,"",AB8/SQRT(Таблица_pr4[[#This Row],[Удельное сопротивление грунта, Ом·м]])),AB8/SQRT(Таблица_pr4[[#This Row],[Удельное сопротивление грунта, Ом·м]]))</f>
        <v>13.141977464422194</v>
      </c>
      <c r="AD8" s="76">
        <v>3</v>
      </c>
      <c r="AE8" s="51">
        <v>113</v>
      </c>
      <c r="AF8" s="52">
        <v>507.70000000000255</v>
      </c>
      <c r="AG8" s="50">
        <v>37.5</v>
      </c>
      <c r="AH8" s="61">
        <f t="shared" si="6"/>
        <v>100.00000000002274</v>
      </c>
      <c r="AI8" s="61">
        <f>IFERROR(IF(AF8-AF7&lt;=0,"",AH8/SQRT(Таблица_pr5[[#This Row],[Удельное сопротивление грунта, Ом·м]])),AH8/SQRT(Таблица_pr5[[#This Row],[Удельное сопротивление грунта, Ом·м]]))</f>
        <v>16.329931618558234</v>
      </c>
      <c r="AJ8" s="61">
        <v>3</v>
      </c>
      <c r="AK8" s="64">
        <v>143</v>
      </c>
      <c r="AL8" s="52">
        <v>510.80000000000325</v>
      </c>
      <c r="AM8" s="67">
        <v>49.9</v>
      </c>
      <c r="AN8" s="61">
        <f t="shared" si="7"/>
        <v>100.00000000002274</v>
      </c>
      <c r="AO8" s="61">
        <f>IFERROR(IF(AL8-AL7&lt;=0,"",AN8/SQRT(Таблица_pr6[[#This Row],[Удельное сопротивление грунта, Ом·м]])),AN8/SQRT(Таблица_pr6[[#This Row],[Удельное сопротивление грунта, Ом·м]]))</f>
        <v>14.156299007978658</v>
      </c>
      <c r="AP8" s="76">
        <v>3</v>
      </c>
      <c r="AQ8" s="64">
        <v>173</v>
      </c>
      <c r="AR8" s="52">
        <v>513.80000000000393</v>
      </c>
      <c r="AS8" s="67">
        <v>27.4</v>
      </c>
      <c r="AT8" s="61">
        <f t="shared" si="8"/>
        <v>100.00000000002274</v>
      </c>
      <c r="AU8" s="61">
        <f>IFERROR(IF(AR8-AR7&lt;=0,"",AT8/SQRT(Таблица_pr7[[#This Row],[Удельное сопротивление грунта, Ом·м]])),AT8/SQRT(Таблица_pr7[[#This Row],[Удельное сопротивление грунта, Ом·м]]))</f>
        <v>19.104017997526096</v>
      </c>
      <c r="AV8" s="61">
        <v>3</v>
      </c>
      <c r="AW8" s="64">
        <v>193</v>
      </c>
      <c r="AX8" s="52">
        <v>515.80000000000439</v>
      </c>
      <c r="AY8" s="67">
        <v>93.5</v>
      </c>
      <c r="AZ8" s="61">
        <f t="shared" si="9"/>
        <v>100.00000000002274</v>
      </c>
      <c r="BA8" s="61">
        <f>IFERROR(IF(AX8-AX7&lt;=0,"",AZ8/SQRT(Таблица_pr8[[#This Row],[Удельное сопротивление грунта, Ом·м]])),AZ8/SQRT(Таблица_pr8[[#This Row],[Удельное сопротивление грунта, Ом·м]]))</f>
        <v>10.341753799902735</v>
      </c>
      <c r="BB8" s="76">
        <v>3</v>
      </c>
      <c r="BC8" s="64">
        <v>223</v>
      </c>
      <c r="BD8" s="52">
        <v>518.80000000000507</v>
      </c>
      <c r="BE8" s="67">
        <v>112</v>
      </c>
      <c r="BF8" s="61">
        <f t="shared" si="10"/>
        <v>100.00000000002274</v>
      </c>
      <c r="BG8" s="61">
        <f>IFERROR(IF(BD8-AX27&lt;=0,"",BF8/SQRT(Таблица_pr9[[#This Row],[Удельное сопротивление грунта, Ом·м]])),BF8/SQRT(Таблица_pr9[[#This Row],[Удельное сопротивление грунта, Ом·м]]))</f>
        <v>9.4491118252328281</v>
      </c>
      <c r="BH8" s="61">
        <v>3</v>
      </c>
      <c r="BI8" s="64">
        <v>253</v>
      </c>
      <c r="BJ8" s="52">
        <v>521.80000000000575</v>
      </c>
      <c r="BK8" s="67">
        <v>31.6</v>
      </c>
      <c r="BL8" s="61">
        <f t="shared" si="11"/>
        <v>100.00000000002274</v>
      </c>
      <c r="BM8" s="61">
        <f>IFERROR(IF(BJ8-BD37&lt;=0,"",BL8/SQRT(Таблица_pr10[[#This Row],[Удельное сопротивление грунта, Ом·м]])),BL8/SQRT(Таблица_pr10[[#This Row],[Удельное сопротивление грунта, Ом·м]]))</f>
        <v>17.789201674124545</v>
      </c>
      <c r="BP8">
        <v>3</v>
      </c>
      <c r="BQ8">
        <v>120</v>
      </c>
      <c r="BR8">
        <f>VALUE(TableB[[#Headers],[0.0100]])</f>
        <v>0.01</v>
      </c>
      <c r="BT8" t="str">
        <v/>
      </c>
      <c r="BU8">
        <v>3</v>
      </c>
      <c r="BV8">
        <v>120</v>
      </c>
      <c r="BW8">
        <f>VALUE(TableB[[#Headers],[0.0100]])</f>
        <v>0.01</v>
      </c>
      <c r="BX8" t="str">
        <v/>
      </c>
      <c r="BY8">
        <v>3</v>
      </c>
      <c r="BZ8">
        <v>190</v>
      </c>
      <c r="CA8">
        <f>VALUE(TableB[[#Headers],[0.0100]])</f>
        <v>0.01</v>
      </c>
      <c r="CC8">
        <v>3</v>
      </c>
      <c r="CD8">
        <v>120</v>
      </c>
      <c r="CE8">
        <f>VALUE(TableB[[#Headers],[0.0100]])</f>
        <v>0.01</v>
      </c>
      <c r="CG8">
        <v>3</v>
      </c>
      <c r="CH8">
        <v>190</v>
      </c>
      <c r="CI8">
        <f>VALUE(TableB[[#Headers],[0.0100]])</f>
        <v>0.01</v>
      </c>
      <c r="CK8">
        <v>3</v>
      </c>
      <c r="CL8">
        <v>120</v>
      </c>
      <c r="CM8">
        <f>VALUE(TableB[[#Headers],[0.0100]])</f>
        <v>0.01</v>
      </c>
      <c r="CO8">
        <v>3</v>
      </c>
      <c r="CP8">
        <v>190</v>
      </c>
      <c r="CQ8">
        <f>VALUE(TableB[[#Headers],[0.0100]])</f>
        <v>0.01</v>
      </c>
      <c r="CS8">
        <v>3</v>
      </c>
      <c r="CT8">
        <v>120</v>
      </c>
      <c r="CU8">
        <f>VALUE(TableB[[#Headers],[0.0100]])</f>
        <v>0.01</v>
      </c>
      <c r="CW8">
        <v>3</v>
      </c>
      <c r="CX8">
        <v>190</v>
      </c>
      <c r="CY8">
        <f>VALUE(TableB[[#Headers],[0.0100]])</f>
        <v>0.01</v>
      </c>
      <c r="DA8">
        <v>3</v>
      </c>
      <c r="DB8">
        <v>120</v>
      </c>
      <c r="DC8">
        <f>VALUE(TableB[[#Headers],[0.0100]])</f>
        <v>0.01</v>
      </c>
      <c r="DE8">
        <v>3</v>
      </c>
      <c r="DF8">
        <v>190</v>
      </c>
      <c r="DG8">
        <f>VALUE(TableB[[#Headers],[0.0100]])</f>
        <v>0.01</v>
      </c>
      <c r="DI8">
        <v>3</v>
      </c>
      <c r="DJ8" s="103">
        <v>5</v>
      </c>
      <c r="DK8" s="103">
        <v>11</v>
      </c>
      <c r="DL8" s="103">
        <v>1</v>
      </c>
      <c r="DM8" s="103">
        <v>9</v>
      </c>
      <c r="DN8" s="103">
        <v>11</v>
      </c>
      <c r="DO8" s="103">
        <v>7</v>
      </c>
      <c r="DP8" s="103">
        <v>5</v>
      </c>
      <c r="DQ8" s="103">
        <v>10</v>
      </c>
      <c r="DR8" s="103">
        <v>2</v>
      </c>
      <c r="DS8" s="103">
        <v>4</v>
      </c>
      <c r="DT8" s="103">
        <v>98</v>
      </c>
      <c r="DU8" s="103">
        <v>86</v>
      </c>
      <c r="DV8" s="103">
        <v>116</v>
      </c>
      <c r="DW8" s="103">
        <v>120</v>
      </c>
      <c r="DX8" s="103">
        <v>141</v>
      </c>
      <c r="DY8" s="103">
        <v>99</v>
      </c>
      <c r="DZ8" s="103">
        <v>99</v>
      </c>
      <c r="EA8" s="103">
        <v>113</v>
      </c>
      <c r="EB8" s="103">
        <v>96</v>
      </c>
      <c r="EC8" s="103">
        <v>132</v>
      </c>
      <c r="ED8" s="75" t="s">
        <v>659</v>
      </c>
    </row>
    <row r="9" spans="1:143">
      <c r="A9" s="64">
        <v>4</v>
      </c>
      <c r="B9" s="49">
        <v>496.8</v>
      </c>
      <c r="C9" s="65">
        <v>271</v>
      </c>
      <c r="D9" s="61">
        <f t="shared" si="1"/>
        <v>100.00000000002274</v>
      </c>
      <c r="E9" s="61">
        <f>IFERROR(IF(B9-B8&lt;=0,"",D9/SQRT(Таблица_pr[[#This Row],[Удельное сопротивление грунта, Ом·м]])),D9/SQRT(Таблица_pr[[#This Row],[Удельное сопротивление грунта, Ом·м]]))</f>
        <v>6.0745673923092509</v>
      </c>
      <c r="G9" s="189">
        <v>4</v>
      </c>
      <c r="H9" s="178">
        <v>496.8</v>
      </c>
      <c r="I9" s="179">
        <v>271</v>
      </c>
      <c r="J9" s="180">
        <f t="shared" si="2"/>
        <v>100.00000000002274</v>
      </c>
      <c r="K9" s="61">
        <f>IFERROR(IF(H9-H8&lt;=0,"",J9/SQRT(Таблица_pr1[[#This Row],[Удельное сопротивление грунта, Ом·м]])),J9/SQRT(Таблица_pr1[[#This Row],[Удельное сопротивление грунта, Ом·м]]))</f>
        <v>6.0745673923092509</v>
      </c>
      <c r="L9" s="61">
        <v>4</v>
      </c>
      <c r="M9" s="64">
        <v>32</v>
      </c>
      <c r="N9" s="49">
        <v>499.60000000000099</v>
      </c>
      <c r="O9" s="50">
        <v>53</v>
      </c>
      <c r="P9" s="61">
        <f t="shared" si="3"/>
        <v>99.999999999965894</v>
      </c>
      <c r="Q9" s="61">
        <f>IFERROR(IF(N9-N8&lt;=0,"",P9/SQRT(Таблица_pr2[[#This Row],[Удельное сопротивление грунта, Ом·м]])),P9/SQRT(Таблица_pr2[[#This Row],[Удельное сопротивление грунта, Ом·м]]))</f>
        <v>13.736056394864217</v>
      </c>
      <c r="R9" s="76">
        <v>4</v>
      </c>
      <c r="S9" s="51">
        <v>59</v>
      </c>
      <c r="T9" s="49">
        <v>502.30000000000132</v>
      </c>
      <c r="U9" s="50">
        <v>71</v>
      </c>
      <c r="V9" s="61">
        <f t="shared" si="4"/>
        <v>100.00000000002274</v>
      </c>
      <c r="W9" s="61">
        <f>IFERROR(IF(T9-T8&lt;=0,"",V9/SQRT(Таблица_pr3[[#This Row],[Удельное сопротивление грунта, Ом·м]])),V9/SQRT(Таблица_pr3[[#This Row],[Удельное сопротивление грунта, Ом·м]]))</f>
        <v>11.867816581941231</v>
      </c>
      <c r="X9" s="61">
        <v>4</v>
      </c>
      <c r="Y9" s="51">
        <v>87</v>
      </c>
      <c r="Z9" s="52">
        <v>505.10000000000196</v>
      </c>
      <c r="AA9" s="50">
        <v>44.3</v>
      </c>
      <c r="AB9" s="61">
        <f t="shared" si="5"/>
        <v>100.00000000002274</v>
      </c>
      <c r="AC9" s="61">
        <f>IFERROR(IF(Z9-Z8&lt;=0,"",AB9/SQRT(Таблица_pr4[[#This Row],[Удельное сопротивление грунта, Ом·м]])),AB9/SQRT(Таблица_pr4[[#This Row],[Удельное сопротивление грунта, Ом·м]]))</f>
        <v>15.024434575437942</v>
      </c>
      <c r="AD9" s="76">
        <v>4</v>
      </c>
      <c r="AE9" s="51">
        <v>114</v>
      </c>
      <c r="AF9" s="52">
        <v>507.80000000000257</v>
      </c>
      <c r="AG9" s="50">
        <v>41.9</v>
      </c>
      <c r="AH9" s="61">
        <f t="shared" si="6"/>
        <v>100.00000000002274</v>
      </c>
      <c r="AI9" s="61">
        <f>IFERROR(IF(AF9-AF8&lt;=0,"",AH9/SQRT(Таблица_pr5[[#This Row],[Удельное сопротивление грунта, Ом·м]])),AH9/SQRT(Таблица_pr5[[#This Row],[Удельное сопротивление грунта, Ом·м]]))</f>
        <v>15.448737310440036</v>
      </c>
      <c r="AJ9" s="61">
        <v>4</v>
      </c>
      <c r="AK9" s="64">
        <v>144</v>
      </c>
      <c r="AL9" s="52">
        <v>510.90000000000327</v>
      </c>
      <c r="AM9" s="67">
        <v>51</v>
      </c>
      <c r="AN9" s="61">
        <f t="shared" si="7"/>
        <v>100.00000000002274</v>
      </c>
      <c r="AO9" s="61">
        <f>IFERROR(IF(AL9-AL8&lt;=0,"",AN9/SQRT(Таблица_pr6[[#This Row],[Удельное сопротивление грунта, Ом·м]])),AN9/SQRT(Таблица_pr6[[#This Row],[Удельное сопротивление грунта, Ом·м]]))</f>
        <v>14.002800840283282</v>
      </c>
      <c r="AP9" s="76">
        <v>4</v>
      </c>
      <c r="AQ9" s="64">
        <v>174</v>
      </c>
      <c r="AR9" s="52">
        <v>513.90000000000396</v>
      </c>
      <c r="AS9" s="67">
        <v>22.8</v>
      </c>
      <c r="AT9" s="61">
        <f t="shared" si="8"/>
        <v>100.00000000002274</v>
      </c>
      <c r="AU9" s="61">
        <f>IFERROR(IF(AR9-AR8&lt;=0,"",AT9/SQRT(Таблица_pr7[[#This Row],[Удельное сопротивление грунта, Ом·м]])),AT9/SQRT(Таблица_pr7[[#This Row],[Удельное сопротивление грунта, Ом·м]]))</f>
        <v>20.942695414589537</v>
      </c>
      <c r="AV9" s="61">
        <v>4</v>
      </c>
      <c r="AW9" s="64">
        <v>194</v>
      </c>
      <c r="AX9" s="52">
        <v>515.90000000000441</v>
      </c>
      <c r="AY9" s="67">
        <v>98.4</v>
      </c>
      <c r="AZ9" s="61">
        <f t="shared" si="9"/>
        <v>100.00000000002274</v>
      </c>
      <c r="BA9" s="61">
        <f>IFERROR(IF(AX9-AX8&lt;=0,"",AZ9/SQRT(Таблица_pr8[[#This Row],[Удельное сопротивление грунта, Ом·м]])),AZ9/SQRT(Таблица_pr8[[#This Row],[Удельное сопротивление грунта, Ом·м]]))</f>
        <v>10.080972981821191</v>
      </c>
      <c r="BB9" s="76">
        <v>4</v>
      </c>
      <c r="BC9" s="64">
        <v>224</v>
      </c>
      <c r="BD9" s="52">
        <v>518.90000000000509</v>
      </c>
      <c r="BE9" s="67">
        <v>134</v>
      </c>
      <c r="BF9" s="61">
        <f t="shared" si="10"/>
        <v>100.00000000002274</v>
      </c>
      <c r="BG9" s="61">
        <f>IFERROR(IF(BD9-AX28&lt;=0,"",BF9/SQRT(Таблица_pr9[[#This Row],[Удельное сопротивление грунта, Ом·м]])),BF9/SQRT(Таблица_pr9[[#This Row],[Удельное сопротивление грунта, Ом·м]]))</f>
        <v>8.6386842558155656</v>
      </c>
      <c r="BH9" s="61">
        <v>4</v>
      </c>
      <c r="BI9" s="64">
        <v>254</v>
      </c>
      <c r="BJ9" s="52">
        <v>521.90000000000578</v>
      </c>
      <c r="BK9" s="67">
        <v>30.5</v>
      </c>
      <c r="BL9" s="61">
        <f t="shared" si="11"/>
        <v>100.00000000002274</v>
      </c>
      <c r="BM9" s="61">
        <f>IFERROR(IF(BJ9-BD38&lt;=0,"",BL9/SQRT(Таблица_pr10[[#This Row],[Удельное сопротивление грунта, Ом·м]])),BL9/SQRT(Таблица_pr10[[#This Row],[Удельное сопротивление грунта, Ом·м]]))</f>
        <v>18.107149208507824</v>
      </c>
      <c r="BP9">
        <v>4</v>
      </c>
      <c r="BQ9">
        <v>110</v>
      </c>
      <c r="BR9">
        <f>VALUE(TableB[[#Headers],[0.0105]])</f>
        <v>1.0500000000000001E-2</v>
      </c>
      <c r="BT9" t="str">
        <v/>
      </c>
      <c r="BU9">
        <v>4</v>
      </c>
      <c r="BV9">
        <v>110</v>
      </c>
      <c r="BW9">
        <f>VALUE(TableB[[#Headers],[0.0105]])</f>
        <v>1.0500000000000001E-2</v>
      </c>
      <c r="BX9" t="str">
        <v/>
      </c>
      <c r="BY9">
        <v>4</v>
      </c>
      <c r="BZ9">
        <v>180</v>
      </c>
      <c r="CA9">
        <f>VALUE(TableB[[#Headers],[0.0105]])</f>
        <v>1.0500000000000001E-2</v>
      </c>
      <c r="CC9">
        <v>4</v>
      </c>
      <c r="CD9">
        <v>110</v>
      </c>
      <c r="CE9">
        <f>VALUE(TableB[[#Headers],[0.0105]])</f>
        <v>1.0500000000000001E-2</v>
      </c>
      <c r="CG9">
        <v>4</v>
      </c>
      <c r="CH9">
        <v>180</v>
      </c>
      <c r="CI9">
        <f>VALUE(TableB[[#Headers],[0.0105]])</f>
        <v>1.0500000000000001E-2</v>
      </c>
      <c r="CK9">
        <v>4</v>
      </c>
      <c r="CL9">
        <v>110</v>
      </c>
      <c r="CM9">
        <f>VALUE(TableB[[#Headers],[0.0105]])</f>
        <v>1.0500000000000001E-2</v>
      </c>
      <c r="CO9">
        <v>4</v>
      </c>
      <c r="CP9">
        <v>180</v>
      </c>
      <c r="CQ9">
        <f>VALUE(TableB[[#Headers],[0.0105]])</f>
        <v>1.0500000000000001E-2</v>
      </c>
      <c r="CS9">
        <v>4</v>
      </c>
      <c r="CT9">
        <v>110</v>
      </c>
      <c r="CU9">
        <f>VALUE(TableB[[#Headers],[0.0105]])</f>
        <v>1.0500000000000001E-2</v>
      </c>
      <c r="CW9">
        <v>4</v>
      </c>
      <c r="CX9">
        <v>180</v>
      </c>
      <c r="CY9">
        <f>VALUE(TableB[[#Headers],[0.0105]])</f>
        <v>1.0500000000000001E-2</v>
      </c>
      <c r="DA9">
        <v>4</v>
      </c>
      <c r="DB9">
        <v>110</v>
      </c>
      <c r="DC9">
        <f>VALUE(TableB[[#Headers],[0.0105]])</f>
        <v>1.0500000000000001E-2</v>
      </c>
      <c r="DE9">
        <v>4</v>
      </c>
      <c r="DF9">
        <v>180</v>
      </c>
      <c r="DG9">
        <f>VALUE(TableB[[#Headers],[0.0105]])</f>
        <v>1.0500000000000001E-2</v>
      </c>
      <c r="DI9">
        <v>4</v>
      </c>
      <c r="DJ9" s="103">
        <v>7</v>
      </c>
      <c r="DK9" s="103">
        <v>4</v>
      </c>
      <c r="DL9" s="103">
        <v>1</v>
      </c>
      <c r="DM9" s="103">
        <v>9</v>
      </c>
      <c r="DN9" s="103">
        <v>1</v>
      </c>
      <c r="DO9" s="103">
        <v>7</v>
      </c>
      <c r="DP9" s="103">
        <v>4</v>
      </c>
      <c r="DQ9" s="103">
        <v>6</v>
      </c>
      <c r="DR9" s="103">
        <v>2</v>
      </c>
      <c r="DS9" s="103">
        <v>6</v>
      </c>
      <c r="DT9" s="103">
        <v>29</v>
      </c>
      <c r="DU9" s="103">
        <v>41</v>
      </c>
      <c r="DV9" s="103">
        <v>42</v>
      </c>
      <c r="DW9" s="103">
        <v>50</v>
      </c>
      <c r="DX9" s="103">
        <v>48</v>
      </c>
      <c r="DY9" s="103">
        <v>34</v>
      </c>
      <c r="DZ9" s="103">
        <v>20</v>
      </c>
      <c r="EA9" s="103">
        <v>25</v>
      </c>
      <c r="EB9" s="103">
        <v>35</v>
      </c>
      <c r="EC9" s="103">
        <v>21</v>
      </c>
      <c r="ED9" s="75" t="s">
        <v>660</v>
      </c>
    </row>
    <row r="10" spans="1:143">
      <c r="A10" s="64">
        <v>5</v>
      </c>
      <c r="B10" s="49">
        <v>496.9</v>
      </c>
      <c r="C10" s="65">
        <v>248.8</v>
      </c>
      <c r="D10" s="61">
        <f t="shared" si="1"/>
        <v>99.999999999965894</v>
      </c>
      <c r="E10" s="61">
        <f>IFERROR(IF(B10-B9&lt;=0,"",D10/SQRT(Таблица_pr[[#This Row],[Удельное сопротивление грунта, Ом·м]])),D10/SQRT(Таблица_pr[[#This Row],[Удельное сопротивление грунта, Ом·м]]))</f>
        <v>6.3397891167600093</v>
      </c>
      <c r="G10" s="188">
        <v>5</v>
      </c>
      <c r="H10" s="175">
        <v>496.9</v>
      </c>
      <c r="I10" s="176">
        <v>248.8</v>
      </c>
      <c r="J10" s="181">
        <f t="shared" si="2"/>
        <v>99.999999999965894</v>
      </c>
      <c r="K10" s="61">
        <f>IFERROR(IF(H10-H9&lt;=0,"",J10/SQRT(Таблица_pr1[[#This Row],[Удельное сопротивление грунта, Ом·м]])),J10/SQRT(Таблица_pr1[[#This Row],[Удельное сопротивление грунта, Ом·м]]))</f>
        <v>6.3397891167600093</v>
      </c>
      <c r="L10" s="61">
        <v>5</v>
      </c>
      <c r="M10" s="64">
        <v>33</v>
      </c>
      <c r="N10" s="49">
        <v>499.70000000000101</v>
      </c>
      <c r="O10" s="50">
        <v>62.6</v>
      </c>
      <c r="P10" s="61">
        <f t="shared" si="3"/>
        <v>100.00000000002274</v>
      </c>
      <c r="Q10" s="61">
        <f>IFERROR(IF(N10-N9&lt;=0,"",P10/SQRT(Таблица_pr2[[#This Row],[Удельное сопротивление грунта, Ом·м]])),P10/SQRT(Таблица_pr2[[#This Row],[Удельное сопротивление грунта, Ом·м]]))</f>
        <v>12.63900347914184</v>
      </c>
      <c r="R10" s="76">
        <v>5</v>
      </c>
      <c r="S10" s="51">
        <v>60</v>
      </c>
      <c r="T10" s="49">
        <v>502.40000000000134</v>
      </c>
      <c r="U10" s="50">
        <v>77.2</v>
      </c>
      <c r="V10" s="61">
        <f t="shared" si="4"/>
        <v>100.00000000002274</v>
      </c>
      <c r="W10" s="61">
        <f>IFERROR(IF(T10-T9&lt;=0,"",V10/SQRT(Таблица_pr3[[#This Row],[Удельное сопротивление грунта, Ом·м]])),V10/SQRT(Таблица_pr3[[#This Row],[Удельное сопротивление грунта, Ом·м]]))</f>
        <v>11.381286340152222</v>
      </c>
      <c r="X10" s="61">
        <v>5</v>
      </c>
      <c r="Y10" s="51">
        <v>88</v>
      </c>
      <c r="Z10" s="52">
        <v>505.20000000000198</v>
      </c>
      <c r="AA10" s="50">
        <v>58.3</v>
      </c>
      <c r="AB10" s="61">
        <f t="shared" si="5"/>
        <v>100.00000000002274</v>
      </c>
      <c r="AC10" s="61">
        <f>IFERROR(IF(Z10-Z9&lt;=0,"",AB10/SQRT(Таблица_pr4[[#This Row],[Удельное сопротивление грунта, Ом·м]])),AB10/SQRT(Таблица_pr4[[#This Row],[Удельное сопротивление грунта, Ом·м]]))</f>
        <v>13.096815896278159</v>
      </c>
      <c r="AD10" s="76">
        <v>5</v>
      </c>
      <c r="AE10" s="51">
        <v>115</v>
      </c>
      <c r="AF10" s="52">
        <v>507.90000000000259</v>
      </c>
      <c r="AG10" s="50">
        <v>42.6</v>
      </c>
      <c r="AH10" s="61">
        <f t="shared" si="6"/>
        <v>100.00000000002274</v>
      </c>
      <c r="AI10" s="61">
        <f>IFERROR(IF(AF10-AF9&lt;=0,"",AH10/SQRT(Таблица_pr5[[#This Row],[Удельное сопротивление грунта, Ом·м]])),AH10/SQRT(Таблица_pr5[[#This Row],[Удельное сопротивление грунта, Ом·м]]))</f>
        <v>15.321285325900872</v>
      </c>
      <c r="AJ10" s="61">
        <v>5</v>
      </c>
      <c r="AK10" s="64">
        <v>145</v>
      </c>
      <c r="AL10" s="52">
        <v>511.0000000000033</v>
      </c>
      <c r="AM10" s="67">
        <v>50.5</v>
      </c>
      <c r="AN10" s="61">
        <f t="shared" si="7"/>
        <v>100.00000000002274</v>
      </c>
      <c r="AO10" s="61">
        <f>IFERROR(IF(AL10-AL9&lt;=0,"",AN10/SQRT(Таблица_pr6[[#This Row],[Удельное сопротивление грунта, Ом·м]])),AN10/SQRT(Таблица_pr6[[#This Row],[Удельное сопротивление грунта, Ом·м]]))</f>
        <v>14.071950894609037</v>
      </c>
      <c r="AP10" s="76">
        <v>5</v>
      </c>
      <c r="AQ10" s="64">
        <v>175</v>
      </c>
      <c r="AR10" s="52">
        <v>514.00000000000398</v>
      </c>
      <c r="AS10" s="67">
        <v>24.9</v>
      </c>
      <c r="AT10" s="61">
        <f t="shared" si="8"/>
        <v>100.00000000002274</v>
      </c>
      <c r="AU10" s="61">
        <f>IFERROR(IF(AR10-AR9&lt;=0,"",AT10/SQRT(Таблица_pr7[[#This Row],[Удельное сопротивление грунта, Ом·м]])),AT10/SQRT(Таблица_pr7[[#This Row],[Удельное сопротивление грунта, Ом·м]]))</f>
        <v>20.040120401409617</v>
      </c>
      <c r="AV10" s="61">
        <v>5</v>
      </c>
      <c r="AW10" s="64">
        <v>195</v>
      </c>
      <c r="AX10" s="52">
        <v>516.00000000000443</v>
      </c>
      <c r="AY10" s="67">
        <v>106.6</v>
      </c>
      <c r="AZ10" s="61">
        <f t="shared" si="9"/>
        <v>100.00000000002274</v>
      </c>
      <c r="BA10" s="61">
        <f>IFERROR(IF(AX10-AX9&lt;=0,"",AZ10/SQRT(Таблица_pr8[[#This Row],[Удельное сопротивление грунта, Ом·м]])),AZ10/SQRT(Таблица_pr8[[#This Row],[Удельное сопротивление грунта, Ом·м]]))</f>
        <v>9.6854855528279487</v>
      </c>
      <c r="BB10" s="76">
        <v>5</v>
      </c>
      <c r="BC10" s="64">
        <v>225</v>
      </c>
      <c r="BD10" s="52">
        <v>519.00000000000512</v>
      </c>
      <c r="BE10" s="67">
        <v>163.6</v>
      </c>
      <c r="BF10" s="61">
        <f t="shared" si="10"/>
        <v>100.00000000002274</v>
      </c>
      <c r="BG10" s="61">
        <f>IFERROR(IF(BD10-AX29&lt;=0,"",BF10/SQRT(Таблица_pr9[[#This Row],[Удельное сопротивление грунта, Ом·м]])),BF10/SQRT(Таблица_pr9[[#This Row],[Удельное сопротивление грунта, Ом·м]]))</f>
        <v>7.818228340011304</v>
      </c>
      <c r="BH10" s="61">
        <v>5</v>
      </c>
      <c r="BI10" s="64">
        <v>255</v>
      </c>
      <c r="BJ10" s="52">
        <v>522.0000000000058</v>
      </c>
      <c r="BK10" s="67">
        <v>33.1</v>
      </c>
      <c r="BL10" s="61">
        <f t="shared" si="11"/>
        <v>100.00000000002274</v>
      </c>
      <c r="BM10" s="61">
        <f>IFERROR(IF(BJ10-BD39&lt;=0,"",BL10/SQRT(Таблица_pr10[[#This Row],[Удельное сопротивление грунта, Ом·м]])),BL10/SQRT(Таблица_pr10[[#This Row],[Удельное сопротивление грунта, Ом·м]]))</f>
        <v>17.381449986278906</v>
      </c>
      <c r="BP10">
        <v>5</v>
      </c>
      <c r="BQ10">
        <v>100</v>
      </c>
      <c r="BR10">
        <f>VALUE(TableB[[#Headers],[0.0110]])</f>
        <v>1.0999999999999999E-2</v>
      </c>
      <c r="BT10" t="str">
        <v/>
      </c>
      <c r="BU10">
        <v>5</v>
      </c>
      <c r="BV10">
        <v>100</v>
      </c>
      <c r="BW10">
        <f>VALUE(TableB[[#Headers],[0.0110]])</f>
        <v>1.0999999999999999E-2</v>
      </c>
      <c r="BX10" t="str">
        <v/>
      </c>
      <c r="BY10">
        <v>5</v>
      </c>
      <c r="BZ10">
        <v>170</v>
      </c>
      <c r="CA10">
        <f>VALUE(TableB[[#Headers],[0.0110]])</f>
        <v>1.0999999999999999E-2</v>
      </c>
      <c r="CC10">
        <v>5</v>
      </c>
      <c r="CD10">
        <v>100</v>
      </c>
      <c r="CE10">
        <f>VALUE(TableB[[#Headers],[0.0110]])</f>
        <v>1.0999999999999999E-2</v>
      </c>
      <c r="CG10">
        <v>5</v>
      </c>
      <c r="CH10">
        <v>170</v>
      </c>
      <c r="CI10">
        <f>VALUE(TableB[[#Headers],[0.0110]])</f>
        <v>1.0999999999999999E-2</v>
      </c>
      <c r="CK10">
        <v>5</v>
      </c>
      <c r="CL10">
        <v>100</v>
      </c>
      <c r="CM10">
        <f>VALUE(TableB[[#Headers],[0.0110]])</f>
        <v>1.0999999999999999E-2</v>
      </c>
      <c r="CO10">
        <v>5</v>
      </c>
      <c r="CP10">
        <v>170</v>
      </c>
      <c r="CQ10">
        <f>VALUE(TableB[[#Headers],[0.0110]])</f>
        <v>1.0999999999999999E-2</v>
      </c>
      <c r="CS10">
        <v>5</v>
      </c>
      <c r="CT10">
        <v>100</v>
      </c>
      <c r="CU10">
        <f>VALUE(TableB[[#Headers],[0.0110]])</f>
        <v>1.0999999999999999E-2</v>
      </c>
      <c r="CW10">
        <v>5</v>
      </c>
      <c r="CX10">
        <v>170</v>
      </c>
      <c r="CY10">
        <f>VALUE(TableB[[#Headers],[0.0110]])</f>
        <v>1.0999999999999999E-2</v>
      </c>
      <c r="DA10">
        <v>5</v>
      </c>
      <c r="DB10">
        <v>100</v>
      </c>
      <c r="DC10">
        <f>VALUE(TableB[[#Headers],[0.0110]])</f>
        <v>1.0999999999999999E-2</v>
      </c>
      <c r="DE10">
        <v>5</v>
      </c>
      <c r="DF10">
        <v>170</v>
      </c>
      <c r="DG10">
        <f>VALUE(TableB[[#Headers],[0.0110]])</f>
        <v>1.0999999999999999E-2</v>
      </c>
      <c r="DI10">
        <v>5</v>
      </c>
      <c r="DJ10" s="103">
        <v>4</v>
      </c>
      <c r="DK10" s="103">
        <v>10</v>
      </c>
      <c r="DL10" s="103">
        <v>3</v>
      </c>
      <c r="DM10" s="103">
        <v>8</v>
      </c>
      <c r="DN10" s="103">
        <v>11</v>
      </c>
      <c r="DO10" s="103">
        <v>9</v>
      </c>
      <c r="DP10" s="103">
        <v>3</v>
      </c>
      <c r="DQ10" s="103">
        <v>6</v>
      </c>
      <c r="DR10" s="103">
        <v>5</v>
      </c>
      <c r="DS10" s="103">
        <v>3</v>
      </c>
      <c r="DT10" s="103">
        <v>49</v>
      </c>
      <c r="DU10" s="103">
        <v>34</v>
      </c>
      <c r="DV10" s="103">
        <v>34</v>
      </c>
      <c r="DW10" s="103">
        <v>34</v>
      </c>
      <c r="DX10" s="103">
        <v>38</v>
      </c>
      <c r="DY10" s="103">
        <v>27</v>
      </c>
      <c r="DZ10" s="103">
        <v>35</v>
      </c>
      <c r="EA10" s="103">
        <v>45</v>
      </c>
      <c r="EB10" s="103">
        <v>20</v>
      </c>
      <c r="EC10" s="103">
        <v>26</v>
      </c>
      <c r="ED10" s="75" t="s">
        <v>660</v>
      </c>
    </row>
    <row r="11" spans="1:143">
      <c r="A11" s="64">
        <v>6</v>
      </c>
      <c r="B11" s="49">
        <v>497</v>
      </c>
      <c r="C11" s="65">
        <v>192.6</v>
      </c>
      <c r="D11" s="61">
        <f t="shared" si="1"/>
        <v>100.00000000002274</v>
      </c>
      <c r="E11" s="61">
        <f>IFERROR(IF(B11-B10&lt;=0,"",D11/SQRT(Таблица_pr[[#This Row],[Удельное сопротивление грунта, Ом·м]])),D11/SQRT(Таблица_pr[[#This Row],[Удельное сопротивление грунта, Ом·м]]))</f>
        <v>7.2056283527869205</v>
      </c>
      <c r="G11" s="189">
        <v>6</v>
      </c>
      <c r="H11" s="178">
        <v>497</v>
      </c>
      <c r="I11" s="179">
        <v>192.6</v>
      </c>
      <c r="J11" s="180">
        <f t="shared" si="2"/>
        <v>100.00000000002274</v>
      </c>
      <c r="K11" s="61">
        <f>IFERROR(IF(H11-H10&lt;=0,"",J11/SQRT(Таблица_pr1[[#This Row],[Удельное сопротивление грунта, Ом·м]])),J11/SQRT(Таблица_pr1[[#This Row],[Удельное сопротивление грунта, Ом·м]]))</f>
        <v>7.2056283527869205</v>
      </c>
      <c r="L11" s="61">
        <v>6</v>
      </c>
      <c r="M11" s="64">
        <v>34</v>
      </c>
      <c r="N11" s="49">
        <v>499.80000000000098</v>
      </c>
      <c r="O11" s="50">
        <v>44.9</v>
      </c>
      <c r="P11" s="61">
        <f t="shared" si="3"/>
        <v>99.999999999965894</v>
      </c>
      <c r="Q11" s="61">
        <f>IFERROR(IF(N11-N10&lt;=0,"",P11/SQRT(Таблица_pr2[[#This Row],[Удельное сопротивление грунта, Ом·м]])),P11/SQRT(Таблица_pr2[[#This Row],[Удельное сопротивление грунта, Ом·м]]))</f>
        <v>14.923710973492419</v>
      </c>
      <c r="R11" s="76">
        <v>6</v>
      </c>
      <c r="S11" s="51">
        <v>61</v>
      </c>
      <c r="T11" s="49">
        <v>502.50000000000136</v>
      </c>
      <c r="U11" s="50">
        <v>69.400000000000006</v>
      </c>
      <c r="V11" s="61">
        <f t="shared" si="4"/>
        <v>100.00000000002274</v>
      </c>
      <c r="W11" s="61">
        <f>IFERROR(IF(T11-T10&lt;=0,"",V11/SQRT(Таблица_pr3[[#This Row],[Удельное сопротивление грунта, Ом·м]])),V11/SQRT(Таблица_pr3[[#This Row],[Удельное сопротивление грунта, Ом·м]]))</f>
        <v>12.00384184418632</v>
      </c>
      <c r="X11" s="61">
        <v>6</v>
      </c>
      <c r="Y11" s="51">
        <v>89</v>
      </c>
      <c r="Z11" s="52">
        <v>505.300000000002</v>
      </c>
      <c r="AA11" s="50">
        <v>60.7</v>
      </c>
      <c r="AB11" s="61">
        <f t="shared" si="5"/>
        <v>100.00000000002274</v>
      </c>
      <c r="AC11" s="61">
        <f>IFERROR(IF(Z11-Z10&lt;=0,"",AB11/SQRT(Таблица_pr4[[#This Row],[Удельное сопротивление грунта, Ом·м]])),AB11/SQRT(Таблица_pr4[[#This Row],[Удельное сопротивление грунта, Ом·м]]))</f>
        <v>12.835289081243415</v>
      </c>
      <c r="AD11" s="76">
        <v>6</v>
      </c>
      <c r="AE11" s="64">
        <v>116</v>
      </c>
      <c r="AF11" s="52">
        <v>508.10000000000264</v>
      </c>
      <c r="AG11" s="67">
        <v>32.6</v>
      </c>
      <c r="AH11" s="61">
        <f t="shared" si="6"/>
        <v>200.00000000004547</v>
      </c>
      <c r="AI11" s="61">
        <f>IFERROR(IF(AF11-AF10&lt;=0,"",AH11/SQRT(Таблица_pr5[[#This Row],[Удельное сопротивление грунта, Ом·м]])),AH11/SQRT(Таблица_pr5[[#This Row],[Удельное сопротивление грунта, Ом·м]]))</f>
        <v>35.028472205210903</v>
      </c>
      <c r="AJ11" s="61">
        <v>6</v>
      </c>
      <c r="AK11" s="64">
        <v>146</v>
      </c>
      <c r="AL11" s="52">
        <v>511.10000000000332</v>
      </c>
      <c r="AM11" s="67">
        <v>51.7</v>
      </c>
      <c r="AN11" s="61">
        <f t="shared" si="7"/>
        <v>100.00000000002274</v>
      </c>
      <c r="AO11" s="61">
        <f>IFERROR(IF(AL11-AL10&lt;=0,"",AN11/SQRT(Таблица_pr6[[#This Row],[Удельное сопротивление грунта, Ом·м]])),AN11/SQRT(Таблица_pr6[[#This Row],[Удельное сопротивление грунта, Ом·м]]))</f>
        <v>13.907681247390048</v>
      </c>
      <c r="AP11" s="76">
        <v>6</v>
      </c>
      <c r="AQ11" s="64">
        <v>176</v>
      </c>
      <c r="AR11" s="52">
        <v>514.100000000004</v>
      </c>
      <c r="AS11" s="67">
        <v>37.799999999999997</v>
      </c>
      <c r="AT11" s="61">
        <f t="shared" si="8"/>
        <v>100.00000000002274</v>
      </c>
      <c r="AU11" s="61">
        <f>IFERROR(IF(AR11-AR10&lt;=0,"",AT11/SQRT(Таблица_pr7[[#This Row],[Удельное сопротивление грунта, Ом·м]])),AT11/SQRT(Таблица_pr7[[#This Row],[Удельное сопротивление грунта, Ом·м]]))</f>
        <v>16.265001215812585</v>
      </c>
      <c r="AV11" s="61">
        <v>6</v>
      </c>
      <c r="AW11" s="64">
        <v>196</v>
      </c>
      <c r="AX11" s="52">
        <v>516.10000000000446</v>
      </c>
      <c r="AY11" s="67">
        <v>18.2</v>
      </c>
      <c r="AZ11" s="61">
        <f t="shared" si="9"/>
        <v>100.00000000002274</v>
      </c>
      <c r="BA11" s="61">
        <f>IFERROR(IF(AX11-AX10&lt;=0,"",AZ11/SQRT(Таблица_pr8[[#This Row],[Удельное сопротивление грунта, Ом·м]])),AZ11/SQRT(Таблица_pr8[[#This Row],[Удельное сопротивление грунта, Ом·м]]))</f>
        <v>23.440361546930099</v>
      </c>
      <c r="BB11" s="76">
        <v>6</v>
      </c>
      <c r="BC11" s="64">
        <v>226</v>
      </c>
      <c r="BD11" s="52">
        <v>519.10000000000514</v>
      </c>
      <c r="BE11" s="67">
        <v>91.7</v>
      </c>
      <c r="BF11" s="61">
        <f t="shared" si="10"/>
        <v>100.00000000002274</v>
      </c>
      <c r="BG11" s="61">
        <f>IFERROR(IF(BD11-AX30&lt;=0,"",BF11/SQRT(Таблица_pr9[[#This Row],[Удельное сопротивление грунта, Ом·м]])),BF11/SQRT(Таблица_pr9[[#This Row],[Удельное сопротивление грунта, Ом·м]]))</f>
        <v>10.442760846130282</v>
      </c>
      <c r="BH11" s="61">
        <v>6</v>
      </c>
      <c r="BI11" s="64">
        <v>256</v>
      </c>
      <c r="BJ11" s="52">
        <v>522.10000000000582</v>
      </c>
      <c r="BK11" s="67">
        <v>31.3</v>
      </c>
      <c r="BL11" s="61">
        <f t="shared" si="11"/>
        <v>100.00000000002274</v>
      </c>
      <c r="BM11" s="61">
        <f>IFERROR(IF(BJ11-BD40&lt;=0,"",BL11/SQRT(Таблица_pr10[[#This Row],[Удельное сопротивление грунта, Ом·м]])),BL11/SQRT(Таблица_pr10[[#This Row],[Удельное сопротивление грунта, Ом·м]]))</f>
        <v>17.874250135083123</v>
      </c>
      <c r="BP11">
        <v>6</v>
      </c>
      <c r="BQ11">
        <v>90</v>
      </c>
      <c r="BR11">
        <f>VALUE(TableB[[#Headers],[0.0115]])</f>
        <v>1.15E-2</v>
      </c>
      <c r="BT11" t="str">
        <v/>
      </c>
      <c r="BU11">
        <v>6</v>
      </c>
      <c r="BV11">
        <v>90</v>
      </c>
      <c r="BW11">
        <f>VALUE(TableB[[#Headers],[0.0115]])</f>
        <v>1.15E-2</v>
      </c>
      <c r="BX11" t="str">
        <v/>
      </c>
      <c r="BY11">
        <v>6</v>
      </c>
      <c r="BZ11">
        <v>160</v>
      </c>
      <c r="CA11">
        <f>VALUE(TableB[[#Headers],[0.0115]])</f>
        <v>1.15E-2</v>
      </c>
      <c r="CC11">
        <v>6</v>
      </c>
      <c r="CD11">
        <v>90</v>
      </c>
      <c r="CE11">
        <f>VALUE(TableB[[#Headers],[0.0115]])</f>
        <v>1.15E-2</v>
      </c>
      <c r="CG11">
        <v>6</v>
      </c>
      <c r="CH11">
        <v>160</v>
      </c>
      <c r="CI11">
        <f>VALUE(TableB[[#Headers],[0.0115]])</f>
        <v>1.15E-2</v>
      </c>
      <c r="CK11">
        <v>6</v>
      </c>
      <c r="CL11">
        <v>90</v>
      </c>
      <c r="CM11">
        <f>VALUE(TableB[[#Headers],[0.0115]])</f>
        <v>1.15E-2</v>
      </c>
      <c r="CO11">
        <v>6</v>
      </c>
      <c r="CP11">
        <v>160</v>
      </c>
      <c r="CQ11">
        <f>VALUE(TableB[[#Headers],[0.0115]])</f>
        <v>1.15E-2</v>
      </c>
      <c r="CS11">
        <v>6</v>
      </c>
      <c r="CT11">
        <v>90</v>
      </c>
      <c r="CU11">
        <f>VALUE(TableB[[#Headers],[0.0115]])</f>
        <v>1.15E-2</v>
      </c>
      <c r="CW11">
        <v>6</v>
      </c>
      <c r="CX11">
        <v>160</v>
      </c>
      <c r="CY11">
        <f>VALUE(TableB[[#Headers],[0.0115]])</f>
        <v>1.15E-2</v>
      </c>
      <c r="DA11">
        <v>6</v>
      </c>
      <c r="DB11">
        <v>90</v>
      </c>
      <c r="DC11">
        <f>VALUE(TableB[[#Headers],[0.0115]])</f>
        <v>1.15E-2</v>
      </c>
      <c r="DE11">
        <v>6</v>
      </c>
      <c r="DF11">
        <v>160</v>
      </c>
      <c r="DG11">
        <f>VALUE(TableB[[#Headers],[0.0115]])</f>
        <v>1.15E-2</v>
      </c>
      <c r="DI11">
        <v>6</v>
      </c>
      <c r="DJ11" s="103">
        <v>4</v>
      </c>
      <c r="DK11" s="103">
        <v>12</v>
      </c>
      <c r="DL11" s="103">
        <v>6</v>
      </c>
      <c r="DM11" s="103">
        <v>8</v>
      </c>
      <c r="DN11" s="103">
        <v>11</v>
      </c>
      <c r="DO11" s="103">
        <v>2</v>
      </c>
      <c r="DP11" s="103">
        <v>9</v>
      </c>
      <c r="DQ11" s="103">
        <v>8</v>
      </c>
      <c r="DR11" s="103">
        <v>6</v>
      </c>
      <c r="DS11" s="103">
        <v>6</v>
      </c>
      <c r="DT11" s="103">
        <v>22</v>
      </c>
      <c r="DU11" s="103">
        <v>20</v>
      </c>
      <c r="DV11" s="103">
        <v>35</v>
      </c>
      <c r="DW11" s="103">
        <v>32</v>
      </c>
      <c r="DX11" s="103">
        <v>30</v>
      </c>
      <c r="DY11" s="103">
        <v>39</v>
      </c>
      <c r="DZ11" s="103">
        <v>46</v>
      </c>
      <c r="EA11" s="103">
        <v>37</v>
      </c>
      <c r="EB11" s="103">
        <v>50</v>
      </c>
      <c r="EC11" s="103">
        <v>39</v>
      </c>
      <c r="ED11" s="75" t="s">
        <v>660</v>
      </c>
    </row>
    <row r="12" spans="1:143">
      <c r="A12" s="64">
        <v>7</v>
      </c>
      <c r="B12" s="49">
        <v>497.1</v>
      </c>
      <c r="C12" s="65">
        <v>196.3</v>
      </c>
      <c r="D12" s="61">
        <f t="shared" si="1"/>
        <v>100.00000000002274</v>
      </c>
      <c r="E12" s="61">
        <f>IFERROR(IF(B12-B11&lt;=0,"",D12/SQRT(Таблица_pr[[#This Row],[Удельное сопротивление грунта, Ом·м]])),D12/SQRT(Таблица_pr[[#This Row],[Удельное сопротивление грунта, Ом·м]]))</f>
        <v>7.1373969378491537</v>
      </c>
      <c r="G12" s="188">
        <v>7</v>
      </c>
      <c r="H12" s="175">
        <v>497.1</v>
      </c>
      <c r="I12" s="176">
        <v>196.3</v>
      </c>
      <c r="J12" s="181">
        <f t="shared" si="2"/>
        <v>100.00000000002274</v>
      </c>
      <c r="K12" s="61">
        <f>IFERROR(IF(H12-H11&lt;=0,"",J12/SQRT(Таблица_pr1[[#This Row],[Удельное сопротивление грунта, Ом·м]])),J12/SQRT(Таблица_pr1[[#This Row],[Удельное сопротивление грунта, Ом·м]]))</f>
        <v>7.1373969378491537</v>
      </c>
      <c r="L12" s="61">
        <v>7</v>
      </c>
      <c r="M12" s="64">
        <v>35</v>
      </c>
      <c r="N12" s="49">
        <v>499.900000000001</v>
      </c>
      <c r="O12" s="50">
        <v>45.6</v>
      </c>
      <c r="P12" s="61">
        <f t="shared" si="3"/>
        <v>100.00000000002274</v>
      </c>
      <c r="Q12" s="61">
        <f>IFERROR(IF(N12-N11&lt;=0,"",P12/SQRT(Таблица_pr2[[#This Row],[Удельное сопротивление грунта, Ом·м]])),P12/SQRT(Таблица_pr2[[#This Row],[Удельное сопротивление грунта, Ом·м]]))</f>
        <v>14.808721943980675</v>
      </c>
      <c r="R12" s="76">
        <v>7</v>
      </c>
      <c r="S12" s="51">
        <v>62</v>
      </c>
      <c r="T12" s="49">
        <v>502.60000000000139</v>
      </c>
      <c r="U12" s="50">
        <v>83</v>
      </c>
      <c r="V12" s="61">
        <f t="shared" si="4"/>
        <v>100.00000000002274</v>
      </c>
      <c r="W12" s="61">
        <f>IFERROR(IF(T12-T11&lt;=0,"",V12/SQRT(Таблица_pr3[[#This Row],[Удельное сопротивление грунта, Ом·м]])),V12/SQRT(Таблица_pr3[[#This Row],[Удельное сопротивление грунта, Ом·м]]))</f>
        <v>10.97642599897153</v>
      </c>
      <c r="X12" s="61">
        <v>7</v>
      </c>
      <c r="Y12" s="51">
        <v>90</v>
      </c>
      <c r="Z12" s="52">
        <v>505.40000000000202</v>
      </c>
      <c r="AA12" s="50">
        <v>62</v>
      </c>
      <c r="AB12" s="61">
        <f t="shared" si="5"/>
        <v>100.00000000002274</v>
      </c>
      <c r="AC12" s="61">
        <f>IFERROR(IF(Z12-Z11&lt;=0,"",AB12/SQRT(Таблица_pr4[[#This Row],[Удельное сопротивление грунта, Ом·м]])),AB12/SQRT(Таблица_pr4[[#This Row],[Удельное сопротивление грунта, Ом·м]]))</f>
        <v>12.700012700021938</v>
      </c>
      <c r="AD12" s="76">
        <v>7</v>
      </c>
      <c r="AE12" s="64">
        <v>117</v>
      </c>
      <c r="AF12" s="52">
        <v>508.20000000000266</v>
      </c>
      <c r="AG12" s="67">
        <v>47.2</v>
      </c>
      <c r="AH12" s="61">
        <f t="shared" si="6"/>
        <v>100.00000000002274</v>
      </c>
      <c r="AI12" s="61">
        <f>IFERROR(IF(AF12-AF11&lt;=0,"",AH12/SQRT(Таблица_pr5[[#This Row],[Удельное сопротивление грунта, Ом·м]])),AH12/SQRT(Таблица_pr5[[#This Row],[Удельное сопротивление грунта, Ом·м]]))</f>
        <v>14.55556274349286</v>
      </c>
      <c r="AJ12" s="61">
        <v>7</v>
      </c>
      <c r="AK12" s="64">
        <v>147</v>
      </c>
      <c r="AL12" s="52">
        <v>511.20000000000334</v>
      </c>
      <c r="AM12" s="67">
        <v>56.9</v>
      </c>
      <c r="AN12" s="61">
        <f t="shared" si="7"/>
        <v>100.00000000002274</v>
      </c>
      <c r="AO12" s="61">
        <f>IFERROR(IF(AL12-AL11&lt;=0,"",AN12/SQRT(Таблица_pr6[[#This Row],[Удельное сопротивление грунта, Ом·м]])),AN12/SQRT(Таблица_pr6[[#This Row],[Удельное сопротивление грунта, Ом·м]]))</f>
        <v>13.256957585694481</v>
      </c>
      <c r="AP12" s="76">
        <v>7</v>
      </c>
      <c r="AQ12" s="64">
        <v>177</v>
      </c>
      <c r="AR12" s="52">
        <v>514.20000000000402</v>
      </c>
      <c r="AS12" s="67">
        <v>21.7</v>
      </c>
      <c r="AT12" s="61">
        <f t="shared" si="8"/>
        <v>100.00000000002274</v>
      </c>
      <c r="AU12" s="61">
        <f>IFERROR(IF(AR12-AR11&lt;=0,"",AT12/SQRT(Таблица_pr7[[#This Row],[Удельное сопротивление грунта, Ом·м]])),AT12/SQRT(Таблица_pr7[[#This Row],[Удельное сопротивление грунта, Ом·м]]))</f>
        <v>21.466939537059474</v>
      </c>
      <c r="AV12" s="61">
        <v>7</v>
      </c>
      <c r="AW12" s="64">
        <v>197</v>
      </c>
      <c r="AX12" s="52">
        <v>516.20000000000448</v>
      </c>
      <c r="AY12" s="67">
        <v>118.6</v>
      </c>
      <c r="AZ12" s="61">
        <f t="shared" si="9"/>
        <v>100.00000000002274</v>
      </c>
      <c r="BA12" s="61">
        <f>IFERROR(IF(AX12-AX11&lt;=0,"",AZ12/SQRT(Таблица_pr8[[#This Row],[Удельное сопротивление грунта, Ом·м]])),AZ12/SQRT(Таблица_pr8[[#This Row],[Удельное сопротивление грунта, Ом·м]]))</f>
        <v>9.182430617244572</v>
      </c>
      <c r="BB12" s="76">
        <v>7</v>
      </c>
      <c r="BC12" s="64">
        <v>227</v>
      </c>
      <c r="BD12" s="52">
        <v>519.20000000000516</v>
      </c>
      <c r="BE12" s="67">
        <v>202.6</v>
      </c>
      <c r="BF12" s="61">
        <f t="shared" si="10"/>
        <v>100.00000000002274</v>
      </c>
      <c r="BG12" s="61">
        <f>IFERROR(IF(BD12-AX31&lt;=0,"",BF12/SQRT(Таблица_pr9[[#This Row],[Удельное сопротивление грунта, Ом·м]])),BF12/SQRT(Таблица_pr9[[#This Row],[Удельное сопротивление грунта, Ом·м]]))</f>
        <v>7.0255491998665871</v>
      </c>
      <c r="BH12" s="61">
        <v>7</v>
      </c>
      <c r="BI12" s="64">
        <v>257</v>
      </c>
      <c r="BJ12" s="52">
        <v>522.20000000000584</v>
      </c>
      <c r="BK12" s="67">
        <v>36.799999999999997</v>
      </c>
      <c r="BL12" s="61">
        <f t="shared" si="11"/>
        <v>100.00000000002274</v>
      </c>
      <c r="BM12" s="61">
        <f>IFERROR(IF(BJ12-BD41&lt;=0,"",BL12/SQRT(Таблица_pr10[[#This Row],[Удельное сопротивление грунта, Ом·м]])),BL12/SQRT(Таблица_pr10[[#This Row],[Удельное сопротивление грунта, Ом·м]]))</f>
        <v>16.484511834898424</v>
      </c>
      <c r="BP12">
        <v>7</v>
      </c>
      <c r="BQ12">
        <v>80</v>
      </c>
      <c r="BR12">
        <f>VALUE(TableB[[#Headers],[0.0120]])</f>
        <v>1.2E-2</v>
      </c>
      <c r="BT12" t="str">
        <v/>
      </c>
      <c r="BU12">
        <v>7</v>
      </c>
      <c r="BV12">
        <v>80</v>
      </c>
      <c r="BW12">
        <f>VALUE(TableB[[#Headers],[0.0120]])</f>
        <v>1.2E-2</v>
      </c>
      <c r="BX12" t="str">
        <v/>
      </c>
      <c r="BY12">
        <v>7</v>
      </c>
      <c r="BZ12">
        <v>150</v>
      </c>
      <c r="CA12">
        <f>VALUE(TableB[[#Headers],[0.0120]])</f>
        <v>1.2E-2</v>
      </c>
      <c r="CC12">
        <v>7</v>
      </c>
      <c r="CD12">
        <v>80</v>
      </c>
      <c r="CE12">
        <f>VALUE(TableB[[#Headers],[0.0120]])</f>
        <v>1.2E-2</v>
      </c>
      <c r="CG12">
        <v>7</v>
      </c>
      <c r="CH12">
        <v>150</v>
      </c>
      <c r="CI12">
        <f>VALUE(TableB[[#Headers],[0.0120]])</f>
        <v>1.2E-2</v>
      </c>
      <c r="CK12">
        <v>7</v>
      </c>
      <c r="CL12">
        <v>80</v>
      </c>
      <c r="CM12">
        <f>VALUE(TableB[[#Headers],[0.0120]])</f>
        <v>1.2E-2</v>
      </c>
      <c r="CO12">
        <v>7</v>
      </c>
      <c r="CP12">
        <v>150</v>
      </c>
      <c r="CQ12">
        <f>VALUE(TableB[[#Headers],[0.0120]])</f>
        <v>1.2E-2</v>
      </c>
      <c r="CS12">
        <v>7</v>
      </c>
      <c r="CT12">
        <v>80</v>
      </c>
      <c r="CU12">
        <f>VALUE(TableB[[#Headers],[0.0120]])</f>
        <v>1.2E-2</v>
      </c>
      <c r="CW12">
        <v>7</v>
      </c>
      <c r="CX12">
        <v>150</v>
      </c>
      <c r="CY12">
        <f>VALUE(TableB[[#Headers],[0.0120]])</f>
        <v>1.2E-2</v>
      </c>
      <c r="DA12">
        <v>7</v>
      </c>
      <c r="DB12">
        <v>80</v>
      </c>
      <c r="DC12">
        <f>VALUE(TableB[[#Headers],[0.0120]])</f>
        <v>1.2E-2</v>
      </c>
      <c r="DE12">
        <v>7</v>
      </c>
      <c r="DF12">
        <v>150</v>
      </c>
      <c r="DG12">
        <f>VALUE(TableB[[#Headers],[0.0120]])</f>
        <v>1.2E-2</v>
      </c>
      <c r="DI12">
        <v>7</v>
      </c>
      <c r="DJ12" s="103">
        <v>1</v>
      </c>
      <c r="DK12" s="103">
        <v>1</v>
      </c>
      <c r="DL12" s="103">
        <v>10</v>
      </c>
      <c r="DM12" s="103">
        <v>11</v>
      </c>
      <c r="DN12" s="103">
        <v>5</v>
      </c>
      <c r="DO12" s="103">
        <v>12</v>
      </c>
      <c r="DP12" s="103">
        <v>7</v>
      </c>
      <c r="DQ12" s="103">
        <v>10</v>
      </c>
      <c r="DR12" s="103">
        <v>4</v>
      </c>
      <c r="DS12" s="103">
        <v>4</v>
      </c>
      <c r="DT12" s="103">
        <v>64</v>
      </c>
      <c r="DU12" s="103">
        <v>105</v>
      </c>
      <c r="DV12" s="103">
        <v>104</v>
      </c>
      <c r="DW12" s="103">
        <v>106</v>
      </c>
      <c r="DX12" s="103">
        <v>69</v>
      </c>
      <c r="DY12" s="103">
        <v>94</v>
      </c>
      <c r="DZ12" s="103">
        <v>127</v>
      </c>
      <c r="EA12" s="103">
        <v>123</v>
      </c>
      <c r="EB12" s="103">
        <v>125</v>
      </c>
      <c r="EC12" s="103">
        <v>80</v>
      </c>
      <c r="ED12" s="75" t="s">
        <v>661</v>
      </c>
    </row>
    <row r="13" spans="1:143">
      <c r="A13" s="64">
        <v>8</v>
      </c>
      <c r="B13" s="49">
        <v>497.2</v>
      </c>
      <c r="C13" s="65">
        <v>175.6</v>
      </c>
      <c r="D13" s="61">
        <f t="shared" si="1"/>
        <v>99.999999999965894</v>
      </c>
      <c r="E13" s="61">
        <f>IFERROR(IF(B13-B12&lt;=0,"",D13/SQRT(Таблица_pr[[#This Row],[Удельное сопротивление грунта, Ом·м]])),D13/SQRT(Таблица_pr[[#This Row],[Удельное сопротивление грунта, Ом·м]]))</f>
        <v>7.5463639059097014</v>
      </c>
      <c r="G13" s="189">
        <v>8</v>
      </c>
      <c r="H13" s="178">
        <v>497.2</v>
      </c>
      <c r="I13" s="179">
        <v>175.6</v>
      </c>
      <c r="J13" s="180">
        <f t="shared" si="2"/>
        <v>99.999999999965894</v>
      </c>
      <c r="K13" s="61">
        <f>IFERROR(IF(H13-H12&lt;=0,"",J13/SQRT(Таблица_pr1[[#This Row],[Удельное сопротивление грунта, Ом·м]])),J13/SQRT(Таблица_pr1[[#This Row],[Удельное сопротивление грунта, Ом·м]]))</f>
        <v>7.5463639059097014</v>
      </c>
      <c r="L13" s="61">
        <v>8</v>
      </c>
      <c r="M13" s="64">
        <v>36</v>
      </c>
      <c r="N13" s="49">
        <v>500.00000000000102</v>
      </c>
      <c r="O13" s="50">
        <v>47.1</v>
      </c>
      <c r="P13" s="61">
        <f t="shared" si="3"/>
        <v>100.00000000002274</v>
      </c>
      <c r="Q13" s="61">
        <f>IFERROR(IF(N13-N12&lt;=0,"",P13/SQRT(Таблица_pr2[[#This Row],[Удельное сопротивление грунта, Ом·м]])),P13/SQRT(Таблица_pr2[[#This Row],[Удельное сопротивление грунта, Ом·м]]))</f>
        <v>14.571006315734513</v>
      </c>
      <c r="R13" s="76">
        <v>8</v>
      </c>
      <c r="S13" s="51">
        <v>63</v>
      </c>
      <c r="T13" s="49">
        <v>502.70000000000141</v>
      </c>
      <c r="U13" s="50">
        <v>66.5</v>
      </c>
      <c r="V13" s="61">
        <f t="shared" si="4"/>
        <v>100.00000000002274</v>
      </c>
      <c r="W13" s="61">
        <f>IFERROR(IF(T13-T12&lt;=0,"",V13/SQRT(Таблица_pr3[[#This Row],[Удельное сопротивление грунта, Ом·м]])),V13/SQRT(Таблица_pr3[[#This Row],[Удельное сопротивление грунта, Ом·м]]))</f>
        <v>12.262786789702105</v>
      </c>
      <c r="X13" s="61">
        <v>8</v>
      </c>
      <c r="Y13" s="51">
        <v>91</v>
      </c>
      <c r="Z13" s="52">
        <v>505.50000000000205</v>
      </c>
      <c r="AA13" s="50">
        <v>67.5</v>
      </c>
      <c r="AB13" s="61">
        <f t="shared" si="5"/>
        <v>100.00000000002274</v>
      </c>
      <c r="AC13" s="61">
        <f>IFERROR(IF(Z13-Z12&lt;=0,"",AB13/SQRT(Таблица_pr4[[#This Row],[Удельное сопротивление грунта, Ом·м]])),AB13/SQRT(Таблица_pr4[[#This Row],[Удельное сопротивление грунта, Ом·м]]))</f>
        <v>12.171612389006459</v>
      </c>
      <c r="AD13" s="76">
        <v>8</v>
      </c>
      <c r="AE13" s="64">
        <v>118</v>
      </c>
      <c r="AF13" s="52">
        <v>508.30000000000268</v>
      </c>
      <c r="AG13" s="67">
        <v>46.5</v>
      </c>
      <c r="AH13" s="61">
        <f t="shared" si="6"/>
        <v>100.00000000002274</v>
      </c>
      <c r="AI13" s="61">
        <f>IFERROR(IF(AF13-AF12&lt;=0,"",AH13/SQRT(Таблица_pr5[[#This Row],[Удельное сопротивление грунта, Ом·м]])),AH13/SQRT(Таблица_pr5[[#This Row],[Удельное сопротивление грунта, Ом·м]]))</f>
        <v>14.664711502138664</v>
      </c>
      <c r="AJ13" s="61">
        <v>8</v>
      </c>
      <c r="AK13" s="64">
        <v>148</v>
      </c>
      <c r="AL13" s="52">
        <v>511.30000000000337</v>
      </c>
      <c r="AM13" s="67">
        <v>57.7</v>
      </c>
      <c r="AN13" s="61">
        <f t="shared" si="7"/>
        <v>100.00000000002274</v>
      </c>
      <c r="AO13" s="61">
        <f>IFERROR(IF(AL13-AL12&lt;=0,"",AN13/SQRT(Таблица_pr6[[#This Row],[Удельное сопротивление грунта, Ом·м]])),AN13/SQRT(Таблица_pr6[[#This Row],[Удельное сопротивление грунта, Ом·м]]))</f>
        <v>13.164734152400181</v>
      </c>
      <c r="AP13" s="76">
        <v>8</v>
      </c>
      <c r="AQ13" s="64">
        <v>178</v>
      </c>
      <c r="AR13" s="52">
        <v>514.30000000000405</v>
      </c>
      <c r="AS13" s="67">
        <v>24.3</v>
      </c>
      <c r="AT13" s="61">
        <f t="shared" si="8"/>
        <v>100.00000000002274</v>
      </c>
      <c r="AU13" s="61">
        <f>IFERROR(IF(AR13-AR12&lt;=0,"",AT13/SQRT(Таблица_pr7[[#This Row],[Удельное сопротивление грунта, Ом·м]])),AT13/SQRT(Таблица_pr7[[#This Row],[Удельное сопротивление грунта, Ом·м]]))</f>
        <v>20.286020648344095</v>
      </c>
      <c r="AV13" s="61">
        <v>8</v>
      </c>
      <c r="AW13" s="64">
        <v>198</v>
      </c>
      <c r="AX13" s="52">
        <v>516.3000000000045</v>
      </c>
      <c r="AY13" s="67">
        <v>127</v>
      </c>
      <c r="AZ13" s="61">
        <f t="shared" si="9"/>
        <v>100.00000000002274</v>
      </c>
      <c r="BA13" s="61">
        <f>IFERROR(IF(AX13-AX12&lt;=0,"",AZ13/SQRT(Таблица_pr8[[#This Row],[Удельное сопротивление грунта, Ом·м]])),AZ13/SQRT(Таблица_pr8[[#This Row],[Удельное сопротивление грунта, Ом·м]]))</f>
        <v>8.8735650941631565</v>
      </c>
      <c r="BB13" s="76">
        <v>8</v>
      </c>
      <c r="BC13" s="64">
        <v>228</v>
      </c>
      <c r="BD13" s="52">
        <v>519.30000000000518</v>
      </c>
      <c r="BE13" s="67">
        <v>225.3</v>
      </c>
      <c r="BF13" s="61">
        <f t="shared" si="10"/>
        <v>100.00000000002274</v>
      </c>
      <c r="BG13" s="61">
        <f>IFERROR(IF(BD13-AX32&lt;=0,"",BF13/SQRT(Таблица_pr9[[#This Row],[Удельное сопротивление грунта, Ом·м]])),BF13/SQRT(Таблица_pr9[[#This Row],[Удельное сопротивление грунта, Ом·м]]))</f>
        <v>6.662226661735664</v>
      </c>
      <c r="BH13" s="61">
        <v>8</v>
      </c>
      <c r="BI13" s="64">
        <v>258</v>
      </c>
      <c r="BJ13" s="52">
        <v>522.30000000000587</v>
      </c>
      <c r="BK13" s="67">
        <v>34.4</v>
      </c>
      <c r="BL13" s="61">
        <f t="shared" si="11"/>
        <v>100.00000000002274</v>
      </c>
      <c r="BM13" s="61">
        <f>IFERROR(IF(BJ13-BD42&lt;=0,"",BL13/SQRT(Таблица_pr10[[#This Row],[Удельное сопротивление грунта, Ом·м]])),BL13/SQRT(Таблица_pr10[[#This Row],[Удельное сопротивление грунта, Ом·м]]))</f>
        <v>17.049858486765714</v>
      </c>
      <c r="BP13">
        <v>8</v>
      </c>
      <c r="BQ13">
        <v>70</v>
      </c>
      <c r="BR13">
        <f>VALUE(TableB[[#Headers],[0.0125]])</f>
        <v>1.2500000000000001E-2</v>
      </c>
      <c r="BT13" t="str">
        <v/>
      </c>
      <c r="BU13">
        <v>8</v>
      </c>
      <c r="BV13">
        <v>70</v>
      </c>
      <c r="BW13">
        <f>VALUE(TableB[[#Headers],[0.0125]])</f>
        <v>1.2500000000000001E-2</v>
      </c>
      <c r="BX13" t="str">
        <v/>
      </c>
      <c r="BY13">
        <v>8</v>
      </c>
      <c r="BZ13">
        <v>90</v>
      </c>
      <c r="CA13">
        <f>VALUE(TableB[[#Headers],[0.0125]])</f>
        <v>1.2500000000000001E-2</v>
      </c>
      <c r="CC13">
        <v>8</v>
      </c>
      <c r="CD13">
        <v>70</v>
      </c>
      <c r="CE13">
        <f>VALUE(TableB[[#Headers],[0.0125]])</f>
        <v>1.2500000000000001E-2</v>
      </c>
      <c r="CG13">
        <v>8</v>
      </c>
      <c r="CH13">
        <v>90</v>
      </c>
      <c r="CI13">
        <f>VALUE(TableB[[#Headers],[0.0125]])</f>
        <v>1.2500000000000001E-2</v>
      </c>
      <c r="CK13">
        <v>8</v>
      </c>
      <c r="CL13">
        <v>70</v>
      </c>
      <c r="CM13">
        <f>VALUE(TableB[[#Headers],[0.0125]])</f>
        <v>1.2500000000000001E-2</v>
      </c>
      <c r="CO13">
        <v>8</v>
      </c>
      <c r="CP13">
        <v>90</v>
      </c>
      <c r="CQ13">
        <f>VALUE(TableB[[#Headers],[0.0125]])</f>
        <v>1.2500000000000001E-2</v>
      </c>
      <c r="CS13">
        <v>8</v>
      </c>
      <c r="CT13">
        <v>70</v>
      </c>
      <c r="CU13">
        <f>VALUE(TableB[[#Headers],[0.0125]])</f>
        <v>1.2500000000000001E-2</v>
      </c>
      <c r="CW13">
        <v>8</v>
      </c>
      <c r="CX13">
        <v>90</v>
      </c>
      <c r="CY13">
        <f>VALUE(TableB[[#Headers],[0.0125]])</f>
        <v>1.2500000000000001E-2</v>
      </c>
      <c r="DA13">
        <v>8</v>
      </c>
      <c r="DB13">
        <v>70</v>
      </c>
      <c r="DC13">
        <f>VALUE(TableB[[#Headers],[0.0125]])</f>
        <v>1.2500000000000001E-2</v>
      </c>
      <c r="DE13">
        <v>8</v>
      </c>
      <c r="DF13">
        <v>90</v>
      </c>
      <c r="DG13">
        <f>VALUE(TableB[[#Headers],[0.0125]])</f>
        <v>1.2500000000000001E-2</v>
      </c>
      <c r="DI13">
        <v>8</v>
      </c>
      <c r="DJ13" s="103">
        <v>1</v>
      </c>
      <c r="DK13" s="103">
        <v>6</v>
      </c>
      <c r="DL13" s="103">
        <v>11</v>
      </c>
      <c r="DM13" s="103">
        <v>5</v>
      </c>
      <c r="DN13" s="103">
        <v>6</v>
      </c>
      <c r="DO13" s="103">
        <v>12</v>
      </c>
      <c r="DP13" s="103">
        <v>3</v>
      </c>
      <c r="DQ13" s="103">
        <v>1</v>
      </c>
      <c r="DR13" s="103">
        <v>8</v>
      </c>
      <c r="DS13" s="103">
        <v>2</v>
      </c>
      <c r="DT13" s="103">
        <v>184</v>
      </c>
      <c r="DU13" s="103">
        <v>217</v>
      </c>
      <c r="DV13" s="103">
        <v>227</v>
      </c>
      <c r="DW13" s="103">
        <v>297</v>
      </c>
      <c r="DX13" s="103">
        <v>263</v>
      </c>
      <c r="DY13" s="103">
        <v>234</v>
      </c>
      <c r="DZ13" s="103">
        <v>313</v>
      </c>
      <c r="EA13" s="103">
        <v>224</v>
      </c>
      <c r="EB13" s="103">
        <v>395</v>
      </c>
      <c r="EC13" s="103">
        <v>164</v>
      </c>
      <c r="ED13" s="75" t="s">
        <v>661</v>
      </c>
    </row>
    <row r="14" spans="1:143">
      <c r="A14" s="64">
        <v>9</v>
      </c>
      <c r="B14" s="49">
        <v>497.3</v>
      </c>
      <c r="C14" s="65">
        <v>153.19999999999999</v>
      </c>
      <c r="D14" s="61">
        <f t="shared" si="1"/>
        <v>100.00000000002274</v>
      </c>
      <c r="E14" s="61">
        <f>IFERROR(IF(B14-B13&lt;=0,"",D14/SQRT(Таблица_pr[[#This Row],[Удельное сопротивление грунта, Ом·м]])),D14/SQRT(Таблица_pr[[#This Row],[Удельное сопротивление грунта, Ом·м]]))</f>
        <v>8.0792420087568253</v>
      </c>
      <c r="G14" s="188">
        <v>9</v>
      </c>
      <c r="H14" s="175">
        <v>497.3</v>
      </c>
      <c r="I14" s="176">
        <v>153.19999999999999</v>
      </c>
      <c r="J14" s="181">
        <f t="shared" si="2"/>
        <v>100.00000000002274</v>
      </c>
      <c r="K14" s="61">
        <f>IFERROR(IF(H14-H13&lt;=0,"",J14/SQRT(Таблица_pr1[[#This Row],[Удельное сопротивление грунта, Ом·м]])),J14/SQRT(Таблица_pr1[[#This Row],[Удельное сопротивление грунта, Ом·м]]))</f>
        <v>8.0792420087568253</v>
      </c>
      <c r="L14" s="61">
        <v>9</v>
      </c>
      <c r="M14" s="64">
        <v>37</v>
      </c>
      <c r="N14" s="49">
        <v>500.10000000000099</v>
      </c>
      <c r="O14" s="50">
        <v>63.6</v>
      </c>
      <c r="P14" s="61">
        <f t="shared" si="3"/>
        <v>99.999999999965894</v>
      </c>
      <c r="Q14" s="61">
        <f>IFERROR(IF(N14-N13&lt;=0,"",P14/SQRT(Таблица_pr2[[#This Row],[Удельное сопротивление грунта, Ом·м]])),P14/SQRT(Таблица_pr2[[#This Row],[Удельное сопротивление грунта, Ом·м]]))</f>
        <v>12.539246564383703</v>
      </c>
      <c r="R14" s="76">
        <v>9</v>
      </c>
      <c r="S14" s="51">
        <v>64</v>
      </c>
      <c r="T14" s="49">
        <v>502.80000000000143</v>
      </c>
      <c r="U14" s="50">
        <v>72.8</v>
      </c>
      <c r="V14" s="61">
        <f t="shared" si="4"/>
        <v>100.00000000002274</v>
      </c>
      <c r="W14" s="61">
        <f>IFERROR(IF(T14-T13&lt;=0,"",V14/SQRT(Таблица_pr3[[#This Row],[Удельное сопротивление грунта, Ом·м]])),V14/SQRT(Таблица_pr3[[#This Row],[Удельное сопротивление грунта, Ом·м]]))</f>
        <v>11.720180773465049</v>
      </c>
      <c r="X14" s="61">
        <v>9</v>
      </c>
      <c r="Y14" s="51">
        <v>92</v>
      </c>
      <c r="Z14" s="52">
        <v>505.60000000000207</v>
      </c>
      <c r="AA14" s="50">
        <v>64.2</v>
      </c>
      <c r="AB14" s="61">
        <f t="shared" si="5"/>
        <v>100.00000000002274</v>
      </c>
      <c r="AC14" s="61">
        <f>IFERROR(IF(Z14-Z13&lt;=0,"",AB14/SQRT(Таблица_pr4[[#This Row],[Удельное сопротивление грунта, Ом·м]])),AB14/SQRT(Таблица_pr4[[#This Row],[Удельное сопротивление грунта, Ом·м]]))</f>
        <v>12.480514407485783</v>
      </c>
      <c r="AD14" s="76">
        <v>9</v>
      </c>
      <c r="AE14" s="64">
        <v>119</v>
      </c>
      <c r="AF14" s="52">
        <v>508.40000000000271</v>
      </c>
      <c r="AG14" s="67">
        <v>53.7</v>
      </c>
      <c r="AH14" s="61">
        <f t="shared" si="6"/>
        <v>100.00000000002274</v>
      </c>
      <c r="AI14" s="61">
        <f>IFERROR(IF(AF14-AF13&lt;=0,"",AH14/SQRT(Таблица_pr5[[#This Row],[Удельное сопротивление грунта, Ом·м]])),AH14/SQRT(Таблица_pr5[[#This Row],[Удельное сопротивление грунта, Ом·м]]))</f>
        <v>13.646235352376481</v>
      </c>
      <c r="AJ14" s="61">
        <v>9</v>
      </c>
      <c r="AK14" s="64">
        <v>149</v>
      </c>
      <c r="AL14" s="52">
        <v>511.40000000000339</v>
      </c>
      <c r="AM14" s="67">
        <v>57.5</v>
      </c>
      <c r="AN14" s="61">
        <f t="shared" si="7"/>
        <v>100.00000000002274</v>
      </c>
      <c r="AO14" s="61">
        <f>IFERROR(IF(AL14-AL13&lt;=0,"",AN14/SQRT(Таблица_pr6[[#This Row],[Удельное сопротивление грунта, Ом·м]])),AN14/SQRT(Таблица_pr6[[#This Row],[Удельное сопротивление грунта, Ом·м]]))</f>
        <v>13.187609467918739</v>
      </c>
      <c r="AP14" s="76">
        <v>9</v>
      </c>
      <c r="AQ14" s="64">
        <v>179</v>
      </c>
      <c r="AR14" s="52">
        <v>514.40000000000407</v>
      </c>
      <c r="AS14" s="67">
        <v>21.7</v>
      </c>
      <c r="AT14" s="61">
        <f t="shared" si="8"/>
        <v>100.00000000002274</v>
      </c>
      <c r="AU14" s="61">
        <f>IFERROR(IF(AR14-AR13&lt;=0,"",AT14/SQRT(Таблица_pr7[[#This Row],[Удельное сопротивление грунта, Ом·м]])),AT14/SQRT(Таблица_pr7[[#This Row],[Удельное сопротивление грунта, Ом·м]]))</f>
        <v>21.466939537059474</v>
      </c>
      <c r="AV14" s="61">
        <v>9</v>
      </c>
      <c r="AW14" s="64">
        <v>199</v>
      </c>
      <c r="AX14" s="52">
        <v>516.40000000000452</v>
      </c>
      <c r="AY14" s="67">
        <v>132.19999999999999</v>
      </c>
      <c r="AZ14" s="61">
        <f t="shared" si="9"/>
        <v>100.00000000002274</v>
      </c>
      <c r="BA14" s="61">
        <f>IFERROR(IF(AX14-AX13&lt;=0,"",AZ14/SQRT(Таблица_pr8[[#This Row],[Удельное сопротивление грунта, Ом·м]])),AZ14/SQRT(Таблица_pr8[[#This Row],[Удельное сопротивление грунта, Ом·м]]))</f>
        <v>8.6972964307461886</v>
      </c>
      <c r="BB14" s="76">
        <v>9</v>
      </c>
      <c r="BC14" s="64">
        <v>229</v>
      </c>
      <c r="BD14" s="52">
        <v>519.40000000000521</v>
      </c>
      <c r="BE14" s="67">
        <v>246</v>
      </c>
      <c r="BF14" s="61">
        <f t="shared" si="10"/>
        <v>100.00000000002274</v>
      </c>
      <c r="BG14" s="61">
        <f>IFERROR(IF(BD14-AX33&lt;=0,"",BF14/SQRT(Таблица_pr9[[#This Row],[Удельное сопротивление грунта, Ом·м]])),BF14/SQRT(Таблица_pr9[[#This Row],[Удельное сопротивление грунта, Ом·м]]))</f>
        <v>6.3757671306348325</v>
      </c>
      <c r="BH14" s="61">
        <v>9</v>
      </c>
      <c r="BI14" s="64">
        <v>259</v>
      </c>
      <c r="BJ14" s="52">
        <v>522.40000000000589</v>
      </c>
      <c r="BK14" s="67">
        <v>38.5</v>
      </c>
      <c r="BL14" s="61">
        <f t="shared" si="11"/>
        <v>100.00000000002274</v>
      </c>
      <c r="BM14" s="61">
        <f>IFERROR(IF(BJ14-BD43&lt;=0,"",BL14/SQRT(Таблица_pr10[[#This Row],[Удельное сопротивление грунта, Ом·м]])),BL14/SQRT(Таблица_pr10[[#This Row],[Удельное сопротивление грунта, Ом·м]]))</f>
        <v>16.116459280511268</v>
      </c>
      <c r="BP14">
        <v>9</v>
      </c>
      <c r="BQ14">
        <v>60</v>
      </c>
      <c r="BR14">
        <f>VALUE(TableB[[#Headers],[0.0140]])</f>
        <v>1.4E-2</v>
      </c>
      <c r="BT14" t="str">
        <v/>
      </c>
      <c r="BU14">
        <v>9</v>
      </c>
      <c r="BV14">
        <v>60</v>
      </c>
      <c r="BW14">
        <f>VALUE(TableB[[#Headers],[0.0140]])</f>
        <v>1.4E-2</v>
      </c>
      <c r="BX14" t="str">
        <v/>
      </c>
      <c r="BY14">
        <v>9</v>
      </c>
      <c r="BZ14">
        <v>80</v>
      </c>
      <c r="CA14">
        <f>VALUE(TableB[[#Headers],[0.0140]])</f>
        <v>1.4E-2</v>
      </c>
      <c r="CC14">
        <v>9</v>
      </c>
      <c r="CD14">
        <v>60</v>
      </c>
      <c r="CE14">
        <f>VALUE(TableB[[#Headers],[0.0140]])</f>
        <v>1.4E-2</v>
      </c>
      <c r="CG14">
        <v>9</v>
      </c>
      <c r="CH14">
        <v>80</v>
      </c>
      <c r="CI14">
        <f>VALUE(TableB[[#Headers],[0.0140]])</f>
        <v>1.4E-2</v>
      </c>
      <c r="CK14">
        <v>9</v>
      </c>
      <c r="CL14">
        <v>60</v>
      </c>
      <c r="CM14">
        <f>VALUE(TableB[[#Headers],[0.0140]])</f>
        <v>1.4E-2</v>
      </c>
      <c r="CO14">
        <v>9</v>
      </c>
      <c r="CP14">
        <v>80</v>
      </c>
      <c r="CQ14">
        <f>VALUE(TableB[[#Headers],[0.0140]])</f>
        <v>1.4E-2</v>
      </c>
      <c r="CS14">
        <v>9</v>
      </c>
      <c r="CT14">
        <v>60</v>
      </c>
      <c r="CU14">
        <f>VALUE(TableB[[#Headers],[0.0140]])</f>
        <v>1.4E-2</v>
      </c>
      <c r="CW14">
        <v>9</v>
      </c>
      <c r="CX14">
        <v>80</v>
      </c>
      <c r="CY14">
        <f>VALUE(TableB[[#Headers],[0.0140]])</f>
        <v>1.4E-2</v>
      </c>
      <c r="DA14">
        <v>9</v>
      </c>
      <c r="DB14">
        <v>60</v>
      </c>
      <c r="DC14">
        <f>VALUE(TableB[[#Headers],[0.0140]])</f>
        <v>1.4E-2</v>
      </c>
      <c r="DE14">
        <v>9</v>
      </c>
      <c r="DF14">
        <v>80</v>
      </c>
      <c r="DG14">
        <f>VALUE(TableB[[#Headers],[0.0140]])</f>
        <v>1.4E-2</v>
      </c>
      <c r="DI14">
        <v>9</v>
      </c>
      <c r="DJ14" s="103">
        <v>9</v>
      </c>
      <c r="DK14" s="103">
        <v>7</v>
      </c>
      <c r="DL14" s="103">
        <v>12</v>
      </c>
      <c r="DM14" s="103">
        <v>3</v>
      </c>
      <c r="DN14" s="103">
        <v>9</v>
      </c>
      <c r="DO14" s="103">
        <v>6</v>
      </c>
      <c r="DP14" s="103">
        <v>12</v>
      </c>
      <c r="DQ14" s="103">
        <v>8</v>
      </c>
      <c r="DR14" s="103">
        <v>5</v>
      </c>
      <c r="DS14" s="103">
        <v>12</v>
      </c>
      <c r="DT14" s="103">
        <v>779</v>
      </c>
      <c r="DU14" s="103">
        <v>922</v>
      </c>
      <c r="DV14" s="103">
        <v>456</v>
      </c>
      <c r="DW14" s="103">
        <v>489</v>
      </c>
      <c r="DX14" s="103">
        <v>1435</v>
      </c>
      <c r="DY14" s="103">
        <v>1170</v>
      </c>
      <c r="DZ14" s="103">
        <v>1258</v>
      </c>
      <c r="EA14" s="103">
        <v>1305</v>
      </c>
      <c r="EB14" s="103">
        <v>400</v>
      </c>
      <c r="EC14" s="103">
        <v>1005</v>
      </c>
      <c r="ED14" s="75" t="s">
        <v>661</v>
      </c>
    </row>
    <row r="15" spans="1:143">
      <c r="A15" s="64">
        <v>10</v>
      </c>
      <c r="B15" s="49">
        <v>497.4</v>
      </c>
      <c r="C15" s="65">
        <v>178.7</v>
      </c>
      <c r="D15" s="61">
        <f t="shared" si="1"/>
        <v>99.999999999965894</v>
      </c>
      <c r="E15" s="61">
        <f>IFERROR(IF(B15-B14&lt;=0,"",D15/SQRT(Таблица_pr[[#This Row],[Удельное сопротивление грунта, Ом·м]])),D15/SQRT(Таблица_pr[[#This Row],[Удельное сопротивление грунта, Ом·м]]))</f>
        <v>7.4806222341109425</v>
      </c>
      <c r="G15" s="189">
        <v>10</v>
      </c>
      <c r="H15" s="178">
        <v>497.4</v>
      </c>
      <c r="I15" s="179">
        <v>178.7</v>
      </c>
      <c r="J15" s="180">
        <f t="shared" si="2"/>
        <v>99.999999999965894</v>
      </c>
      <c r="K15" s="61">
        <f>IFERROR(IF(H15-H14&lt;=0,"",J15/SQRT(Таблица_pr1[[#This Row],[Удельное сопротивление грунта, Ом·м]])),J15/SQRT(Таблица_pr1[[#This Row],[Удельное сопротивление грунта, Ом·м]]))</f>
        <v>7.4806222341109425</v>
      </c>
      <c r="L15" s="61">
        <v>10</v>
      </c>
      <c r="M15" s="64">
        <v>38</v>
      </c>
      <c r="N15" s="49">
        <v>500.20000000000101</v>
      </c>
      <c r="O15" s="50">
        <v>42.6</v>
      </c>
      <c r="P15" s="61">
        <f t="shared" si="3"/>
        <v>100.00000000002274</v>
      </c>
      <c r="Q15" s="61">
        <f>IFERROR(IF(N15-N14&lt;=0,"",P15/SQRT(Таблица_pr2[[#This Row],[Удельное сопротивление грунта, Ом·м]])),P15/SQRT(Таблица_pr2[[#This Row],[Удельное сопротивление грунта, Ом·м]]))</f>
        <v>15.321285325900872</v>
      </c>
      <c r="R15" s="76">
        <v>10</v>
      </c>
      <c r="S15" s="51">
        <v>65</v>
      </c>
      <c r="T15" s="49">
        <v>502.90000000000146</v>
      </c>
      <c r="U15" s="50">
        <v>61.2</v>
      </c>
      <c r="V15" s="61">
        <f t="shared" si="4"/>
        <v>100.00000000002274</v>
      </c>
      <c r="W15" s="61">
        <f>IFERROR(IF(T15-T14&lt;=0,"",V15/SQRT(Таблица_pr3[[#This Row],[Удельное сопротивление грунта, Ом·м]])),V15/SQRT(Таблица_pr3[[#This Row],[Удельное сопротивление грунта, Ом·м]]))</f>
        <v>12.782749814125747</v>
      </c>
      <c r="X15" s="61">
        <v>10</v>
      </c>
      <c r="Y15" s="51">
        <v>93</v>
      </c>
      <c r="Z15" s="52">
        <v>505.70000000000209</v>
      </c>
      <c r="AA15" s="50">
        <v>69.900000000000006</v>
      </c>
      <c r="AB15" s="61">
        <f t="shared" si="5"/>
        <v>100.00000000002274</v>
      </c>
      <c r="AC15" s="61">
        <f>IFERROR(IF(Z15-Z14&lt;=0,"",AB15/SQRT(Таблица_pr4[[#This Row],[Удельное сопротивление грунта, Ом·м]])),AB15/SQRT(Таблица_pr4[[#This Row],[Удельное сопротивление грунта, Ом·м]]))</f>
        <v>11.960832598617015</v>
      </c>
      <c r="AD15" s="76">
        <v>10</v>
      </c>
      <c r="AE15" s="64">
        <v>120</v>
      </c>
      <c r="AF15" s="52">
        <v>508.50000000000273</v>
      </c>
      <c r="AG15" s="67">
        <v>54</v>
      </c>
      <c r="AH15" s="61">
        <f t="shared" si="6"/>
        <v>100.00000000002274</v>
      </c>
      <c r="AI15" s="61">
        <f>IFERROR(IF(AF15-AF14&lt;=0,"",AH15/SQRT(Таблица_pr5[[#This Row],[Удельное сопротивление грунта, Ом·м]])),AH15/SQRT(Таблица_pr5[[#This Row],[Удельное сопротивление грунта, Ом·м]]))</f>
        <v>13.608276348798528</v>
      </c>
      <c r="AJ15" s="61">
        <v>10</v>
      </c>
      <c r="AK15" s="64">
        <v>150</v>
      </c>
      <c r="AL15" s="52">
        <v>511.50000000000341</v>
      </c>
      <c r="AM15" s="67">
        <v>61.4</v>
      </c>
      <c r="AN15" s="61">
        <f t="shared" si="7"/>
        <v>100.00000000002274</v>
      </c>
      <c r="AO15" s="61">
        <f>IFERROR(IF(AL15-AL14&lt;=0,"",AN15/SQRT(Таблица_pr6[[#This Row],[Удельное сопротивление грунта, Ом·м]])),AN15/SQRT(Таблица_pr6[[#This Row],[Удельное сопротивление грунта, Ом·м]]))</f>
        <v>12.7619140222568</v>
      </c>
      <c r="AP15" s="76">
        <v>10</v>
      </c>
      <c r="AQ15" s="64">
        <v>180</v>
      </c>
      <c r="AR15" s="52">
        <v>514.50000000000409</v>
      </c>
      <c r="AS15" s="67">
        <v>19</v>
      </c>
      <c r="AT15" s="61">
        <f t="shared" si="8"/>
        <v>100.00000000002274</v>
      </c>
      <c r="AU15" s="61">
        <f>IFERROR(IF(AR15-AR14&lt;=0,"",AT15/SQRT(Таблица_pr7[[#This Row],[Удельное сопротивление грунта, Ом·м]])),AT15/SQRT(Таблица_pr7[[#This Row],[Удельное сопротивление грунта, Ом·м]]))</f>
        <v>22.941573387061389</v>
      </c>
      <c r="AV15" s="61">
        <v>10</v>
      </c>
      <c r="AW15" s="64">
        <v>200</v>
      </c>
      <c r="AX15" s="52">
        <v>516.50000000000455</v>
      </c>
      <c r="AY15" s="67">
        <v>128.80000000000001</v>
      </c>
      <c r="AZ15" s="61">
        <f t="shared" si="9"/>
        <v>100.00000000002274</v>
      </c>
      <c r="BA15" s="61">
        <f>IFERROR(IF(AX15-AX14&lt;=0,"",AZ15/SQRT(Таблица_pr8[[#This Row],[Удельное сопротивление грунта, Ом·м]])),AZ15/SQRT(Таблица_pr8[[#This Row],[Удельное сопротивление грунта, Ом·м]]))</f>
        <v>8.8113422106300199</v>
      </c>
      <c r="BB15" s="76">
        <v>10</v>
      </c>
      <c r="BC15" s="64">
        <v>230</v>
      </c>
      <c r="BD15" s="52">
        <v>519.50000000000523</v>
      </c>
      <c r="BE15" s="67">
        <v>271.2</v>
      </c>
      <c r="BF15" s="61">
        <f t="shared" si="10"/>
        <v>100.00000000002274</v>
      </c>
      <c r="BG15" s="61">
        <f>IFERROR(IF(BD15-AX34&lt;=0,"",BF15/SQRT(Таблица_pr9[[#This Row],[Удельное сопротивление грунта, Ом·м]])),BF15/SQRT(Таблица_pr9[[#This Row],[Удельное сопротивление грунта, Ом·м]]))</f>
        <v>6.0723270944671341</v>
      </c>
      <c r="BH15" s="61">
        <v>10</v>
      </c>
      <c r="BI15" s="64">
        <v>260</v>
      </c>
      <c r="BJ15" s="52">
        <v>522.50000000000591</v>
      </c>
      <c r="BK15" s="67">
        <v>38.5</v>
      </c>
      <c r="BL15" s="61">
        <f t="shared" si="11"/>
        <v>100.00000000002274</v>
      </c>
      <c r="BM15" s="61">
        <f>IFERROR(IF(BJ15-BD44&lt;=0,"",BL15/SQRT(Таблица_pr10[[#This Row],[Удельное сопротивление грунта, Ом·м]])),BL15/SQRT(Таблица_pr10[[#This Row],[Удельное сопротивление грунта, Ом·м]]))</f>
        <v>16.116459280511268</v>
      </c>
      <c r="BP15">
        <v>10</v>
      </c>
      <c r="BQ15">
        <v>50</v>
      </c>
      <c r="BR15">
        <f>VALUE(TableB[[#Headers],[0.0150]])</f>
        <v>1.4999999999999999E-2</v>
      </c>
      <c r="BT15" t="str">
        <v/>
      </c>
      <c r="BU15">
        <v>10</v>
      </c>
      <c r="BV15">
        <v>50</v>
      </c>
      <c r="BW15">
        <f>VALUE(TableB[[#Headers],[0.0150]])</f>
        <v>1.4999999999999999E-2</v>
      </c>
      <c r="BX15" t="str">
        <v/>
      </c>
      <c r="BY15">
        <v>10</v>
      </c>
      <c r="BZ15">
        <v>70</v>
      </c>
      <c r="CA15">
        <f>VALUE(TableB[[#Headers],[0.0150]])</f>
        <v>1.4999999999999999E-2</v>
      </c>
      <c r="CC15">
        <v>10</v>
      </c>
      <c r="CD15">
        <v>50</v>
      </c>
      <c r="CE15">
        <f>VALUE(TableB[[#Headers],[0.0150]])</f>
        <v>1.4999999999999999E-2</v>
      </c>
      <c r="CG15">
        <v>10</v>
      </c>
      <c r="CH15">
        <v>70</v>
      </c>
      <c r="CI15">
        <f>VALUE(TableB[[#Headers],[0.0150]])</f>
        <v>1.4999999999999999E-2</v>
      </c>
      <c r="CK15">
        <v>10</v>
      </c>
      <c r="CL15">
        <v>50</v>
      </c>
      <c r="CM15">
        <f>VALUE(TableB[[#Headers],[0.0150]])</f>
        <v>1.4999999999999999E-2</v>
      </c>
      <c r="CO15">
        <v>10</v>
      </c>
      <c r="CP15">
        <v>70</v>
      </c>
      <c r="CQ15">
        <f>VALUE(TableB[[#Headers],[0.0150]])</f>
        <v>1.4999999999999999E-2</v>
      </c>
      <c r="CS15">
        <v>10</v>
      </c>
      <c r="CT15">
        <v>50</v>
      </c>
      <c r="CU15">
        <f>VALUE(TableB[[#Headers],[0.0150]])</f>
        <v>1.4999999999999999E-2</v>
      </c>
      <c r="CW15">
        <v>10</v>
      </c>
      <c r="CX15">
        <v>70</v>
      </c>
      <c r="CY15">
        <f>VALUE(TableB[[#Headers],[0.0150]])</f>
        <v>1.4999999999999999E-2</v>
      </c>
      <c r="DA15">
        <v>10</v>
      </c>
      <c r="DB15">
        <v>50</v>
      </c>
      <c r="DC15">
        <f>VALUE(TableB[[#Headers],[0.0150]])</f>
        <v>1.4999999999999999E-2</v>
      </c>
      <c r="DE15">
        <v>10</v>
      </c>
      <c r="DF15">
        <v>70</v>
      </c>
      <c r="DG15">
        <f>VALUE(TableB[[#Headers],[0.0150]])</f>
        <v>1.4999999999999999E-2</v>
      </c>
      <c r="DI15">
        <v>10</v>
      </c>
      <c r="DJ15" s="103">
        <v>6</v>
      </c>
      <c r="DK15" s="103">
        <v>9</v>
      </c>
      <c r="DL15" s="103">
        <v>12</v>
      </c>
      <c r="DM15" s="103">
        <v>9</v>
      </c>
      <c r="DN15" s="103">
        <v>10</v>
      </c>
      <c r="DO15" s="103">
        <v>9</v>
      </c>
      <c r="DP15" s="103">
        <v>4</v>
      </c>
      <c r="DQ15" s="103">
        <v>8</v>
      </c>
      <c r="DR15" s="103">
        <v>1</v>
      </c>
      <c r="DS15" s="103">
        <v>9</v>
      </c>
      <c r="DT15" s="103">
        <v>2508</v>
      </c>
      <c r="DU15" s="103">
        <v>2479</v>
      </c>
      <c r="DV15" s="103">
        <v>2097</v>
      </c>
      <c r="DW15" s="103">
        <v>1952</v>
      </c>
      <c r="DX15" s="103">
        <v>2669</v>
      </c>
      <c r="DY15" s="103">
        <v>2212</v>
      </c>
      <c r="DZ15" s="103">
        <v>1773</v>
      </c>
      <c r="EA15" s="103">
        <v>2552</v>
      </c>
      <c r="EB15" s="103">
        <v>2539</v>
      </c>
      <c r="EC15" s="103">
        <v>2817</v>
      </c>
      <c r="ED15" s="75" t="s">
        <v>662</v>
      </c>
    </row>
    <row r="16" spans="1:143">
      <c r="A16" s="64">
        <v>11</v>
      </c>
      <c r="B16" s="49">
        <v>497.5</v>
      </c>
      <c r="C16" s="65">
        <v>127.3</v>
      </c>
      <c r="D16" s="61">
        <f t="shared" si="1"/>
        <v>100.00000000002274</v>
      </c>
      <c r="E16" s="61">
        <f>IFERROR(IF(B16-B15&lt;=0,"",D16/SQRT(Таблица_pr[[#This Row],[Удельное сопротивление грунта, Ом·м]])),D16/SQRT(Таблица_pr[[#This Row],[Удельное сопротивление грунта, Ом·м]]))</f>
        <v>8.8631030369656205</v>
      </c>
      <c r="G16" s="188">
        <v>11</v>
      </c>
      <c r="H16" s="175">
        <v>497.5</v>
      </c>
      <c r="I16" s="176">
        <v>127.3</v>
      </c>
      <c r="J16" s="181">
        <f t="shared" si="2"/>
        <v>100.00000000002274</v>
      </c>
      <c r="K16" s="61">
        <f>IFERROR(IF(H16-H15&lt;=0,"",J16/SQRT(Таблица_pr1[[#This Row],[Удельное сопротивление грунта, Ом·м]])),J16/SQRT(Таблица_pr1[[#This Row],[Удельное сопротивление грунта, Ом·м]]))</f>
        <v>8.8631030369656205</v>
      </c>
      <c r="L16" s="61">
        <v>11</v>
      </c>
      <c r="M16" s="64">
        <v>39</v>
      </c>
      <c r="N16" s="49">
        <v>500.30000000000098</v>
      </c>
      <c r="O16" s="50">
        <v>45</v>
      </c>
      <c r="P16" s="61">
        <f t="shared" si="3"/>
        <v>99.999999999965894</v>
      </c>
      <c r="Q16" s="61">
        <f>IFERROR(IF(N16-N15&lt;=0,"",P16/SQRT(Таблица_pr2[[#This Row],[Удельное сопротивление грунта, Ом·м]])),P16/SQRT(Таблица_pr2[[#This Row],[Удельное сопротивление грунта, Ом·м]]))</f>
        <v>14.907119849993514</v>
      </c>
      <c r="R16" s="76">
        <v>11</v>
      </c>
      <c r="S16" s="51">
        <v>66</v>
      </c>
      <c r="T16" s="49">
        <v>503.00000000000148</v>
      </c>
      <c r="U16" s="50">
        <v>63.5</v>
      </c>
      <c r="V16" s="61">
        <f t="shared" ref="V16:V33" si="12">IFERROR(IF(T16-T15&lt;=0,"",(T16-T15)*1000),100)</f>
        <v>100.00000000002274</v>
      </c>
      <c r="W16" s="61">
        <f>IFERROR(IF(T16-T15&lt;=0,"",V16/SQRT(Таблица_pr3[[#This Row],[Удельное сопротивление грунта, Ом·м]])),V16/SQRT(Таблица_pr3[[#This Row],[Удельное сопротивление грунта, Ом·м]]))</f>
        <v>12.549116102766025</v>
      </c>
      <c r="X16" s="61">
        <v>11</v>
      </c>
      <c r="Y16" s="51">
        <v>94</v>
      </c>
      <c r="Z16" s="52">
        <v>505.80000000000211</v>
      </c>
      <c r="AA16" s="50">
        <v>67.8</v>
      </c>
      <c r="AB16" s="61">
        <f t="shared" si="5"/>
        <v>100.00000000002274</v>
      </c>
      <c r="AC16" s="61">
        <f>IFERROR(IF(Z16-Z15&lt;=0,"",AB16/SQRT(Таблица_pr4[[#This Row],[Удельное сопротивление грунта, Ом·м]])),AB16/SQRT(Таблица_pr4[[#This Row],[Удельное сопротивление грунта, Ом·м]]))</f>
        <v>12.144654188934268</v>
      </c>
      <c r="AD16" s="76">
        <v>11</v>
      </c>
      <c r="AE16" s="64">
        <v>121</v>
      </c>
      <c r="AF16" s="52">
        <v>508.60000000000275</v>
      </c>
      <c r="AG16" s="67">
        <v>56</v>
      </c>
      <c r="AH16" s="61">
        <f t="shared" si="6"/>
        <v>100.00000000002274</v>
      </c>
      <c r="AI16" s="61">
        <f>IFERROR(IF(AF16-AF15&lt;=0,"",AH16/SQRT(Таблица_pr5[[#This Row],[Удельное сопротивление грунта, Ом·м]])),AH16/SQRT(Таблица_pr5[[#This Row],[Удельное сопротивление грунта, Ом·м]]))</f>
        <v>13.363062095624258</v>
      </c>
      <c r="AJ16" s="61">
        <v>11</v>
      </c>
      <c r="AK16" s="64">
        <v>151</v>
      </c>
      <c r="AL16" s="52">
        <v>511.60000000000343</v>
      </c>
      <c r="AM16" s="67">
        <v>51</v>
      </c>
      <c r="AN16" s="61">
        <f t="shared" si="7"/>
        <v>100.00000000002274</v>
      </c>
      <c r="AO16" s="61">
        <f>IFERROR(IF(AL16-AL15&lt;=0,"",AN16/SQRT(Таблица_pr6[[#This Row],[Удельное сопротивление грунта, Ом·м]])),AN16/SQRT(Таблица_pr6[[#This Row],[Удельное сопротивление грунта, Ом·м]]))</f>
        <v>14.002800840283282</v>
      </c>
      <c r="AP16" s="76">
        <v>11</v>
      </c>
      <c r="AQ16" s="64">
        <v>181</v>
      </c>
      <c r="AR16" s="52">
        <v>514.60000000000412</v>
      </c>
      <c r="AS16" s="67">
        <v>22.8</v>
      </c>
      <c r="AT16" s="61">
        <f t="shared" si="8"/>
        <v>100.00000000002274</v>
      </c>
      <c r="AU16" s="61">
        <f>IFERROR(IF(AR16-AR15&lt;=0,"",AT16/SQRT(Таблица_pr7[[#This Row],[Удельное сопротивление грунта, Ом·м]])),AT16/SQRT(Таблица_pr7[[#This Row],[Удельное сопротивление грунта, Ом·м]]))</f>
        <v>20.942695414589537</v>
      </c>
      <c r="AV16" s="61">
        <v>11</v>
      </c>
      <c r="AW16" s="64">
        <v>201</v>
      </c>
      <c r="AX16" s="52">
        <v>516.60000000000457</v>
      </c>
      <c r="AY16" s="67">
        <v>150.19999999999999</v>
      </c>
      <c r="AZ16" s="61">
        <f t="shared" si="9"/>
        <v>100.00000000002274</v>
      </c>
      <c r="BA16" s="61">
        <f>IFERROR(IF(AX16-AX15&lt;=0,"",AZ16/SQRT(Таблица_pr8[[#This Row],[Удельное сопротивление грунта, Ом·м]])),AZ16/SQRT(Таблица_pr8[[#This Row],[Удельное сопротивление грунта, Ом·м]]))</f>
        <v>8.1595279360090629</v>
      </c>
      <c r="BB16" s="76">
        <v>11</v>
      </c>
      <c r="BC16" s="64">
        <v>231</v>
      </c>
      <c r="BD16" s="52">
        <v>519.60000000000525</v>
      </c>
      <c r="BE16" s="67">
        <v>272</v>
      </c>
      <c r="BF16" s="61">
        <f t="shared" si="10"/>
        <v>100.00000000002274</v>
      </c>
      <c r="BG16" s="61">
        <f>IFERROR(IF(BD16-AX35&lt;=0,"",BF16/SQRT(Таблица_pr9[[#This Row],[Удельное сопротивление грунта, Ом·м]])),BF16/SQRT(Таблица_pr9[[#This Row],[Удельное сопротивление грунта, Ом·м]]))</f>
        <v>6.0633906259097028</v>
      </c>
      <c r="BH16" s="61">
        <v>11</v>
      </c>
      <c r="BI16" s="64">
        <v>261</v>
      </c>
      <c r="BJ16" s="52">
        <v>522.60000000000593</v>
      </c>
      <c r="BK16" s="67">
        <v>41.8</v>
      </c>
      <c r="BL16" s="61">
        <f t="shared" si="11"/>
        <v>100.00000000002274</v>
      </c>
      <c r="BM16" s="61">
        <f>IFERROR(IF(BJ16-BD45&lt;=0,"",BL16/SQRT(Таблица_pr10[[#This Row],[Удельное сопротивление грунта, Ом·м]])),BL16/SQRT(Таблица_pr10[[#This Row],[Удельное сопротивление грунта, Ом·м]]))</f>
        <v>15.467205622247166</v>
      </c>
      <c r="BP16">
        <v>11</v>
      </c>
      <c r="BQ16">
        <v>40</v>
      </c>
      <c r="BR16">
        <f>VALUE(TableB[[#Headers],[0.0160]])</f>
        <v>1.6E-2</v>
      </c>
      <c r="BT16" t="str">
        <v/>
      </c>
      <c r="BU16">
        <v>11</v>
      </c>
      <c r="BV16">
        <v>40</v>
      </c>
      <c r="BW16">
        <f>VALUE(TableB[[#Headers],[0.0160]])</f>
        <v>1.6E-2</v>
      </c>
      <c r="BX16" t="str">
        <v/>
      </c>
      <c r="BY16">
        <v>11</v>
      </c>
      <c r="BZ16">
        <v>60</v>
      </c>
      <c r="CA16">
        <f>VALUE(TableB[[#Headers],[0.0160]])</f>
        <v>1.6E-2</v>
      </c>
      <c r="CC16">
        <v>11</v>
      </c>
      <c r="CD16">
        <v>40</v>
      </c>
      <c r="CE16">
        <f>VALUE(TableB[[#Headers],[0.0160]])</f>
        <v>1.6E-2</v>
      </c>
      <c r="CG16">
        <v>11</v>
      </c>
      <c r="CH16">
        <v>60</v>
      </c>
      <c r="CI16">
        <f>VALUE(TableB[[#Headers],[0.0160]])</f>
        <v>1.6E-2</v>
      </c>
      <c r="CK16">
        <v>11</v>
      </c>
      <c r="CL16">
        <v>40</v>
      </c>
      <c r="CM16">
        <f>VALUE(TableB[[#Headers],[0.0160]])</f>
        <v>1.6E-2</v>
      </c>
      <c r="CO16">
        <v>11</v>
      </c>
      <c r="CP16">
        <v>60</v>
      </c>
      <c r="CQ16">
        <f>VALUE(TableB[[#Headers],[0.0160]])</f>
        <v>1.6E-2</v>
      </c>
      <c r="CS16">
        <v>11</v>
      </c>
      <c r="CT16">
        <v>40</v>
      </c>
      <c r="CU16">
        <f>VALUE(TableB[[#Headers],[0.0160]])</f>
        <v>1.6E-2</v>
      </c>
      <c r="CW16">
        <v>11</v>
      </c>
      <c r="CX16">
        <v>60</v>
      </c>
      <c r="CY16">
        <f>VALUE(TableB[[#Headers],[0.0160]])</f>
        <v>1.6E-2</v>
      </c>
      <c r="DA16">
        <v>11</v>
      </c>
      <c r="DB16">
        <v>40</v>
      </c>
      <c r="DC16">
        <f>VALUE(TableB[[#Headers],[0.0160]])</f>
        <v>1.6E-2</v>
      </c>
      <c r="DE16">
        <v>11</v>
      </c>
      <c r="DF16">
        <v>60</v>
      </c>
      <c r="DG16">
        <f>VALUE(TableB[[#Headers],[0.0160]])</f>
        <v>1.6E-2</v>
      </c>
      <c r="DI16">
        <v>11</v>
      </c>
      <c r="DJ16" s="103">
        <v>10</v>
      </c>
      <c r="DK16" s="103">
        <v>11</v>
      </c>
      <c r="DL16" s="103">
        <v>2</v>
      </c>
      <c r="DM16" s="103">
        <v>1</v>
      </c>
      <c r="DN16" s="103">
        <v>5</v>
      </c>
      <c r="DO16" s="103">
        <v>9</v>
      </c>
      <c r="DP16" s="103">
        <v>6</v>
      </c>
      <c r="DQ16" s="103">
        <v>6</v>
      </c>
      <c r="DR16" s="103">
        <v>12</v>
      </c>
      <c r="DS16" s="103">
        <v>9</v>
      </c>
      <c r="DT16" s="103">
        <v>3391</v>
      </c>
      <c r="DU16" s="103">
        <v>3201</v>
      </c>
      <c r="DV16" s="103">
        <v>3465</v>
      </c>
      <c r="DW16" s="103">
        <v>4305</v>
      </c>
      <c r="DX16" s="103">
        <v>3909</v>
      </c>
      <c r="DY16" s="103">
        <v>3340</v>
      </c>
      <c r="DZ16" s="103">
        <v>3980</v>
      </c>
      <c r="EA16" s="103">
        <v>3298</v>
      </c>
      <c r="EB16" s="103">
        <v>4054</v>
      </c>
      <c r="EC16" s="103">
        <v>3847</v>
      </c>
      <c r="ED16" s="75" t="s">
        <v>662</v>
      </c>
    </row>
    <row r="17" spans="1:134">
      <c r="A17" s="64">
        <v>12</v>
      </c>
      <c r="B17" s="49">
        <v>497.6</v>
      </c>
      <c r="C17" s="65">
        <v>128</v>
      </c>
      <c r="D17" s="61">
        <f t="shared" si="1"/>
        <v>100.00000000002274</v>
      </c>
      <c r="E17" s="61">
        <f>IFERROR(IF(B17-B16&lt;=0,"",D17/SQRT(Таблица_pr[[#This Row],[Удельное сопротивление грунта, Ом·м]])),D17/SQRT(Таблица_pr[[#This Row],[Удельное сопротивление грунта, Ом·м]]))</f>
        <v>8.8388347648338534</v>
      </c>
      <c r="G17" s="189">
        <v>12</v>
      </c>
      <c r="H17" s="178">
        <v>497.6</v>
      </c>
      <c r="I17" s="179">
        <v>128</v>
      </c>
      <c r="J17" s="180">
        <f t="shared" si="2"/>
        <v>100.00000000002274</v>
      </c>
      <c r="K17" s="61">
        <f>IFERROR(IF(H17-H16&lt;=0,"",J17/SQRT(Таблица_pr1[[#This Row],[Удельное сопротивление грунта, Ом·м]])),J17/SQRT(Таблица_pr1[[#This Row],[Удельное сопротивление грунта, Ом·м]]))</f>
        <v>8.8388347648338534</v>
      </c>
      <c r="L17" s="61">
        <v>12</v>
      </c>
      <c r="M17" s="64">
        <v>40</v>
      </c>
      <c r="N17" s="49">
        <v>500.400000000001</v>
      </c>
      <c r="O17" s="50">
        <v>37.700000000000003</v>
      </c>
      <c r="P17" s="61">
        <f t="shared" si="3"/>
        <v>100.00000000002274</v>
      </c>
      <c r="Q17" s="61">
        <f>IFERROR(IF(N17-N16&lt;=0,"",P17/SQRT(Таблица_pr2[[#This Row],[Удельное сопротивление грунта, Ом·м]])),P17/SQRT(Таблица_pr2[[#This Row],[Удельное сопротивление грунта, Ом·м]]))</f>
        <v>16.286558549615112</v>
      </c>
      <c r="R17" s="76">
        <v>12</v>
      </c>
      <c r="S17" s="51">
        <v>67</v>
      </c>
      <c r="T17" s="49">
        <v>503.1000000000015</v>
      </c>
      <c r="U17" s="50">
        <v>101</v>
      </c>
      <c r="V17" s="61">
        <f t="shared" si="12"/>
        <v>100.00000000002274</v>
      </c>
      <c r="W17" s="61">
        <f>IFERROR(IF(T17-T16&lt;=0,"",V17/SQRT(Таблица_pr3[[#This Row],[Удельное сопротивление грунта, Ом·м]])),V17/SQRT(Таблица_pr3[[#This Row],[Удельное сопротивление грунта, Ом·м]]))</f>
        <v>9.9503719021021535</v>
      </c>
      <c r="X17" s="61">
        <v>12</v>
      </c>
      <c r="Y17" s="51">
        <v>95</v>
      </c>
      <c r="Z17" s="52">
        <v>505.90000000000214</v>
      </c>
      <c r="AA17" s="50">
        <v>69.5</v>
      </c>
      <c r="AB17" s="61">
        <f t="shared" si="5"/>
        <v>100.00000000002274</v>
      </c>
      <c r="AC17" s="61">
        <f>IFERROR(IF(Z17-Z16&lt;=0,"",AB17/SQRT(Таблица_pr4[[#This Row],[Удельное сопротивление грунта, Ом·м]])),AB17/SQRT(Таблица_pr4[[#This Row],[Удельное сопротивление грунта, Ом·м]]))</f>
        <v>11.995202878084072</v>
      </c>
      <c r="AD17" s="76">
        <v>12</v>
      </c>
      <c r="AE17" s="64">
        <v>122</v>
      </c>
      <c r="AF17" s="52">
        <v>508.70000000000277</v>
      </c>
      <c r="AG17" s="67">
        <v>57.3</v>
      </c>
      <c r="AH17" s="61">
        <f t="shared" si="6"/>
        <v>100.00000000002274</v>
      </c>
      <c r="AI17" s="61">
        <f>IFERROR(IF(AF17-AF16&lt;=0,"",AH17/SQRT(Таблица_pr5[[#This Row],[Удельное сопротивление грунта, Ом·м]])),AH17/SQRT(Таблица_pr5[[#This Row],[Удельное сопротивление грунта, Ом·м]]))</f>
        <v>13.210604445221547</v>
      </c>
      <c r="AJ17" s="61">
        <v>12</v>
      </c>
      <c r="AK17" s="64">
        <v>152</v>
      </c>
      <c r="AL17" s="52">
        <v>511.70000000000346</v>
      </c>
      <c r="AM17" s="67">
        <v>58.1</v>
      </c>
      <c r="AN17" s="61">
        <f t="shared" si="7"/>
        <v>100.00000000002274</v>
      </c>
      <c r="AO17" s="61">
        <f>IFERROR(IF(AL17-AL16&lt;=0,"",AN17/SQRT(Таблица_pr6[[#This Row],[Удельное сопротивление грунта, Ом·м]])),AN17/SQRT(Таблица_pr6[[#This Row],[Удельное сопротивление грунта, Ом·м]]))</f>
        <v>13.119338382212625</v>
      </c>
      <c r="AP17" s="76">
        <v>12</v>
      </c>
      <c r="AQ17" s="64">
        <v>182</v>
      </c>
      <c r="AR17" s="52">
        <v>514.70000000000414</v>
      </c>
      <c r="AS17" s="67">
        <v>28.5</v>
      </c>
      <c r="AT17" s="61">
        <f t="shared" si="8"/>
        <v>100.00000000002274</v>
      </c>
      <c r="AU17" s="61">
        <f>IFERROR(IF(AR17-AR16&lt;=0,"",AT17/SQRT(Таблица_pr7[[#This Row],[Удельное сопротивление грунта, Ом·м]])),AT17/SQRT(Таблица_pr7[[#This Row],[Удельное сопротивление грунта, Ом·м]]))</f>
        <v>18.731716231638138</v>
      </c>
      <c r="AV17" s="61">
        <v>12</v>
      </c>
      <c r="AW17" s="64">
        <v>202</v>
      </c>
      <c r="AX17" s="52">
        <v>516.70000000000459</v>
      </c>
      <c r="AY17" s="67">
        <v>125</v>
      </c>
      <c r="AZ17" s="61">
        <f t="shared" si="9"/>
        <v>100.00000000002274</v>
      </c>
      <c r="BA17" s="61">
        <f>IFERROR(IF(AX17-AX16&lt;=0,"",AZ17/SQRT(Таблица_pr8[[#This Row],[Удельное сопротивление грунта, Ом·м]])),AZ17/SQRT(Таблица_pr8[[#This Row],[Удельное сопротивление грунта, Ом·м]]))</f>
        <v>8.9442719100011914</v>
      </c>
      <c r="BB17" s="76">
        <v>12</v>
      </c>
      <c r="BC17" s="64">
        <v>232</v>
      </c>
      <c r="BD17" s="52">
        <v>519.70000000000528</v>
      </c>
      <c r="BE17" s="67">
        <v>272.8</v>
      </c>
      <c r="BF17" s="61">
        <f t="shared" si="10"/>
        <v>100.00000000002274</v>
      </c>
      <c r="BG17" s="61">
        <f>IFERROR(IF(BD17-AX36&lt;=0,"",BF17/SQRT(Таблица_pr9[[#This Row],[Удельное сопротивление грунта, Ом·м]])),BF17/SQRT(Таблица_pr9[[#This Row],[Удельное сопротивление грунта, Ом·м]]))</f>
        <v>6.0544934962074102</v>
      </c>
      <c r="BH17" s="61">
        <v>12</v>
      </c>
      <c r="BI17" s="64">
        <v>262</v>
      </c>
      <c r="BJ17" s="52">
        <v>522.70000000000596</v>
      </c>
      <c r="BK17" s="67">
        <v>41.3</v>
      </c>
      <c r="BL17" s="61">
        <f t="shared" si="11"/>
        <v>100.00000000002274</v>
      </c>
      <c r="BM17" s="61">
        <f>IFERROR(IF(BJ17-BD46&lt;=0,"",BL17/SQRT(Таблица_pr10[[#This Row],[Удельное сопротивление грунта, Ом·м]])),BL17/SQRT(Таблица_pr10[[#This Row],[Удельное сопротивление грунта, Ом·м]]))</f>
        <v>15.560551102240465</v>
      </c>
      <c r="BT17" t="str">
        <v/>
      </c>
      <c r="BU17"/>
      <c r="BV17"/>
      <c r="BW17"/>
      <c r="BX17" t="str">
        <v/>
      </c>
      <c r="BY17"/>
      <c r="BZ17"/>
      <c r="CA17"/>
      <c r="CC17"/>
      <c r="CD17"/>
      <c r="CE17"/>
      <c r="CG17"/>
      <c r="CH17"/>
      <c r="CI17"/>
      <c r="CK17"/>
      <c r="CL17"/>
      <c r="CM17"/>
      <c r="CO17"/>
      <c r="CP17"/>
      <c r="CQ17"/>
      <c r="CS17"/>
      <c r="CT17"/>
      <c r="CU17"/>
      <c r="CW17"/>
      <c r="CX17"/>
      <c r="CY17"/>
      <c r="DA17"/>
      <c r="DB17"/>
      <c r="DC17"/>
      <c r="DE17"/>
      <c r="DF17"/>
      <c r="DG17"/>
      <c r="DI17">
        <v>12</v>
      </c>
      <c r="DJ17" s="103">
        <v>10</v>
      </c>
      <c r="DK17" s="103">
        <v>11</v>
      </c>
      <c r="DL17" s="103">
        <v>1</v>
      </c>
      <c r="DM17" s="103">
        <v>9</v>
      </c>
      <c r="DN17" s="103">
        <v>10</v>
      </c>
      <c r="DO17" s="103">
        <v>7</v>
      </c>
      <c r="DP17" s="103">
        <v>1</v>
      </c>
      <c r="DQ17" s="103">
        <v>2</v>
      </c>
      <c r="DR17" s="103">
        <v>5</v>
      </c>
      <c r="DS17" s="103">
        <v>5</v>
      </c>
      <c r="DT17" s="103">
        <v>9715</v>
      </c>
      <c r="DU17" s="103">
        <v>14016</v>
      </c>
      <c r="DV17" s="103">
        <v>20328</v>
      </c>
      <c r="DW17" s="103">
        <v>20931</v>
      </c>
      <c r="DX17" s="103">
        <v>12965</v>
      </c>
      <c r="DY17" s="103">
        <v>16038</v>
      </c>
      <c r="DZ17" s="103">
        <v>12103</v>
      </c>
      <c r="EA17" s="103">
        <v>15967</v>
      </c>
      <c r="EB17" s="103">
        <v>20256</v>
      </c>
      <c r="EC17" s="103">
        <v>15062</v>
      </c>
      <c r="ED17" s="75" t="s">
        <v>662</v>
      </c>
    </row>
    <row r="18" spans="1:134">
      <c r="A18" s="64">
        <v>13</v>
      </c>
      <c r="B18" s="49">
        <v>497.7</v>
      </c>
      <c r="C18" s="65">
        <v>139.4</v>
      </c>
      <c r="D18" s="61">
        <f t="shared" si="1"/>
        <v>99.999999999965894</v>
      </c>
      <c r="E18" s="61">
        <f>IFERROR(IF(B18-B17&lt;=0,"",D18/SQRT(Таблица_pr[[#This Row],[Удельное сопротивление грунта, Ом·м]])),D18/SQRT(Таблица_pr[[#This Row],[Удельное сопротивление грунта, Ом·м]]))</f>
        <v>8.4697114164363878</v>
      </c>
      <c r="G18" s="188">
        <v>13</v>
      </c>
      <c r="H18" s="175">
        <v>497.7</v>
      </c>
      <c r="I18" s="176">
        <v>139.4</v>
      </c>
      <c r="J18" s="181">
        <f t="shared" si="2"/>
        <v>99.999999999965894</v>
      </c>
      <c r="K18" s="61">
        <f>IFERROR(IF(H18-H17&lt;=0,"",J18/SQRT(Таблица_pr1[[#This Row],[Удельное сопротивление грунта, Ом·м]])),J18/SQRT(Таблица_pr1[[#This Row],[Удельное сопротивление грунта, Ом·м]]))</f>
        <v>8.4697114164363878</v>
      </c>
      <c r="L18" s="61">
        <v>13</v>
      </c>
      <c r="M18" s="64">
        <v>41</v>
      </c>
      <c r="N18" s="49">
        <v>500.50000000000102</v>
      </c>
      <c r="O18" s="50">
        <v>37.9</v>
      </c>
      <c r="P18" s="61">
        <f t="shared" si="3"/>
        <v>100.00000000002274</v>
      </c>
      <c r="Q18" s="61">
        <f>IFERROR(IF(N18-N17&lt;=0,"",P18/SQRT(Таблица_pr2[[#This Row],[Удельное сопротивление грунта, Ом·м]])),P18/SQRT(Таблица_pr2[[#This Row],[Удельное сопротивление грунта, Ом·м]]))</f>
        <v>16.243529257651591</v>
      </c>
      <c r="R18" s="76">
        <v>13</v>
      </c>
      <c r="S18" s="51">
        <v>68</v>
      </c>
      <c r="T18" s="49">
        <v>503.20000000000152</v>
      </c>
      <c r="U18" s="50">
        <v>65.5</v>
      </c>
      <c r="V18" s="61">
        <f t="shared" si="12"/>
        <v>100.00000000002274</v>
      </c>
      <c r="W18" s="61">
        <f>IFERROR(IF(T18-T17&lt;=0,"",V18/SQRT(Таблица_pr3[[#This Row],[Удельное сопротивление грунта, Ом·м]])),V18/SQRT(Таблица_pr3[[#This Row],[Удельное сопротивление грунта, Ом·м]]))</f>
        <v>12.356041264307118</v>
      </c>
      <c r="X18" s="61">
        <v>13</v>
      </c>
      <c r="Y18" s="51">
        <v>96</v>
      </c>
      <c r="Z18" s="52">
        <v>506.00000000000216</v>
      </c>
      <c r="AA18" s="50">
        <v>63.4</v>
      </c>
      <c r="AB18" s="61">
        <f t="shared" si="5"/>
        <v>100.00000000002274</v>
      </c>
      <c r="AC18" s="61">
        <f>IFERROR(IF(Z18-Z17&lt;=0,"",AB18/SQRT(Таблица_pr4[[#This Row],[Удельное сопротивление грунта, Ом·м]])),AB18/SQRT(Таблица_pr4[[#This Row],[Удельное сопротивление грунта, Ом·м]]))</f>
        <v>12.559008982586063</v>
      </c>
      <c r="AD18" s="76">
        <v>13</v>
      </c>
      <c r="AE18" s="64">
        <v>123</v>
      </c>
      <c r="AF18" s="52">
        <v>508.8000000000028</v>
      </c>
      <c r="AG18" s="67">
        <v>56.8</v>
      </c>
      <c r="AH18" s="61">
        <f t="shared" si="6"/>
        <v>100.00000000002274</v>
      </c>
      <c r="AI18" s="61">
        <f>IFERROR(IF(AF18-AF17&lt;=0,"",AH18/SQRT(Таблица_pr5[[#This Row],[Удельное сопротивление грунта, Ом·м]])),AH18/SQRT(Таблица_pr5[[#This Row],[Удельное сопротивление грунта, Ом·м]]))</f>
        <v>13.268622310859898</v>
      </c>
      <c r="AJ18" s="61">
        <v>13</v>
      </c>
      <c r="AK18" s="64">
        <v>153</v>
      </c>
      <c r="AL18" s="52">
        <v>511.80000000000348</v>
      </c>
      <c r="AM18" s="67">
        <v>56.6</v>
      </c>
      <c r="AN18" s="61">
        <f t="shared" si="7"/>
        <v>100.00000000002274</v>
      </c>
      <c r="AO18" s="61">
        <f>IFERROR(IF(AL18-AL17&lt;=0,"",AN18/SQRT(Таблица_pr6[[#This Row],[Удельное сопротивление грунта, Ом·м]])),AN18/SQRT(Таблица_pr6[[#This Row],[Удельное сопротивление грунта, Ом·м]]))</f>
        <v>13.292044433786787</v>
      </c>
      <c r="AP18" s="76">
        <v>13</v>
      </c>
      <c r="AQ18" s="64">
        <v>183</v>
      </c>
      <c r="AR18" s="52">
        <v>514.80000000000416</v>
      </c>
      <c r="AS18" s="67">
        <v>35.4</v>
      </c>
      <c r="AT18" s="61">
        <f t="shared" si="8"/>
        <v>100.00000000002274</v>
      </c>
      <c r="AU18" s="61">
        <f>IFERROR(IF(AR18-AR17&lt;=0,"",AT18/SQRT(Таблица_pr7[[#This Row],[Удельное сопротивление грунта, Ом·м]])),AT18/SQRT(Таблица_pr7[[#This Row],[Удельное сопротивление грунта, Ом·м]]))</f>
        <v>16.807316136324179</v>
      </c>
      <c r="AV18" s="61">
        <v>13</v>
      </c>
      <c r="AW18" s="64">
        <v>203</v>
      </c>
      <c r="AX18" s="52">
        <v>516.80000000000462</v>
      </c>
      <c r="AY18" s="67">
        <v>134.30000000000001</v>
      </c>
      <c r="AZ18" s="61">
        <f t="shared" si="9"/>
        <v>100.00000000002274</v>
      </c>
      <c r="BA18" s="61">
        <f>IFERROR(IF(AX18-AX17&lt;=0,"",AZ18/SQRT(Таблица_pr8[[#This Row],[Удельное сопротивление грунта, Ом·м]])),AZ18/SQRT(Таблица_pr8[[#This Row],[Удельное сопротивление грунта, Ом·м]]))</f>
        <v>8.6290302938623551</v>
      </c>
      <c r="BB18" s="76">
        <v>13</v>
      </c>
      <c r="BC18" s="64">
        <v>233</v>
      </c>
      <c r="BD18" s="52">
        <v>519.8000000000053</v>
      </c>
      <c r="BE18" s="67">
        <v>271.89999999999998</v>
      </c>
      <c r="BF18" s="61">
        <f t="shared" si="10"/>
        <v>100.00000000002274</v>
      </c>
      <c r="BG18" s="61">
        <f>IFERROR(IF(BD18-AX37&lt;=0,"",BF18/SQRT(Таблица_pr9[[#This Row],[Удельное сопротивление грунта, Ом·м]])),BF18/SQRT(Таблица_pr9[[#This Row],[Удельное сопротивление грунта, Ом·м]]))</f>
        <v>6.0645055272018151</v>
      </c>
      <c r="BH18" s="61">
        <v>13</v>
      </c>
      <c r="BI18" s="64">
        <v>263</v>
      </c>
      <c r="BJ18" s="52">
        <v>522.80000000000598</v>
      </c>
      <c r="BK18" s="67">
        <v>41.8</v>
      </c>
      <c r="BL18" s="61">
        <f t="shared" si="11"/>
        <v>100.00000000002274</v>
      </c>
      <c r="BM18" s="61">
        <f>IFERROR(IF(BJ18-BD47&lt;=0,"",BL18/SQRT(Таблица_pr10[[#This Row],[Удельное сопротивление грунта, Ом·м]])),BL18/SQRT(Таблица_pr10[[#This Row],[Удельное сопротивление грунта, Ом·м]]))</f>
        <v>15.467205622247166</v>
      </c>
      <c r="BT18" t="str">
        <v/>
      </c>
      <c r="BU18"/>
      <c r="BV18"/>
      <c r="BW18"/>
      <c r="BX18" t="str">
        <v/>
      </c>
      <c r="BY18"/>
      <c r="BZ18"/>
      <c r="CA18"/>
      <c r="CC18"/>
      <c r="CD18"/>
      <c r="CE18"/>
      <c r="CG18" s="47"/>
      <c r="CH18" s="47"/>
      <c r="CK18" s="47"/>
      <c r="CL18" s="47"/>
      <c r="CO18" s="47"/>
      <c r="CP18" s="47"/>
      <c r="CS18" s="47"/>
      <c r="CT18" s="47"/>
      <c r="CW18" s="47"/>
      <c r="CX18" s="47"/>
      <c r="DA18" s="47"/>
      <c r="DB18" s="47"/>
      <c r="DE18" s="47"/>
      <c r="DF18" s="47"/>
    </row>
    <row r="19" spans="1:134">
      <c r="A19" s="64">
        <v>14</v>
      </c>
      <c r="B19" s="49">
        <v>497.8</v>
      </c>
      <c r="C19" s="65">
        <v>113.5</v>
      </c>
      <c r="D19" s="61">
        <f t="shared" si="1"/>
        <v>100.00000000002274</v>
      </c>
      <c r="E19" s="61">
        <f>IFERROR(IF(B19-B18&lt;=0,"",D19/SQRT(Таблица_pr[[#This Row],[Удельное сопротивление грунта, Ом·м]])),D19/SQRT(Таблица_pr[[#This Row],[Удельное сопротивление грунта, Ом·м]]))</f>
        <v>9.3864650892807759</v>
      </c>
      <c r="G19" s="189">
        <v>14</v>
      </c>
      <c r="H19" s="178">
        <v>497.8</v>
      </c>
      <c r="I19" s="179">
        <v>113.5</v>
      </c>
      <c r="J19" s="180">
        <f t="shared" si="2"/>
        <v>100.00000000002274</v>
      </c>
      <c r="K19" s="61">
        <f>IFERROR(IF(H19-H18&lt;=0,"",J19/SQRT(Таблица_pr1[[#This Row],[Удельное сопротивление грунта, Ом·м]])),J19/SQRT(Таблица_pr1[[#This Row],[Удельное сопротивление грунта, Ом·м]]))</f>
        <v>9.3864650892807759</v>
      </c>
      <c r="L19" s="61">
        <v>14</v>
      </c>
      <c r="M19" s="64">
        <v>42</v>
      </c>
      <c r="N19" s="49">
        <v>500.60000000000099</v>
      </c>
      <c r="O19" s="50">
        <v>40.9</v>
      </c>
      <c r="P19" s="61">
        <f t="shared" si="3"/>
        <v>99.999999999965894</v>
      </c>
      <c r="Q19" s="61">
        <f>IFERROR(IF(N19-N18&lt;=0,"",P19/SQRT(Таблица_pr2[[#This Row],[Удельное сопротивление грунта, Ом·м]])),P19/SQRT(Таблица_pr2[[#This Row],[Удельное сопротивление грунта, Ом·м]]))</f>
        <v>15.636456680013719</v>
      </c>
      <c r="R19" s="76">
        <v>14</v>
      </c>
      <c r="S19" s="51">
        <v>69</v>
      </c>
      <c r="T19" s="49">
        <v>503.30000000000155</v>
      </c>
      <c r="U19" s="50">
        <v>53.6</v>
      </c>
      <c r="V19" s="61">
        <f t="shared" si="12"/>
        <v>100.00000000002274</v>
      </c>
      <c r="W19" s="61">
        <f>IFERROR(IF(T19-T18&lt;=0,"",V19/SQRT(Таблица_pr3[[#This Row],[Удельное сопротивление грунта, Ом·м]])),V19/SQRT(Таблица_pr3[[#This Row],[Удельное сопротивление грунта, Ом·м]]))</f>
        <v>13.658959117706932</v>
      </c>
      <c r="X19" s="61">
        <v>14</v>
      </c>
      <c r="Y19" s="51">
        <v>97</v>
      </c>
      <c r="Z19" s="52">
        <v>506.10000000000218</v>
      </c>
      <c r="AA19" s="50">
        <v>43.9</v>
      </c>
      <c r="AB19" s="61">
        <f t="shared" si="5"/>
        <v>100.00000000002274</v>
      </c>
      <c r="AC19" s="61">
        <f>IFERROR(IF(Z19-Z18&lt;=0,"",AB19/SQRT(Таблица_pr4[[#This Row],[Удельное сопротивление грунта, Ом·м]])),AB19/SQRT(Таблица_pr4[[#This Row],[Удельное сопротивление грунта, Ом·м]]))</f>
        <v>15.092727811827983</v>
      </c>
      <c r="AD19" s="76">
        <v>14</v>
      </c>
      <c r="AE19" s="64">
        <v>124</v>
      </c>
      <c r="AF19" s="52">
        <v>508.90000000000282</v>
      </c>
      <c r="AG19" s="67">
        <v>54.3</v>
      </c>
      <c r="AH19" s="61">
        <f t="shared" si="6"/>
        <v>100.00000000002274</v>
      </c>
      <c r="AI19" s="61">
        <f>IFERROR(IF(AF19-AF18&lt;=0,"",AH19/SQRT(Таблица_pr5[[#This Row],[Удельное сопротивление грунта, Ом·м]])),AH19/SQRT(Таблица_pr5[[#This Row],[Удельное сопротивление грунта, Ом·м]]))</f>
        <v>13.570632358706982</v>
      </c>
      <c r="AJ19" s="61">
        <v>14</v>
      </c>
      <c r="AK19" s="64">
        <v>154</v>
      </c>
      <c r="AL19" s="52">
        <v>511.9000000000035</v>
      </c>
      <c r="AM19" s="67">
        <v>48.6</v>
      </c>
      <c r="AN19" s="61">
        <f t="shared" si="7"/>
        <v>100.00000000002274</v>
      </c>
      <c r="AO19" s="61">
        <f>IFERROR(IF(AL19-AL18&lt;=0,"",AN19/SQRT(Таблица_pr6[[#This Row],[Удельное сопротивление грунта, Ом·м]])),AN19/SQRT(Таблица_pr6[[#This Row],[Удельное сопротивление грунта, Ом·м]]))</f>
        <v>14.344382763734435</v>
      </c>
      <c r="AP19" s="76">
        <v>14</v>
      </c>
      <c r="AQ19" s="64">
        <v>184</v>
      </c>
      <c r="AR19" s="52">
        <v>514.90000000000418</v>
      </c>
      <c r="AS19" s="67">
        <v>39.4</v>
      </c>
      <c r="AT19" s="61">
        <f t="shared" si="8"/>
        <v>100.00000000002274</v>
      </c>
      <c r="AU19" s="61">
        <f>IFERROR(IF(AR19-AR18&lt;=0,"",AT19/SQRT(Таблица_pr7[[#This Row],[Удельное сопротивление грунта, Ом·м]])),AT19/SQRT(Таблица_pr7[[#This Row],[Удельное сопротивление грунта, Ом·м]]))</f>
        <v>15.931324696932776</v>
      </c>
      <c r="AV19" s="61">
        <v>14</v>
      </c>
      <c r="AW19" s="64">
        <v>204</v>
      </c>
      <c r="AX19" s="52">
        <v>516.90000000000464</v>
      </c>
      <c r="AY19" s="67">
        <v>137.30000000000001</v>
      </c>
      <c r="AZ19" s="61">
        <f t="shared" si="9"/>
        <v>100.00000000002274</v>
      </c>
      <c r="BA19" s="61">
        <f>IFERROR(IF(AX19-AX18&lt;=0,"",AZ19/SQRT(Таблица_pr8[[#This Row],[Удельное сопротивление грунта, Ом·м]])),AZ19/SQRT(Таблица_pr8[[#This Row],[Удельное сопротивление грунта, Ом·м]]))</f>
        <v>8.5342376311349497</v>
      </c>
      <c r="BB19" s="76">
        <v>14</v>
      </c>
      <c r="BC19" s="64">
        <v>234</v>
      </c>
      <c r="BD19" s="52">
        <v>519.90000000000532</v>
      </c>
      <c r="BE19" s="67">
        <v>270.39999999999998</v>
      </c>
      <c r="BF19" s="61">
        <f t="shared" si="10"/>
        <v>100.00000000002274</v>
      </c>
      <c r="BG19" s="61">
        <f>IFERROR(IF(BD19-AX38&lt;=0,"",BF19/SQRT(Таблица_pr9[[#This Row],[Удельное сопротивление грунта, Ом·м]])),BF19/SQRT(Таблица_pr9[[#This Row],[Удельное сопротивление грунта, Ом·м]]))</f>
        <v>6.0813031926328813</v>
      </c>
      <c r="BH19" s="61">
        <v>14</v>
      </c>
      <c r="BI19" s="64">
        <v>264</v>
      </c>
      <c r="BJ19" s="52">
        <v>522.900000000006</v>
      </c>
      <c r="BK19" s="67">
        <v>44.9</v>
      </c>
      <c r="BL19" s="61">
        <f t="shared" si="11"/>
        <v>100.00000000002274</v>
      </c>
      <c r="BM19" s="61">
        <f>IFERROR(IF(BJ19-BD48&lt;=0,"",BL19/SQRT(Таблица_pr10[[#This Row],[Удельное сопротивление грунта, Ом·м]])),BL19/SQRT(Таблица_pr10[[#This Row],[Удельное сопротивление грунта, Ом·м]]))</f>
        <v>14.923710973500903</v>
      </c>
      <c r="BT19">
        <v>5.8599999999999998E-6</v>
      </c>
      <c r="BU19"/>
      <c r="BV19"/>
      <c r="BW19"/>
      <c r="BX19">
        <v>5.8599999999999998E-6</v>
      </c>
      <c r="BY19"/>
      <c r="BZ19"/>
      <c r="CA19"/>
      <c r="CC19"/>
      <c r="CD19"/>
      <c r="CE19"/>
      <c r="CG19" s="47"/>
      <c r="CH19" s="47"/>
      <c r="CK19" s="47"/>
      <c r="CL19" s="47"/>
      <c r="CO19" s="47"/>
      <c r="CP19" s="47"/>
      <c r="CS19" s="47"/>
      <c r="CT19" s="47"/>
      <c r="CW19" s="47"/>
      <c r="CX19" s="47"/>
      <c r="DA19" s="47"/>
      <c r="DB19" s="47"/>
      <c r="DE19" s="47"/>
      <c r="DF19" s="47"/>
    </row>
    <row r="20" spans="1:134">
      <c r="A20" s="64">
        <v>15</v>
      </c>
      <c r="B20" s="49">
        <v>497.9</v>
      </c>
      <c r="C20" s="65">
        <v>113.3</v>
      </c>
      <c r="D20" s="61">
        <f t="shared" si="1"/>
        <v>99.999999999965894</v>
      </c>
      <c r="E20" s="61">
        <f>IFERROR(IF(B20-B19&lt;=0,"",D20/SQRT(Таблица_pr[[#This Row],[Удельное сопротивление грунта, Ом·м]])),D20/SQRT(Таблица_pr[[#This Row],[Удельное сопротивление грунта, Ом·м]]))</f>
        <v>9.3947460481769696</v>
      </c>
      <c r="G20" s="188">
        <v>15</v>
      </c>
      <c r="H20" s="175">
        <v>497.9</v>
      </c>
      <c r="I20" s="176">
        <v>113.3</v>
      </c>
      <c r="J20" s="181">
        <f t="shared" si="2"/>
        <v>99.999999999965894</v>
      </c>
      <c r="K20" s="61">
        <f>IFERROR(IF(H20-H19&lt;=0,"",J20/SQRT(Таблица_pr1[[#This Row],[Удельное сопротивление грунта, Ом·м]])),J20/SQRT(Таблица_pr1[[#This Row],[Удельное сопротивление грунта, Ом·м]]))</f>
        <v>9.3947460481769696</v>
      </c>
      <c r="L20" s="61">
        <v>15</v>
      </c>
      <c r="M20" s="64">
        <v>43</v>
      </c>
      <c r="N20" s="49">
        <v>500.70000000000101</v>
      </c>
      <c r="O20" s="50">
        <v>46</v>
      </c>
      <c r="P20" s="61">
        <f t="shared" si="3"/>
        <v>100.00000000002274</v>
      </c>
      <c r="Q20" s="61">
        <f>IFERROR(IF(N20-N19&lt;=0,"",P20/SQRT(Таблица_pr2[[#This Row],[Удельное сопротивление грунта, Ом·м]])),P20/SQRT(Таблица_pr2[[#This Row],[Удельное сопротивление грунта, Ом·м]]))</f>
        <v>14.744195615493066</v>
      </c>
      <c r="R20" s="76">
        <v>15</v>
      </c>
      <c r="S20" s="51">
        <v>70</v>
      </c>
      <c r="T20" s="49">
        <v>503.40000000000157</v>
      </c>
      <c r="U20" s="50">
        <v>41.2</v>
      </c>
      <c r="V20" s="61">
        <f t="shared" si="12"/>
        <v>100.00000000002274</v>
      </c>
      <c r="W20" s="61">
        <f>IFERROR(IF(T20-T19&lt;=0,"",V20/SQRT(Таблица_pr3[[#This Row],[Удельное сопротивление грунта, Ом·м]])),V20/SQRT(Таблица_pr3[[#This Row],[Удельное сопротивление грунта, Ом·м]]))</f>
        <v>15.579423821247438</v>
      </c>
      <c r="X20" s="61">
        <v>15</v>
      </c>
      <c r="Y20" s="51">
        <v>98</v>
      </c>
      <c r="Z20" s="52">
        <v>506.20000000000221</v>
      </c>
      <c r="AA20" s="50">
        <v>67.099999999999994</v>
      </c>
      <c r="AB20" s="61">
        <f t="shared" si="5"/>
        <v>100.00000000002274</v>
      </c>
      <c r="AC20" s="61">
        <f>IFERROR(IF(Z20-Z19&lt;=0,"",AB20/SQRT(Таблица_pr4[[#This Row],[Удельное сопротивление грунта, Ом·м]])),AB20/SQRT(Таблица_pr4[[#This Row],[Удельное сопротивление грунта, Ом·м]]))</f>
        <v>12.207837505977379</v>
      </c>
      <c r="AD20" s="76">
        <v>15</v>
      </c>
      <c r="AE20" s="64">
        <v>125</v>
      </c>
      <c r="AF20" s="52">
        <v>509.00000000000284</v>
      </c>
      <c r="AG20" s="67">
        <v>60.9</v>
      </c>
      <c r="AH20" s="61">
        <f t="shared" si="6"/>
        <v>100.00000000002274</v>
      </c>
      <c r="AI20" s="61">
        <f>IFERROR(IF(AF20-AF19&lt;=0,"",AH20/SQRT(Таблица_pr5[[#This Row],[Удельное сопротивление грунта, Ом·м]])),AH20/SQRT(Таблица_pr5[[#This Row],[Удельное сопротивление грунта, Ом·м]]))</f>
        <v>12.814195740644406</v>
      </c>
      <c r="AJ20" s="61">
        <v>15</v>
      </c>
      <c r="AK20" s="64">
        <v>155</v>
      </c>
      <c r="AL20" s="52">
        <v>512.00000000000352</v>
      </c>
      <c r="AM20" s="67">
        <v>56.2</v>
      </c>
      <c r="AN20" s="61">
        <f t="shared" si="7"/>
        <v>100.00000000002274</v>
      </c>
      <c r="AO20" s="61">
        <f>IFERROR(IF(AL20-AL19&lt;=0,"",AN20/SQRT(Таблица_pr6[[#This Row],[Удельное сопротивление грунта, Ом·м]])),AN20/SQRT(Таблица_pr6[[#This Row],[Удельное сопротивление грунта, Ом·м]]))</f>
        <v>13.339263212808238</v>
      </c>
      <c r="AP20" s="76">
        <v>15</v>
      </c>
      <c r="AQ20" s="64">
        <v>185</v>
      </c>
      <c r="AR20" s="52">
        <v>515.00000000000421</v>
      </c>
      <c r="AS20" s="67">
        <v>47</v>
      </c>
      <c r="AT20" s="61">
        <f t="shared" si="8"/>
        <v>100.00000000002274</v>
      </c>
      <c r="AU20" s="61">
        <f>IFERROR(IF(AR20-AR19&lt;=0,"",AT20/SQRT(Таблица_pr7[[#This Row],[Удельное сопротивление грунта, Ом·м]])),AT20/SQRT(Таблица_pr7[[#This Row],[Удельное сопротивление грунта, Ом·м]]))</f>
        <v>14.586499149792772</v>
      </c>
      <c r="AV20" s="61">
        <v>15</v>
      </c>
      <c r="AW20" s="64">
        <v>205</v>
      </c>
      <c r="AX20" s="52">
        <v>517.00000000000466</v>
      </c>
      <c r="AY20" s="67">
        <v>131.6</v>
      </c>
      <c r="AZ20" s="61">
        <f t="shared" si="9"/>
        <v>100.00000000002274</v>
      </c>
      <c r="BA20" s="61">
        <f>IFERROR(IF(AX20-AX19&lt;=0,"",AZ20/SQRT(Таблица_pr8[[#This Row],[Удельное сопротивление грунта, Ом·м]])),AZ20/SQRT(Таблица_pr8[[#This Row],[Удельное сопротивление грунта, Ом·м]]))</f>
        <v>8.7171005469320644</v>
      </c>
      <c r="BB20" s="76">
        <v>15</v>
      </c>
      <c r="BC20" s="64">
        <v>235</v>
      </c>
      <c r="BD20" s="52">
        <v>520.00000000000534</v>
      </c>
      <c r="BE20" s="67">
        <v>273.2</v>
      </c>
      <c r="BF20" s="61">
        <f t="shared" si="10"/>
        <v>100.00000000002274</v>
      </c>
      <c r="BG20" s="61">
        <f>IFERROR(IF(BD20-AX39&lt;=0,"",BF20/SQRT(Таблица_pr9[[#This Row],[Удельное сопротивление грунта, Ом·м]])),BF20/SQRT(Таблица_pr9[[#This Row],[Удельное сопротивление грунта, Ом·м]]))</f>
        <v>6.050059593381869</v>
      </c>
      <c r="BH20" s="61">
        <v>15</v>
      </c>
      <c r="BI20" s="64">
        <v>265</v>
      </c>
      <c r="BJ20" s="52">
        <v>523.00000000000603</v>
      </c>
      <c r="BK20" s="67">
        <v>45.9</v>
      </c>
      <c r="BL20" s="61">
        <f t="shared" si="11"/>
        <v>100.00000000002274</v>
      </c>
      <c r="BM20" s="61">
        <f>IFERROR(IF(BJ20-BD49&lt;=0,"",BL20/SQRT(Таблица_pr10[[#This Row],[Удельное сопротивление грунта, Ом·м]])),BL20/SQRT(Таблица_pr10[[#This Row],[Удельное сопротивление грунта, Ом·м]]))</f>
        <v>14.760248092338278</v>
      </c>
      <c r="BT20">
        <v>5.6099999999999997E-6</v>
      </c>
      <c r="BU20"/>
      <c r="BV20"/>
      <c r="BW20"/>
      <c r="BX20">
        <v>5.6099999999999997E-6</v>
      </c>
      <c r="BY20"/>
      <c r="BZ20"/>
      <c r="CA20"/>
      <c r="CC20"/>
      <c r="CD20"/>
      <c r="CE20"/>
      <c r="CG20" s="47"/>
      <c r="CK20" s="47"/>
      <c r="CO20" s="47"/>
      <c r="CS20" s="47"/>
      <c r="CW20" s="47"/>
      <c r="DA20" s="47"/>
      <c r="DE20" s="47"/>
    </row>
    <row r="21" spans="1:134">
      <c r="A21" s="64">
        <v>16</v>
      </c>
      <c r="B21" s="49">
        <v>498</v>
      </c>
      <c r="C21" s="65">
        <v>124.1</v>
      </c>
      <c r="D21" s="61">
        <f t="shared" si="1"/>
        <v>100.00000000002274</v>
      </c>
      <c r="E21" s="61">
        <f>IFERROR(IF(B21-B20&lt;=0,"",D21/SQRT(Таблица_pr[[#This Row],[Удельное сопротивление грунта, Ом·м]])),D21/SQRT(Таблица_pr[[#This Row],[Удельное сопротивление грунта, Ом·м]]))</f>
        <v>8.9766462153984143</v>
      </c>
      <c r="G21" s="189">
        <v>16</v>
      </c>
      <c r="H21" s="178">
        <v>498</v>
      </c>
      <c r="I21" s="179">
        <v>124.1</v>
      </c>
      <c r="J21" s="180">
        <f t="shared" si="2"/>
        <v>100.00000000002274</v>
      </c>
      <c r="K21" s="61">
        <f>IFERROR(IF(H21-H20&lt;=0,"",J21/SQRT(Таблица_pr1[[#This Row],[Удельное сопротивление грунта, Ом·м]])),J21/SQRT(Таблица_pr1[[#This Row],[Удельное сопротивление грунта, Ом·м]]))</f>
        <v>8.9766462153984143</v>
      </c>
      <c r="L21" s="61">
        <v>16</v>
      </c>
      <c r="M21" s="64">
        <v>44</v>
      </c>
      <c r="N21" s="49">
        <v>500.80000000000098</v>
      </c>
      <c r="O21" s="50">
        <v>48.6</v>
      </c>
      <c r="P21" s="61">
        <f t="shared" si="3"/>
        <v>99.999999999965894</v>
      </c>
      <c r="Q21" s="61">
        <f>IFERROR(IF(N21-N20&lt;=0,"",P21/SQRT(Таблица_pr2[[#This Row],[Удельное сопротивление грунта, Ом·м]])),P21/SQRT(Таблица_pr2[[#This Row],[Удельное сопротивление грунта, Ом·м]]))</f>
        <v>14.34438276372628</v>
      </c>
      <c r="R21" s="76">
        <v>16</v>
      </c>
      <c r="S21" s="51">
        <v>71</v>
      </c>
      <c r="T21" s="49">
        <v>503.50000000000159</v>
      </c>
      <c r="U21" s="50">
        <v>49.4</v>
      </c>
      <c r="V21" s="61">
        <f t="shared" si="12"/>
        <v>100.00000000002274</v>
      </c>
      <c r="W21" s="61">
        <f>IFERROR(IF(T21-T20&lt;=0,"",V21/SQRT(Таблица_pr3[[#This Row],[Удельное сопротивление грунта, Ом·м]])),V21/SQRT(Таблица_pr3[[#This Row],[Удельное сопротивление грунта, Ом·м]]))</f>
        <v>14.227759830615041</v>
      </c>
      <c r="X21" s="61">
        <v>16</v>
      </c>
      <c r="Y21" s="51">
        <v>99</v>
      </c>
      <c r="Z21" s="52">
        <v>506.30000000000223</v>
      </c>
      <c r="AA21" s="50">
        <v>59.8</v>
      </c>
      <c r="AB21" s="61">
        <f t="shared" si="5"/>
        <v>100.00000000002274</v>
      </c>
      <c r="AC21" s="61">
        <f>IFERROR(IF(Z21-Z20&lt;=0,"",AB21/SQRT(Таблица_pr4[[#This Row],[Удельное сопротивление грунта, Ом·м]])),AB21/SQRT(Таблица_pr4[[#This Row],[Удельное сопротивление грунта, Ом·м]]))</f>
        <v>12.931515002799733</v>
      </c>
      <c r="AD21" s="76">
        <v>16</v>
      </c>
      <c r="AE21" s="64">
        <v>126</v>
      </c>
      <c r="AF21" s="52">
        <v>509.10000000000286</v>
      </c>
      <c r="AG21" s="67">
        <v>36</v>
      </c>
      <c r="AH21" s="61">
        <f t="shared" si="6"/>
        <v>100.00000000002274</v>
      </c>
      <c r="AI21" s="61">
        <f>IFERROR(IF(AF21-AF20&lt;=0,"",AH21/SQRT(Таблица_pr5[[#This Row],[Удельное сопротивление грунта, Ом·м]])),AH21/SQRT(Таблица_pr5[[#This Row],[Удельное сопротивление грунта, Ом·м]]))</f>
        <v>16.666666666670455</v>
      </c>
      <c r="AJ21" s="61">
        <v>16</v>
      </c>
      <c r="AK21" s="64">
        <v>156</v>
      </c>
      <c r="AL21" s="52">
        <v>512.10000000000355</v>
      </c>
      <c r="AM21" s="67">
        <v>57.3</v>
      </c>
      <c r="AN21" s="61">
        <f t="shared" si="7"/>
        <v>100.00000000002274</v>
      </c>
      <c r="AO21" s="61">
        <f>IFERROR(IF(AL21-AL20&lt;=0,"",AN21/SQRT(Таблица_pr6[[#This Row],[Удельное сопротивление грунта, Ом·м]])),AN21/SQRT(Таблица_pr6[[#This Row],[Удельное сопротивление грунта, Ом·м]]))</f>
        <v>13.210604445221547</v>
      </c>
      <c r="AP21" s="76">
        <v>16</v>
      </c>
      <c r="AQ21" s="64">
        <v>186</v>
      </c>
      <c r="AR21" s="52">
        <v>515.10000000000423</v>
      </c>
      <c r="AS21" s="67">
        <v>19.100000000000001</v>
      </c>
      <c r="AT21" s="61">
        <f t="shared" si="8"/>
        <v>100.00000000002274</v>
      </c>
      <c r="AU21" s="61">
        <f>IFERROR(IF(AR21-AR20&lt;=0,"",AT21/SQRT(Таблица_pr7[[#This Row],[Удельное сопротивление грунта, Ом·м]])),AT21/SQRT(Таблица_pr7[[#This Row],[Удельное сопротивление грунта, Ом·м]]))</f>
        <v>22.881438097818979</v>
      </c>
      <c r="AV21" s="61">
        <v>16</v>
      </c>
      <c r="AW21" s="64">
        <v>206</v>
      </c>
      <c r="AX21" s="52">
        <v>517.10000000000468</v>
      </c>
      <c r="AY21" s="67">
        <v>127</v>
      </c>
      <c r="AZ21" s="61">
        <f t="shared" si="9"/>
        <v>100.00000000002274</v>
      </c>
      <c r="BA21" s="61">
        <f>IFERROR(IF(AX21-AX20&lt;=0,"",AZ21/SQRT(Таблица_pr8[[#This Row],[Удельное сопротивление грунта, Ом·м]])),AZ21/SQRT(Таблица_pr8[[#This Row],[Удельное сопротивление грунта, Ом·м]]))</f>
        <v>8.8735650941631565</v>
      </c>
      <c r="BB21" s="76">
        <v>16</v>
      </c>
      <c r="BC21" s="64">
        <v>236</v>
      </c>
      <c r="BD21" s="52">
        <v>520.10000000000537</v>
      </c>
      <c r="BE21" s="67">
        <v>21.3</v>
      </c>
      <c r="BF21" s="61">
        <f t="shared" si="10"/>
        <v>100.00000000002274</v>
      </c>
      <c r="BG21" s="61">
        <f>IFERROR(IF(BD21-AX40&lt;=0,"",BF21/SQRT(Таблица_pr9[[#This Row],[Удельное сопротивление грунта, Ом·м]])),BF21/SQRT(Таблица_pr9[[#This Row],[Удельное сопротивление грунта, Ом·м]]))</f>
        <v>21.667569500876901</v>
      </c>
      <c r="BH21" s="61">
        <v>16</v>
      </c>
      <c r="BI21" s="64">
        <v>266</v>
      </c>
      <c r="BJ21" s="52">
        <v>523.10000000000605</v>
      </c>
      <c r="BK21" s="67">
        <v>28.6</v>
      </c>
      <c r="BL21" s="61">
        <f t="shared" si="11"/>
        <v>100.00000000002274</v>
      </c>
      <c r="BM21" s="61">
        <f>IFERROR(IF(BJ21-BD50&lt;=0,"",BL21/SQRT(Таблица_pr10[[#This Row],[Удельное сопротивление грунта, Ом·м]])),BL21/SQRT(Таблица_pr10[[#This Row],[Удельное сопротивление грунта, Ом·м]]))</f>
        <v>18.698939800173395</v>
      </c>
      <c r="BT21">
        <v>5.3799999999999993E-6</v>
      </c>
      <c r="BU21"/>
      <c r="BV21"/>
      <c r="BW21"/>
      <c r="BX21">
        <v>5.3799999999999993E-6</v>
      </c>
      <c r="BY21"/>
      <c r="BZ21"/>
      <c r="CA21"/>
      <c r="CC21"/>
      <c r="CD21"/>
      <c r="CE21"/>
      <c r="CG21" s="47"/>
      <c r="CK21" s="47"/>
      <c r="CO21" s="47"/>
      <c r="CS21" s="47"/>
      <c r="CW21" s="47"/>
      <c r="DA21" s="47"/>
      <c r="DE21" s="47"/>
    </row>
    <row r="22" spans="1:134">
      <c r="A22" s="64">
        <v>17</v>
      </c>
      <c r="B22" s="49">
        <v>498.1</v>
      </c>
      <c r="C22" s="65">
        <v>138.19999999999999</v>
      </c>
      <c r="D22" s="61">
        <f t="shared" si="1"/>
        <v>100.00000000002274</v>
      </c>
      <c r="E22" s="61">
        <f>IFERROR(IF(B22-B21&lt;=0,"",D22/SQRT(Таблица_pr[[#This Row],[Удельное сопротивление грунта, Ом·м]])),D22/SQRT(Таблица_pr[[#This Row],[Удельное сопротивление грунта, Ом·м]]))</f>
        <v>8.5064034788358533</v>
      </c>
      <c r="G22" s="188">
        <v>17</v>
      </c>
      <c r="H22" s="175">
        <v>498.1</v>
      </c>
      <c r="I22" s="176">
        <v>138.19999999999999</v>
      </c>
      <c r="J22" s="181">
        <f t="shared" si="2"/>
        <v>100.00000000002274</v>
      </c>
      <c r="K22" s="61">
        <f>IFERROR(IF(H22-H21&lt;=0,"",J22/SQRT(Таблица_pr1[[#This Row],[Удельное сопротивление грунта, Ом·м]])),J22/SQRT(Таблица_pr1[[#This Row],[Удельное сопротивление грунта, Ом·м]]))</f>
        <v>8.5064034788358533</v>
      </c>
      <c r="L22" s="61">
        <v>17</v>
      </c>
      <c r="M22" s="64">
        <v>45</v>
      </c>
      <c r="N22" s="49">
        <v>500.900000000001</v>
      </c>
      <c r="O22" s="50">
        <v>50.6</v>
      </c>
      <c r="P22" s="61">
        <f t="shared" si="3"/>
        <v>100.00000000002274</v>
      </c>
      <c r="Q22" s="61">
        <f>IFERROR(IF(N22-N21&lt;=0,"",P22/SQRT(Таблица_pr2[[#This Row],[Удельное сопротивление грунта, Ом·м]])),P22/SQRT(Таблица_pr2[[#This Row],[Удельное сопротивление грунта, Ом·м]]))</f>
        <v>14.058038927891529</v>
      </c>
      <c r="R22" s="76">
        <v>17</v>
      </c>
      <c r="S22" s="51">
        <v>72</v>
      </c>
      <c r="T22" s="49">
        <v>503.60000000000161</v>
      </c>
      <c r="U22" s="50">
        <v>42.4</v>
      </c>
      <c r="V22" s="61">
        <f t="shared" si="12"/>
        <v>100.00000000002274</v>
      </c>
      <c r="W22" s="61">
        <f>IFERROR(IF(T22-T21&lt;=0,"",V22/SQRT(Таблица_pr3[[#This Row],[Удельное сопротивление грунта, Ом·м]])),V22/SQRT(Таблица_pr3[[#This Row],[Удельное сопротивление грунта, Ом·м]]))</f>
        <v>15.357377920852272</v>
      </c>
      <c r="X22" s="61">
        <v>17</v>
      </c>
      <c r="Y22" s="51">
        <v>100</v>
      </c>
      <c r="Z22" s="52">
        <v>506.40000000000225</v>
      </c>
      <c r="AA22" s="50">
        <v>65.900000000000006</v>
      </c>
      <c r="AB22" s="61">
        <f t="shared" si="5"/>
        <v>100.00000000002274</v>
      </c>
      <c r="AC22" s="61">
        <f>IFERROR(IF(Z22-Z21&lt;=0,"",AB22/SQRT(Таблица_pr4[[#This Row],[Удельное сопротивление грунта, Ом·м]])),AB22/SQRT(Таблица_pr4[[#This Row],[Удельное сопротивление грунта, Ом·м]]))</f>
        <v>12.318484821005777</v>
      </c>
      <c r="AD22" s="76">
        <v>17</v>
      </c>
      <c r="AE22" s="64">
        <v>127</v>
      </c>
      <c r="AF22" s="52">
        <v>509.20000000000289</v>
      </c>
      <c r="AG22" s="67">
        <v>55.6</v>
      </c>
      <c r="AH22" s="61">
        <f t="shared" si="6"/>
        <v>100.00000000002274</v>
      </c>
      <c r="AI22" s="61">
        <f>IFERROR(IF(AF22-AF21&lt;=0,"",AH22/SQRT(Таблица_pr5[[#This Row],[Удельное сопротивление грунта, Ом·м]])),AH22/SQRT(Таблица_pr5[[#This Row],[Удельное сопротивление грунта, Ом·м]]))</f>
        <v>13.411044519648552</v>
      </c>
      <c r="AJ22" s="61">
        <v>17</v>
      </c>
      <c r="AK22" s="64">
        <v>157</v>
      </c>
      <c r="AL22" s="52">
        <v>512.20000000000357</v>
      </c>
      <c r="AM22" s="67">
        <v>54.5</v>
      </c>
      <c r="AN22" s="61">
        <f t="shared" si="7"/>
        <v>100.00000000002274</v>
      </c>
      <c r="AO22" s="61">
        <f>IFERROR(IF(AL22-AL21&lt;=0,"",AN22/SQRT(Таблица_pr6[[#This Row],[Удельное сопротивление грунта, Ом·м]])),AN22/SQRT(Таблица_pr6[[#This Row],[Удельное сопротивление грунта, Ом·м]]))</f>
        <v>13.545709229575007</v>
      </c>
      <c r="AP22" s="76">
        <v>17</v>
      </c>
      <c r="AQ22" s="64">
        <v>187</v>
      </c>
      <c r="AR22" s="52">
        <v>515.20000000000425</v>
      </c>
      <c r="AS22" s="67">
        <v>55.4</v>
      </c>
      <c r="AT22" s="61">
        <f t="shared" si="8"/>
        <v>100.00000000002274</v>
      </c>
      <c r="AU22" s="61">
        <f>IFERROR(IF(AR22-AR21&lt;=0,"",AT22/SQRT(Таблица_pr7[[#This Row],[Удельное сопротивление грунта, Ом·м]])),AT22/SQRT(Таблица_pr7[[#This Row],[Удельное сопротивление грунта, Ом·м]]))</f>
        <v>13.435230372514532</v>
      </c>
      <c r="AV22" s="61">
        <v>17</v>
      </c>
      <c r="AW22" s="64">
        <v>207</v>
      </c>
      <c r="AX22" s="52">
        <v>517.20000000000471</v>
      </c>
      <c r="AY22" s="67">
        <v>124.7</v>
      </c>
      <c r="AZ22" s="61">
        <f t="shared" si="9"/>
        <v>100.00000000002274</v>
      </c>
      <c r="BA22" s="61">
        <f>IFERROR(IF(AX22-AX21&lt;=0,"",AZ22/SQRT(Таблица_pr8[[#This Row],[Удельное сопротивление грунта, Ом·м]])),AZ22/SQRT(Таблица_pr8[[#This Row],[Удельное сопротивление грунта, Ом·м]]))</f>
        <v>8.955024394641093</v>
      </c>
      <c r="BB22" s="76">
        <v>17</v>
      </c>
      <c r="BC22" s="64">
        <v>237</v>
      </c>
      <c r="BD22" s="52">
        <v>520.20000000000539</v>
      </c>
      <c r="BE22" s="67">
        <v>275.39999999999998</v>
      </c>
      <c r="BF22" s="61">
        <f t="shared" si="10"/>
        <v>100.00000000002274</v>
      </c>
      <c r="BG22" s="61">
        <f>IFERROR(IF(BD22-AX41&lt;=0,"",BF22/SQRT(Таблица_pr9[[#This Row],[Удельное сопротивление грунта, Ом·м]])),BF22/SQRT(Таблица_pr9[[#This Row],[Удельное сопротивление грунта, Ом·м]]))</f>
        <v>6.0258460505195979</v>
      </c>
      <c r="BH22" s="61">
        <v>17</v>
      </c>
      <c r="BI22" s="64">
        <v>267</v>
      </c>
      <c r="BJ22" s="52">
        <v>523.20000000000607</v>
      </c>
      <c r="BK22" s="67">
        <v>43.9</v>
      </c>
      <c r="BL22" s="61">
        <f t="shared" si="11"/>
        <v>100.00000000002274</v>
      </c>
      <c r="BM22" s="61">
        <f>IFERROR(IF(BJ22-BD51&lt;=0,"",BL22/SQRT(Таблица_pr10[[#This Row],[Удельное сопротивление грунта, Ом·м]])),BL22/SQRT(Таблица_pr10[[#This Row],[Удельное сопротивление грунта, Ом·м]]))</f>
        <v>15.092727811827983</v>
      </c>
      <c r="BT22">
        <v>5.1699999999999996E-6</v>
      </c>
      <c r="BU22"/>
      <c r="BV22"/>
      <c r="BW22"/>
      <c r="BX22">
        <v>5.1699999999999996E-6</v>
      </c>
      <c r="BY22"/>
      <c r="BZ22"/>
      <c r="CA22"/>
      <c r="CC22"/>
      <c r="CD22"/>
      <c r="CE22"/>
      <c r="CG22" s="47"/>
      <c r="CK22" s="47"/>
      <c r="CO22" s="47"/>
      <c r="CS22" s="47"/>
      <c r="CW22" s="47"/>
      <c r="DA22" s="47"/>
      <c r="DE22" s="47"/>
    </row>
    <row r="23" spans="1:134">
      <c r="A23" s="64">
        <v>18</v>
      </c>
      <c r="B23" s="49">
        <v>498.2</v>
      </c>
      <c r="C23" s="65">
        <v>94.9</v>
      </c>
      <c r="D23" s="61">
        <f t="shared" si="1"/>
        <v>99.999999999965894</v>
      </c>
      <c r="E23" s="61">
        <f>IFERROR(IF(B23-B22&lt;=0,"",D23/SQRT(Таблица_pr[[#This Row],[Удельное сопротивление грунта, Ом·м]])),D23/SQRT(Таблица_pr[[#This Row],[Удельное сопротивление грунта, Ом·м]]))</f>
        <v>10.265187673722572</v>
      </c>
      <c r="G23" s="189">
        <v>18</v>
      </c>
      <c r="H23" s="178">
        <v>498.2</v>
      </c>
      <c r="I23" s="179">
        <v>94.9</v>
      </c>
      <c r="J23" s="180">
        <f t="shared" si="2"/>
        <v>99.999999999965894</v>
      </c>
      <c r="K23" s="61">
        <f>IFERROR(IF(H23-H22&lt;=0,"",J23/SQRT(Таблица_pr1[[#This Row],[Удельное сопротивление грунта, Ом·м]])),J23/SQRT(Таблица_pr1[[#This Row],[Удельное сопротивление грунта, Ом·м]]))</f>
        <v>10.265187673722572</v>
      </c>
      <c r="L23" s="61">
        <v>18</v>
      </c>
      <c r="M23" s="64">
        <v>46</v>
      </c>
      <c r="N23" s="49">
        <v>501.00000000000102</v>
      </c>
      <c r="O23" s="50">
        <v>53.8</v>
      </c>
      <c r="P23" s="61">
        <f t="shared" si="3"/>
        <v>100.00000000002274</v>
      </c>
      <c r="Q23" s="61">
        <f>IFERROR(IF(N23-N22&lt;=0,"",P23/SQRT(Таблица_pr2[[#This Row],[Удельное сопротивление грунта, Ом·м]])),P23/SQRT(Таблица_pr2[[#This Row],[Удельное сопротивление грунта, Ом·м]]))</f>
        <v>13.633547078733397</v>
      </c>
      <c r="R23" s="76">
        <v>18</v>
      </c>
      <c r="S23" s="51">
        <v>73</v>
      </c>
      <c r="T23" s="49">
        <v>503.70000000000164</v>
      </c>
      <c r="U23" s="50">
        <v>43.4</v>
      </c>
      <c r="V23" s="61">
        <f t="shared" si="12"/>
        <v>100.00000000002274</v>
      </c>
      <c r="W23" s="61">
        <f>IFERROR(IF(T23-T22&lt;=0,"",V23/SQRT(Таблица_pr3[[#This Row],[Удельное сопротивление грунта, Ом·м]])),V23/SQRT(Таблица_pr3[[#This Row],[Удельное сопротивление грунта, Ом·м]]))</f>
        <v>15.179418517976359</v>
      </c>
      <c r="X23" s="61">
        <v>18</v>
      </c>
      <c r="Y23" s="51">
        <v>101</v>
      </c>
      <c r="Z23" s="52">
        <v>506.50000000000227</v>
      </c>
      <c r="AA23" s="50">
        <v>64.5</v>
      </c>
      <c r="AB23" s="61">
        <f t="shared" si="5"/>
        <v>100.00000000002274</v>
      </c>
      <c r="AC23" s="61">
        <f>IFERROR(IF(Z23-Z22&lt;=0,"",AB23/SQRT(Таблица_pr4[[#This Row],[Удельное сопротивление грунта, Ом·м]])),AB23/SQRT(Таблица_pr4[[#This Row],[Удельное сопротивление грунта, Ом·м]]))</f>
        <v>12.451456127296638</v>
      </c>
      <c r="AD23" s="76">
        <v>18</v>
      </c>
      <c r="AE23" s="64">
        <v>128</v>
      </c>
      <c r="AF23" s="52">
        <v>509.30000000000291</v>
      </c>
      <c r="AG23" s="67">
        <v>60.1</v>
      </c>
      <c r="AH23" s="61">
        <f t="shared" si="6"/>
        <v>100.00000000002274</v>
      </c>
      <c r="AI23" s="61">
        <f>IFERROR(IF(AF23-AF22&lt;=0,"",AH23/SQRT(Таблица_pr5[[#This Row],[Удельное сопротивление грунта, Ом·м]])),AH23/SQRT(Таблица_pr5[[#This Row],[Удельное сопротивление грунта, Ом·м]]))</f>
        <v>12.899199629496648</v>
      </c>
      <c r="AJ23" s="61">
        <v>18</v>
      </c>
      <c r="AK23" s="64">
        <v>158</v>
      </c>
      <c r="AL23" s="52">
        <v>512.30000000000359</v>
      </c>
      <c r="AM23" s="67">
        <v>49.3</v>
      </c>
      <c r="AN23" s="61">
        <f t="shared" si="7"/>
        <v>100.00000000002274</v>
      </c>
      <c r="AO23" s="61">
        <f>IFERROR(IF(AL23-AL22&lt;=0,"",AN23/SQRT(Таблица_pr6[[#This Row],[Удельное сопротивление грунта, Ом·м]])),AN23/SQRT(Таблица_pr6[[#This Row],[Удельное сопротивление грунта, Ом·м]]))</f>
        <v>14.242182297400365</v>
      </c>
      <c r="AP23" s="76">
        <v>18</v>
      </c>
      <c r="AQ23" s="64">
        <v>188</v>
      </c>
      <c r="AR23" s="52">
        <v>515.30000000000427</v>
      </c>
      <c r="AS23" s="67">
        <v>59.9</v>
      </c>
      <c r="AT23" s="61">
        <f t="shared" si="8"/>
        <v>100.00000000002274</v>
      </c>
      <c r="AU23" s="61">
        <f>IFERROR(IF(AR23-AR22&lt;=0,"",AT23/SQRT(Таблица_pr7[[#This Row],[Удельное сопротивление грунта, Ом·м]])),AT23/SQRT(Таблица_pr7[[#This Row],[Удельное сопротивление грунта, Ом·м]]))</f>
        <v>12.920716240997494</v>
      </c>
      <c r="AV23" s="61">
        <v>18</v>
      </c>
      <c r="AW23" s="64">
        <v>208</v>
      </c>
      <c r="AX23" s="52">
        <v>517.30000000000473</v>
      </c>
      <c r="AY23" s="67">
        <v>132.4</v>
      </c>
      <c r="AZ23" s="61">
        <f t="shared" si="9"/>
        <v>100.00000000002274</v>
      </c>
      <c r="BA23" s="61">
        <f>IFERROR(IF(AX23-AX22&lt;=0,"",AZ23/SQRT(Таблица_pr8[[#This Row],[Удельное сопротивление грунта, Ом·м]])),AZ23/SQRT(Таблица_pr8[[#This Row],[Удельное сопротивление грунта, Ом·м]]))</f>
        <v>8.6907249931394528</v>
      </c>
      <c r="BB23" s="76">
        <v>18</v>
      </c>
      <c r="BC23" s="64">
        <v>238</v>
      </c>
      <c r="BD23" s="52">
        <v>520.30000000000541</v>
      </c>
      <c r="BE23" s="67">
        <v>276.10000000000002</v>
      </c>
      <c r="BF23" s="61">
        <f t="shared" si="10"/>
        <v>100.00000000002274</v>
      </c>
      <c r="BG23" s="61">
        <f>IFERROR(IF(BD23-AX42&lt;=0,"",BF23/SQRT(Таблица_pr9[[#This Row],[Удельное сопротивление грунта, Ом·м]])),BF23/SQRT(Таблица_pr9[[#This Row],[Удельное сопротивление грунта, Ом·м]]))</f>
        <v>6.0182024989509433</v>
      </c>
      <c r="BH23" s="61">
        <v>18</v>
      </c>
      <c r="BI23" s="64">
        <v>268</v>
      </c>
      <c r="BJ23" s="52">
        <v>523.30000000000609</v>
      </c>
      <c r="BK23" s="67">
        <v>47.1</v>
      </c>
      <c r="BL23" s="61">
        <f t="shared" si="11"/>
        <v>100.00000000002274</v>
      </c>
      <c r="BM23" s="61">
        <f>IFERROR(IF(BJ23-BD52&lt;=0,"",BL23/SQRT(Таблица_pr10[[#This Row],[Удельное сопротивление грунта, Ом·м]])),BL23/SQRT(Таблица_pr10[[#This Row],[Удельное сопротивление грунта, Ом·м]]))</f>
        <v>14.571006315734513</v>
      </c>
      <c r="BT23">
        <v>4.6199999999999998E-6</v>
      </c>
      <c r="BU23"/>
      <c r="BV23"/>
      <c r="BW23"/>
      <c r="BX23">
        <v>4.6199999999999998E-6</v>
      </c>
      <c r="BY23"/>
      <c r="BZ23"/>
      <c r="CA23"/>
      <c r="CC23"/>
      <c r="CD23"/>
      <c r="CE23"/>
      <c r="CG23" s="47"/>
      <c r="CK23" s="47"/>
      <c r="CO23" s="47"/>
      <c r="CS23" s="47"/>
      <c r="CW23" s="47"/>
      <c r="DA23" s="47"/>
      <c r="DE23" s="47"/>
    </row>
    <row r="24" spans="1:134">
      <c r="A24" s="64">
        <v>19</v>
      </c>
      <c r="B24" s="49">
        <v>498.3</v>
      </c>
      <c r="C24" s="65">
        <v>117.7</v>
      </c>
      <c r="D24" s="61">
        <f t="shared" si="1"/>
        <v>100.00000000002274</v>
      </c>
      <c r="E24" s="61">
        <f>IFERROR(IF(B24-B23&lt;=0,"",D24/SQRT(Таблица_pr[[#This Row],[Удельное сопротивление грунта, Ом·м]])),D24/SQRT(Таблица_pr[[#This Row],[Удельное сопротивление грунта, Ом·м]]))</f>
        <v>9.2174707596388128</v>
      </c>
      <c r="G24" s="188">
        <v>19</v>
      </c>
      <c r="H24" s="175">
        <v>498.3</v>
      </c>
      <c r="I24" s="176">
        <v>117.7</v>
      </c>
      <c r="J24" s="181">
        <f t="shared" si="2"/>
        <v>100.00000000002274</v>
      </c>
      <c r="K24" s="61">
        <f>IFERROR(IF(H24-H23&lt;=0,"",J24/SQRT(Таблица_pr1[[#This Row],[Удельное сопротивление грунта, Ом·м]])),J24/SQRT(Таблица_pr1[[#This Row],[Удельное сопротивление грунта, Ом·м]]))</f>
        <v>9.2174707596388128</v>
      </c>
      <c r="L24" s="61">
        <v>19</v>
      </c>
      <c r="M24" s="64">
        <v>47</v>
      </c>
      <c r="N24" s="49">
        <v>501.10000000000105</v>
      </c>
      <c r="O24" s="50">
        <v>31.5</v>
      </c>
      <c r="P24" s="61">
        <f t="shared" si="3"/>
        <v>100.00000000002274</v>
      </c>
      <c r="Q24" s="61">
        <f>IFERROR(IF(N24-N23&lt;=0,"",P24/SQRT(Таблица_pr2[[#This Row],[Удельное сопротивление грунта, Ом·м]])),P24/SQRT(Таблица_pr2[[#This Row],[Удельное сопротивление грунта, Ом·м]]))</f>
        <v>17.817416127499008</v>
      </c>
      <c r="R24" s="76">
        <v>19</v>
      </c>
      <c r="S24" s="51">
        <v>74</v>
      </c>
      <c r="T24" s="49">
        <v>503.80000000000166</v>
      </c>
      <c r="U24" s="50">
        <v>41.6</v>
      </c>
      <c r="V24" s="61">
        <f t="shared" si="12"/>
        <v>100.00000000002274</v>
      </c>
      <c r="W24" s="61">
        <f>IFERROR(IF(T24-T23&lt;=0,"",V24/SQRT(Таблица_pr3[[#This Row],[Удельное сопротивление грунта, Ом·м]])),V24/SQRT(Таблица_pr3[[#This Row],[Удельное сопротивление грунта, Ом·м]]))</f>
        <v>15.504341823654581</v>
      </c>
      <c r="X24" s="61">
        <v>19</v>
      </c>
      <c r="Y24" s="51">
        <v>102</v>
      </c>
      <c r="Z24" s="52">
        <v>506.6000000000023</v>
      </c>
      <c r="AA24" s="50">
        <v>59</v>
      </c>
      <c r="AB24" s="61">
        <f t="shared" si="5"/>
        <v>100.00000000002274</v>
      </c>
      <c r="AC24" s="61">
        <f>IFERROR(IF(Z24-Z23&lt;=0,"",AB24/SQRT(Таблица_pr4[[#This Row],[Удельное сопротивление грунта, Ом·м]])),AB24/SQRT(Таблица_pr4[[#This Row],[Удельное сопротивление грунта, Ом·м]]))</f>
        <v>13.018891098085348</v>
      </c>
      <c r="AD24" s="76">
        <v>19</v>
      </c>
      <c r="AE24" s="64">
        <v>129</v>
      </c>
      <c r="AF24" s="52">
        <v>509.40000000000293</v>
      </c>
      <c r="AG24" s="67">
        <v>57</v>
      </c>
      <c r="AH24" s="61">
        <f t="shared" si="6"/>
        <v>100.00000000002274</v>
      </c>
      <c r="AI24" s="61">
        <f>IFERROR(IF(AF24-AF23&lt;=0,"",AH24/SQRT(Таблица_pr5[[#This Row],[Удельное сопротивление грунта, Ом·м]])),AH24/SQRT(Таблица_pr5[[#This Row],[Удельное сопротивление грунта, Ом·м]]))</f>
        <v>13.245323570653449</v>
      </c>
      <c r="AJ24" s="61">
        <v>19</v>
      </c>
      <c r="AK24" s="64">
        <v>159</v>
      </c>
      <c r="AL24" s="52">
        <v>512.40000000000362</v>
      </c>
      <c r="AM24" s="67">
        <v>48</v>
      </c>
      <c r="AN24" s="61">
        <f t="shared" si="7"/>
        <v>100.00000000002274</v>
      </c>
      <c r="AO24" s="61">
        <f>IFERROR(IF(AL24-AL23&lt;=0,"",AN24/SQRT(Таблица_pr6[[#This Row],[Удельное сопротивление грунта, Ом·м]])),AN24/SQRT(Таблица_pr6[[#This Row],[Удельное сопротивление грунта, Ом·м]]))</f>
        <v>14.433756729743926</v>
      </c>
      <c r="AP24" s="76">
        <v>19</v>
      </c>
      <c r="AQ24" s="64">
        <v>189</v>
      </c>
      <c r="AR24" s="52">
        <v>515.4000000000043</v>
      </c>
      <c r="AS24" s="67">
        <v>67.400000000000006</v>
      </c>
      <c r="AT24" s="61">
        <f t="shared" si="8"/>
        <v>100.00000000002274</v>
      </c>
      <c r="AU24" s="61">
        <f>IFERROR(IF(AR24-AR23&lt;=0,"",AT24/SQRT(Таблица_pr7[[#This Row],[Удельное сопротивление грунта, Ом·м]])),AT24/SQRT(Таблица_pr7[[#This Row],[Удельное сопротивление грунта, Ом·м]]))</f>
        <v>12.180638428355167</v>
      </c>
      <c r="AV24" s="61">
        <v>19</v>
      </c>
      <c r="AW24" s="64">
        <v>209</v>
      </c>
      <c r="AX24" s="52">
        <v>517.40000000000475</v>
      </c>
      <c r="AY24" s="67">
        <v>116.1</v>
      </c>
      <c r="AZ24" s="61">
        <f t="shared" si="9"/>
        <v>100.00000000002274</v>
      </c>
      <c r="BA24" s="61">
        <f>IFERROR(IF(AX24-AX23&lt;=0,"",AZ24/SQRT(Таблица_pr8[[#This Row],[Удельное сопротивление грунта, Ом·м]])),AZ24/SQRT(Таблица_pr8[[#This Row],[Удельное сопротивление грунта, Ом·м]]))</f>
        <v>9.2807674398305195</v>
      </c>
      <c r="BB24" s="76">
        <v>19</v>
      </c>
      <c r="BC24" s="64">
        <v>239</v>
      </c>
      <c r="BD24" s="52">
        <v>520.40000000000543</v>
      </c>
      <c r="BE24" s="67">
        <v>275.89999999999998</v>
      </c>
      <c r="BF24" s="61">
        <f t="shared" si="10"/>
        <v>100.00000000002274</v>
      </c>
      <c r="BG24" s="61">
        <f>IFERROR(IF(BD24-AX43&lt;=0,"",BF24/SQRT(Таблица_pr9[[#This Row],[Удельное сопротивление грунта, Ом·м]])),BF24/SQRT(Таблица_pr9[[#This Row],[Удельное сопротивление грунта, Ом·м]]))</f>
        <v>6.0203834022654927</v>
      </c>
      <c r="BH24" s="61">
        <v>19</v>
      </c>
      <c r="BI24" s="64">
        <v>269</v>
      </c>
      <c r="BJ24" s="52">
        <v>523.40000000000612</v>
      </c>
      <c r="BK24" s="67">
        <v>47.3</v>
      </c>
      <c r="BL24" s="61">
        <f t="shared" si="11"/>
        <v>100.00000000002274</v>
      </c>
      <c r="BM24" s="61">
        <f>IFERROR(IF(BJ24-BD53&lt;=0,"",BL24/SQRT(Таблица_pr10[[#This Row],[Удельное сопротивление грунта, Ом·м]])),BL24/SQRT(Таблица_pr10[[#This Row],[Удельное сопротивление грунта, Ом·м]]))</f>
        <v>14.540168172560938</v>
      </c>
      <c r="BT24">
        <v>4.3099999999999994E-6</v>
      </c>
      <c r="BU24"/>
      <c r="BV24"/>
      <c r="BW24"/>
      <c r="BX24">
        <v>4.3099999999999994E-6</v>
      </c>
      <c r="BY24"/>
      <c r="BZ24"/>
      <c r="CA24"/>
      <c r="CC24"/>
      <c r="CD24"/>
      <c r="CE24"/>
      <c r="CG24" s="47"/>
      <c r="CK24" s="47"/>
      <c r="CO24" s="47"/>
      <c r="CS24" s="47"/>
      <c r="CW24" s="47"/>
      <c r="DA24" s="47"/>
      <c r="DE24" s="47"/>
    </row>
    <row r="25" spans="1:134">
      <c r="A25" s="64">
        <v>20</v>
      </c>
      <c r="B25" s="49">
        <v>498.4</v>
      </c>
      <c r="C25" s="65">
        <v>112.6</v>
      </c>
      <c r="D25" s="61">
        <f t="shared" si="1"/>
        <v>99.999999999965894</v>
      </c>
      <c r="E25" s="61">
        <f>IFERROR(IF(B25-B24&lt;=0,"",D25/SQRT(Таблица_pr[[#This Row],[Удельное сопротивление грунта, Ом·м]])),D25/SQRT(Таблица_pr[[#This Row],[Удельное сопротивление грунта, Ом·м]]))</f>
        <v>9.4239029448510028</v>
      </c>
      <c r="G25" s="189">
        <v>20</v>
      </c>
      <c r="H25" s="178">
        <v>498.4</v>
      </c>
      <c r="I25" s="179">
        <v>112.6</v>
      </c>
      <c r="J25" s="180">
        <f t="shared" si="2"/>
        <v>99.999999999965894</v>
      </c>
      <c r="K25" s="61">
        <f>IFERROR(IF(H25-H24&lt;=0,"",J25/SQRT(Таблица_pr1[[#This Row],[Удельное сопротивление грунта, Ом·м]])),J25/SQRT(Таблица_pr1[[#This Row],[Удельное сопротивление грунта, Ом·м]]))</f>
        <v>9.4239029448510028</v>
      </c>
      <c r="L25" s="61">
        <v>20</v>
      </c>
      <c r="M25" s="64">
        <v>48</v>
      </c>
      <c r="N25" s="49">
        <v>501.20000000000107</v>
      </c>
      <c r="O25" s="50">
        <v>61.6</v>
      </c>
      <c r="P25" s="61">
        <f t="shared" si="3"/>
        <v>100.00000000002274</v>
      </c>
      <c r="Q25" s="61">
        <f>IFERROR(IF(N25-N24&lt;=0,"",P25/SQRT(Таблица_pr2[[#This Row],[Удельное сопротивление грунта, Ом·м]])),P25/SQRT(Таблица_pr2[[#This Row],[Удельное сопротивление грунта, Ом·м]]))</f>
        <v>12.741179785943535</v>
      </c>
      <c r="R25" s="76">
        <v>20</v>
      </c>
      <c r="S25" s="51">
        <v>75</v>
      </c>
      <c r="T25" s="49">
        <v>503.90000000000168</v>
      </c>
      <c r="U25" s="50">
        <v>50</v>
      </c>
      <c r="V25" s="61">
        <f t="shared" si="12"/>
        <v>100.00000000002274</v>
      </c>
      <c r="W25" s="61">
        <f>IFERROR(IF(T25-T24&lt;=0,"",V25/SQRT(Таблица_pr3[[#This Row],[Удельное сопротивление грунта, Ом·м]])),V25/SQRT(Таблица_pr3[[#This Row],[Удельное сопротивление грунта, Ом·м]]))</f>
        <v>14.142135623734166</v>
      </c>
      <c r="X25" s="61">
        <v>20</v>
      </c>
      <c r="Y25" s="51">
        <v>103</v>
      </c>
      <c r="Z25" s="52">
        <v>506.70000000000232</v>
      </c>
      <c r="AA25" s="50">
        <v>61.6</v>
      </c>
      <c r="AB25" s="61">
        <f t="shared" si="5"/>
        <v>100.00000000002274</v>
      </c>
      <c r="AC25" s="61">
        <f>IFERROR(IF(Z25-Z24&lt;=0,"",AB25/SQRT(Таблица_pr4[[#This Row],[Удельное сопротивление грунта, Ом·м]])),AB25/SQRT(Таблица_pr4[[#This Row],[Удельное сопротивление грунта, Ом·м]]))</f>
        <v>12.741179785943535</v>
      </c>
      <c r="AD25" s="76">
        <v>20</v>
      </c>
      <c r="AE25" s="64">
        <v>130</v>
      </c>
      <c r="AF25" s="52">
        <v>509.50000000000296</v>
      </c>
      <c r="AG25" s="67">
        <v>57.1</v>
      </c>
      <c r="AH25" s="61">
        <f t="shared" si="6"/>
        <v>100.00000000002274</v>
      </c>
      <c r="AI25" s="61">
        <f>IFERROR(IF(AF25-AF24&lt;=0,"",AH25/SQRT(Таблица_pr5[[#This Row],[Удельное сопротивление грунта, Ом·м]])),AH25/SQRT(Таблица_pr5[[#This Row],[Удельное сопротивление грунта, Ом·м]]))</f>
        <v>13.233720131220213</v>
      </c>
      <c r="AJ25" s="61">
        <v>20</v>
      </c>
      <c r="AK25" s="64">
        <v>160</v>
      </c>
      <c r="AL25" s="52">
        <v>512.50000000000364</v>
      </c>
      <c r="AM25" s="67">
        <v>45.3</v>
      </c>
      <c r="AN25" s="61">
        <f t="shared" si="7"/>
        <v>100.00000000002274</v>
      </c>
      <c r="AO25" s="61">
        <f>IFERROR(IF(AL25-AL24&lt;=0,"",AN25/SQRT(Таблица_pr6[[#This Row],[Удельное сопротивление грунта, Ом·м]])),AN25/SQRT(Таблица_pr6[[#This Row],[Удельное сопротивление грунта, Ом·м]]))</f>
        <v>14.857676530214274</v>
      </c>
      <c r="AP25" s="76">
        <v>20</v>
      </c>
      <c r="AQ25" s="64">
        <v>190</v>
      </c>
      <c r="AR25" s="52">
        <v>515.50000000000432</v>
      </c>
      <c r="AS25" s="67">
        <v>71.400000000000006</v>
      </c>
      <c r="AT25" s="61">
        <f t="shared" si="8"/>
        <v>100.00000000002274</v>
      </c>
      <c r="AU25" s="61">
        <f>IFERROR(IF(AR25-AR24&lt;=0,"",AT25/SQRT(Таблица_pr7[[#This Row],[Удельное сопротивление грунта, Ом·м]])),AT25/SQRT(Таблица_pr7[[#This Row],[Удельное сопротивление грунта, Ом·м]]))</f>
        <v>11.834526708281462</v>
      </c>
      <c r="AV25" s="61">
        <v>20</v>
      </c>
      <c r="AW25" s="64">
        <v>210</v>
      </c>
      <c r="AX25" s="52">
        <v>517.50000000000477</v>
      </c>
      <c r="AY25" s="67">
        <v>112.9</v>
      </c>
      <c r="AZ25" s="61">
        <f t="shared" si="9"/>
        <v>100.00000000002274</v>
      </c>
      <c r="BA25" s="61">
        <f>IFERROR(IF(AX25-AX24&lt;=0,"",AZ25/SQRT(Таблица_pr8[[#This Row],[Удельное сопротивление грунта, Ом·м]])),AZ25/SQRT(Таблица_pr8[[#This Row],[Удельное сопротивление грунта, Ом·м]]))</f>
        <v>9.4113739303047037</v>
      </c>
      <c r="BB25" s="76">
        <v>20</v>
      </c>
      <c r="BC25" s="64">
        <v>240</v>
      </c>
      <c r="BD25" s="52">
        <v>520.50000000000546</v>
      </c>
      <c r="BE25" s="67">
        <v>282.7</v>
      </c>
      <c r="BF25" s="61">
        <f t="shared" si="10"/>
        <v>100.00000000002274</v>
      </c>
      <c r="BG25" s="61">
        <f>IFERROR(IF(BD25-AX44&lt;=0,"",BF25/SQRT(Таблица_pr9[[#This Row],[Удельное сопротивление грунта, Ом·м]])),BF25/SQRT(Таблица_pr9[[#This Row],[Удельное сопротивление грунта, Ом·м]]))</f>
        <v>5.9475362230234445</v>
      </c>
      <c r="BH25" s="61">
        <v>20</v>
      </c>
      <c r="BI25" s="64">
        <v>270</v>
      </c>
      <c r="BJ25" s="52">
        <v>523.50000000000614</v>
      </c>
      <c r="BK25" s="67">
        <v>52.7</v>
      </c>
      <c r="BL25" s="61">
        <f t="shared" si="11"/>
        <v>100.00000000002274</v>
      </c>
      <c r="BM25" s="61">
        <f>IFERROR(IF(BJ25-BD54&lt;=0,"",BL25/SQRT(Таблица_pr10[[#This Row],[Удельное сопротивление грунта, Ом·м]])),BL25/SQRT(Таблица_pr10[[#This Row],[Удельное сопротивление грунта, Ом·м]]))</f>
        <v>13.775097846592532</v>
      </c>
      <c r="BT25">
        <v>4.0499999999999993E-6</v>
      </c>
      <c r="BU25"/>
      <c r="BV25"/>
      <c r="BW25"/>
      <c r="BX25">
        <v>4.0499999999999993E-6</v>
      </c>
      <c r="BY25"/>
      <c r="BZ25"/>
      <c r="CA25"/>
      <c r="CC25"/>
      <c r="CD25"/>
      <c r="CE25"/>
      <c r="CG25" s="47"/>
      <c r="CK25" s="47"/>
      <c r="CO25" s="47"/>
      <c r="CS25" s="47"/>
      <c r="CW25" s="47"/>
      <c r="DA25" s="47"/>
      <c r="DE25" s="47"/>
    </row>
    <row r="26" spans="1:134">
      <c r="A26" s="64">
        <v>21</v>
      </c>
      <c r="B26" s="49">
        <v>498.5</v>
      </c>
      <c r="C26" s="65">
        <v>100.8</v>
      </c>
      <c r="D26" s="61">
        <f t="shared" si="1"/>
        <v>100.00000000002274</v>
      </c>
      <c r="E26" s="61">
        <f>IFERROR(IF(B26-B25&lt;=0,"",D26/SQRT(Таблица_pr[[#This Row],[Удельное сопротивление грунта, Ом·м]])),D26/SQRT(Таблица_pr[[#This Row],[Удельное сопротивление грунта, Ом·м]]))</f>
        <v>9.9602384111222122</v>
      </c>
      <c r="G26" s="188">
        <v>21</v>
      </c>
      <c r="H26" s="175">
        <v>498.5</v>
      </c>
      <c r="I26" s="176">
        <v>100.8</v>
      </c>
      <c r="J26" s="181">
        <f t="shared" si="2"/>
        <v>100.00000000002274</v>
      </c>
      <c r="K26" s="61">
        <f>IFERROR(IF(H26-H25&lt;=0,"",J26/SQRT(Таблица_pr1[[#This Row],[Удельное сопротивление грунта, Ом·м]])),J26/SQRT(Таблица_pr1[[#This Row],[Удельное сопротивление грунта, Ом·м]]))</f>
        <v>9.9602384111222122</v>
      </c>
      <c r="L26" s="61">
        <v>21</v>
      </c>
      <c r="M26" s="64">
        <v>49</v>
      </c>
      <c r="N26" s="49">
        <v>501.30000000000109</v>
      </c>
      <c r="O26" s="50">
        <v>70</v>
      </c>
      <c r="P26" s="61">
        <f t="shared" si="3"/>
        <v>100.00000000002274</v>
      </c>
      <c r="Q26" s="61">
        <f>IFERROR(IF(N26-N25&lt;=0,"",P26/SQRT(Таблица_pr2[[#This Row],[Удельное сопротивление грунта, Ом·м]])),P26/SQRT(Таблица_pr2[[#This Row],[Удельное сопротивление грунта, Ом·м]]))</f>
        <v>11.952286093346654</v>
      </c>
      <c r="R26" s="76">
        <v>21</v>
      </c>
      <c r="S26" s="51">
        <v>76</v>
      </c>
      <c r="T26" s="49">
        <v>504.00000000000171</v>
      </c>
      <c r="U26" s="50">
        <v>46.3</v>
      </c>
      <c r="V26" s="61">
        <f t="shared" si="12"/>
        <v>100.00000000002274</v>
      </c>
      <c r="W26" s="61">
        <f>IFERROR(IF(T26-T25&lt;=0,"",V26/SQRT(Таблица_pr3[[#This Row],[Удельное сопротивление грунта, Ом·м]])),V26/SQRT(Таблица_pr3[[#This Row],[Удельное сопротивление грунта, Ом·м]]))</f>
        <v>14.696350614434444</v>
      </c>
      <c r="X26" s="61">
        <v>21</v>
      </c>
      <c r="Y26" s="51">
        <v>104</v>
      </c>
      <c r="Z26" s="52">
        <v>506.80000000000234</v>
      </c>
      <c r="AA26" s="50">
        <v>46.3</v>
      </c>
      <c r="AB26" s="61">
        <f t="shared" si="5"/>
        <v>100.00000000002274</v>
      </c>
      <c r="AC26" s="61">
        <f>IFERROR(IF(Z26-Z25&lt;=0,"",AB26/SQRT(Таблица_pr4[[#This Row],[Удельное сопротивление грунта, Ом·м]])),AB26/SQRT(Таблица_pr4[[#This Row],[Удельное сопротивление грунта, Ом·м]]))</f>
        <v>14.696350614434444</v>
      </c>
      <c r="AD26" s="76">
        <v>21</v>
      </c>
      <c r="AE26" s="64">
        <v>131</v>
      </c>
      <c r="AF26" s="52">
        <v>509.60000000000298</v>
      </c>
      <c r="AG26" s="67">
        <v>65.099999999999994</v>
      </c>
      <c r="AH26" s="61">
        <f t="shared" si="6"/>
        <v>100.00000000002274</v>
      </c>
      <c r="AI26" s="61">
        <f>IFERROR(IF(AF26-AF25&lt;=0,"",AH26/SQRT(Таблица_pr5[[#This Row],[Удельное сопротивление грунта, Ом·м]])),AH26/SQRT(Таблица_pr5[[#This Row],[Удельное сопротивление грунта, Ом·м]]))</f>
        <v>12.393943320398709</v>
      </c>
      <c r="AJ26" s="61">
        <v>21</v>
      </c>
      <c r="AK26" s="64">
        <v>161</v>
      </c>
      <c r="AL26" s="52">
        <v>512.60000000000366</v>
      </c>
      <c r="AM26" s="67">
        <v>43.2</v>
      </c>
      <c r="AN26" s="61">
        <f t="shared" si="7"/>
        <v>100.00000000002274</v>
      </c>
      <c r="AO26" s="61">
        <f>IFERROR(IF(AL26-AL25&lt;=0,"",AN26/SQRT(Таблица_pr6[[#This Row],[Удельное сопротивление грунта, Ом·м]])),AN26/SQRT(Таблица_pr6[[#This Row],[Удельное сопротивление грунта, Ом·м]]))</f>
        <v>15.214515486258072</v>
      </c>
      <c r="AU26" s="61" t="str">
        <f>IFERROR(IF(AR26-AR25&lt;=0,"",AT26/SQRT(Таблица_pr7[[#This Row],[Удельное сопротивление грунта, Ом·м]])),AT26/SQRT(Таблица_pr7[[#This Row],[Удельное сопротивление грунта, Ом·м]]))</f>
        <v/>
      </c>
      <c r="AV26" s="61">
        <v>21</v>
      </c>
      <c r="AW26" s="64">
        <v>211</v>
      </c>
      <c r="AX26" s="52">
        <v>517.6000000000048</v>
      </c>
      <c r="AY26" s="67">
        <v>101.5</v>
      </c>
      <c r="AZ26" s="61">
        <f t="shared" si="9"/>
        <v>100.00000000002274</v>
      </c>
      <c r="BA26" s="61">
        <f>IFERROR(IF(AX26-AX25&lt;=0,"",AZ26/SQRT(Таблица_pr8[[#This Row],[Удельное сопротивление грунта, Ом·м]])),AZ26/SQRT(Таблица_pr8[[#This Row],[Удельное сопротивление грунта, Ом·м]]))</f>
        <v>9.9258333397115592</v>
      </c>
      <c r="BB26" s="76">
        <v>21</v>
      </c>
      <c r="BC26" s="64">
        <v>241</v>
      </c>
      <c r="BD26" s="52">
        <v>520.60000000000548</v>
      </c>
      <c r="BE26" s="67">
        <v>258.3</v>
      </c>
      <c r="BF26" s="61">
        <f t="shared" si="10"/>
        <v>100.00000000002274</v>
      </c>
      <c r="BG26" s="61">
        <f>IFERROR(IF(BD26-AX45&lt;=0,"",BF26/SQRT(Таблица_pr9[[#This Row],[Удельное сопротивление грунта, Ом·м]])),BF26/SQRT(Таблица_pr9[[#This Row],[Удельное сопротивление грунта, Ом·м]]))</f>
        <v>6.2221116078893921</v>
      </c>
      <c r="BH26" s="61">
        <v>21</v>
      </c>
      <c r="BI26" s="64">
        <v>271</v>
      </c>
      <c r="BJ26" s="52">
        <v>523.60000000000616</v>
      </c>
      <c r="BK26" s="67">
        <v>53.4</v>
      </c>
      <c r="BL26" s="61">
        <f t="shared" si="11"/>
        <v>100.00000000002274</v>
      </c>
      <c r="BM26" s="61">
        <f>IFERROR(IF(BJ26-BD55&lt;=0,"",BL26/SQRT(Таблица_pr10[[#This Row],[Удельное сопротивление грунта, Ом·м]])),BL26/SQRT(Таблица_pr10[[#This Row],[Удельное сопротивление грунта, Ом·м]]))</f>
        <v>13.684513787602445</v>
      </c>
      <c r="BT26">
        <v>3.8099999999999999E-6</v>
      </c>
      <c r="BU26"/>
      <c r="BV26"/>
      <c r="BW26"/>
      <c r="BX26">
        <v>3.8099999999999999E-6</v>
      </c>
      <c r="BY26"/>
      <c r="BZ26"/>
      <c r="CA26"/>
      <c r="CC26"/>
      <c r="CD26"/>
      <c r="CE26"/>
      <c r="CG26" s="47"/>
      <c r="CK26" s="47"/>
      <c r="CO26" s="47"/>
      <c r="CS26" s="47"/>
      <c r="CW26" s="47"/>
      <c r="DA26" s="47"/>
      <c r="DE26" s="47"/>
    </row>
    <row r="27" spans="1:134">
      <c r="A27" s="64">
        <v>22</v>
      </c>
      <c r="B27" s="49">
        <v>498.6</v>
      </c>
      <c r="C27" s="65">
        <v>98.1</v>
      </c>
      <c r="D27" s="61">
        <f t="shared" si="1"/>
        <v>100.00000000002274</v>
      </c>
      <c r="E27" s="61">
        <f>IFERROR(IF(B27-B26&lt;=0,"",D27/SQRT(Таблица_pr[[#This Row],[Удельное сопротивление грунта, Ом·м]])),D27/SQRT(Таблица_pr[[#This Row],[Удельное сопротивление грунта, Ом·м]]))</f>
        <v>10.096375546925339</v>
      </c>
      <c r="G27" s="189">
        <v>22</v>
      </c>
      <c r="H27" s="178">
        <v>498.6</v>
      </c>
      <c r="I27" s="179">
        <v>98.1</v>
      </c>
      <c r="J27" s="180">
        <f t="shared" si="2"/>
        <v>100.00000000002274</v>
      </c>
      <c r="K27" s="61">
        <f>IFERROR(IF(H27-H26&lt;=0,"",J27/SQRT(Таблица_pr1[[#This Row],[Удельное сопротивление грунта, Ом·м]])),J27/SQRT(Таблица_pr1[[#This Row],[Удельное сопротивление грунта, Ом·м]]))</f>
        <v>10.096375546925339</v>
      </c>
      <c r="L27" s="61">
        <v>22</v>
      </c>
      <c r="M27" s="51">
        <v>50</v>
      </c>
      <c r="N27" s="49">
        <v>501.40000000000111</v>
      </c>
      <c r="O27" s="50">
        <v>70.2</v>
      </c>
      <c r="P27" s="61">
        <f t="shared" si="3"/>
        <v>100.00000000002274</v>
      </c>
      <c r="Q27" s="61">
        <f>IFERROR(IF(N27-N26&lt;=0,"",P27/SQRT(Таблица_pr2[[#This Row],[Удельное сопротивление грунта, Ом·м]])),P27/SQRT(Таблица_pr2[[#This Row],[Удельное сопротивление грунта, Ом·м]]))</f>
        <v>11.935247900659929</v>
      </c>
      <c r="R27" s="76">
        <v>22</v>
      </c>
      <c r="S27" s="51">
        <v>77</v>
      </c>
      <c r="T27" s="49">
        <v>504.10000000000173</v>
      </c>
      <c r="U27" s="50">
        <v>50.5</v>
      </c>
      <c r="V27" s="61">
        <f t="shared" si="12"/>
        <v>100.00000000002274</v>
      </c>
      <c r="W27" s="61">
        <f>IFERROR(IF(T27-T26&lt;=0,"",V27/SQRT(Таблица_pr3[[#This Row],[Удельное сопротивление грунта, Ом·м]])),V27/SQRT(Таблица_pr3[[#This Row],[Удельное сопротивление грунта, Ом·м]]))</f>
        <v>14.071950894609037</v>
      </c>
      <c r="X27" s="61">
        <v>22</v>
      </c>
      <c r="Y27" s="51">
        <v>105</v>
      </c>
      <c r="Z27" s="52">
        <v>506.90000000000236</v>
      </c>
      <c r="AA27" s="50">
        <v>54.2</v>
      </c>
      <c r="AB27" s="61">
        <f t="shared" si="5"/>
        <v>100.00000000002274</v>
      </c>
      <c r="AC27" s="61">
        <f>IFERROR(IF(Z27-Z26&lt;=0,"",AB27/SQRT(Таблица_pr4[[#This Row],[Удельное сопротивление грунта, Ом·м]])),AB27/SQRT(Таблица_pr4[[#This Row],[Удельное сопротивление грунта, Ом·м]]))</f>
        <v>13.58314562310712</v>
      </c>
      <c r="AD27" s="76">
        <v>22</v>
      </c>
      <c r="AE27" s="64">
        <v>132</v>
      </c>
      <c r="AF27" s="52">
        <v>509.700000000003</v>
      </c>
      <c r="AG27" s="67">
        <v>65</v>
      </c>
      <c r="AH27" s="61">
        <f t="shared" si="6"/>
        <v>100.00000000002274</v>
      </c>
      <c r="AI27" s="61">
        <f>IFERROR(IF(AF27-AF26&lt;=0,"",AH27/SQRT(Таблица_pr5[[#This Row],[Удельное сопротивление грунта, Ом·м]])),AH27/SQRT(Таблица_pr5[[#This Row],[Удельное сопротивление грунта, Ом·м]]))</f>
        <v>12.403473458923667</v>
      </c>
      <c r="AJ27" s="61">
        <v>22</v>
      </c>
      <c r="AK27" s="64">
        <v>162</v>
      </c>
      <c r="AL27" s="52">
        <v>512.70000000000368</v>
      </c>
      <c r="AM27" s="67">
        <v>40.4</v>
      </c>
      <c r="AN27" s="61">
        <f t="shared" si="7"/>
        <v>100.00000000002274</v>
      </c>
      <c r="AO27" s="61">
        <f>IFERROR(IF(AL27-AL26&lt;=0,"",AN27/SQRT(Таблица_pr6[[#This Row],[Удельное сопротивление грунта, Ом·м]])),AN27/SQRT(Таблица_pr6[[#This Row],[Удельное сопротивление грунта, Ом·м]]))</f>
        <v>15.732919388192393</v>
      </c>
      <c r="AU27" s="61" t="str">
        <f>IFERROR(IF(AR27-AR26&lt;=0,"",AT27/SQRT(Таблица_pr7[[#This Row],[Удельное сопротивление грунта, Ом·м]])),AT27/SQRT(Таблица_pr7[[#This Row],[Удельное сопротивление грунта, Ом·м]]))</f>
        <v/>
      </c>
      <c r="AV27" s="61">
        <v>22</v>
      </c>
      <c r="AW27" s="64">
        <v>212</v>
      </c>
      <c r="AX27" s="52">
        <v>517.70000000000482</v>
      </c>
      <c r="AY27" s="67">
        <v>118.6</v>
      </c>
      <c r="AZ27" s="61">
        <f t="shared" si="9"/>
        <v>100.00000000002274</v>
      </c>
      <c r="BA27" s="61">
        <f>IFERROR(IF(AX27-AX26&lt;=0,"",AZ27/SQRT(Таблица_pr8[[#This Row],[Удельное сопротивление грунта, Ом·м]])),AZ27/SQRT(Таблица_pr8[[#This Row],[Удельное сопротивление грунта, Ом·м]]))</f>
        <v>9.182430617244572</v>
      </c>
      <c r="BB27" s="76">
        <v>22</v>
      </c>
      <c r="BC27" s="64">
        <v>242</v>
      </c>
      <c r="BD27" s="52">
        <v>520.7000000000055</v>
      </c>
      <c r="BE27" s="67">
        <v>265.7</v>
      </c>
      <c r="BF27" s="61">
        <f t="shared" si="10"/>
        <v>100.00000000002274</v>
      </c>
      <c r="BG27" s="61">
        <f>IFERROR(IF(BD27-AX46&lt;=0,"",BF27/SQRT(Таблица_pr9[[#This Row],[Удельное сопротивление грунта, Ом·м]])),BF27/SQRT(Таблица_pr9[[#This Row],[Удельное сопротивление грунта, Ом·м]]))</f>
        <v>6.134853874890358</v>
      </c>
      <c r="BH27" s="61">
        <v>22</v>
      </c>
      <c r="BI27" s="64">
        <v>272</v>
      </c>
      <c r="BJ27" s="52">
        <v>523.70000000000618</v>
      </c>
      <c r="BK27" s="67">
        <v>55.1</v>
      </c>
      <c r="BL27" s="61">
        <f t="shared" si="11"/>
        <v>100.00000000002274</v>
      </c>
      <c r="BM27" s="61">
        <f>IFERROR(IF(BJ27-BD56&lt;=0,"",BL27/SQRT(Таблица_pr10[[#This Row],[Удельное сопротивление грунта, Ом·м]])),BL27/SQRT(Таблица_pr10[[#This Row],[Удельное сопротивление грунта, Ом·м]]))</f>
        <v>13.471755760362869</v>
      </c>
      <c r="BT27">
        <v>3.2499999999999998E-6</v>
      </c>
      <c r="BU27"/>
      <c r="BV27"/>
      <c r="BW27"/>
      <c r="BX27">
        <v>3.2499999999999998E-6</v>
      </c>
      <c r="BY27"/>
      <c r="BZ27"/>
      <c r="CA27"/>
      <c r="CC27"/>
      <c r="CD27"/>
      <c r="CE27"/>
      <c r="CG27" s="47"/>
      <c r="CK27" s="47"/>
      <c r="CO27" s="47"/>
      <c r="CS27" s="47"/>
      <c r="CW27" s="47"/>
      <c r="DA27" s="47"/>
      <c r="DE27" s="47"/>
    </row>
    <row r="28" spans="1:134">
      <c r="A28" s="64">
        <v>23</v>
      </c>
      <c r="B28" s="49">
        <v>498.70000000000101</v>
      </c>
      <c r="C28" s="65">
        <v>80.099999999999994</v>
      </c>
      <c r="D28" s="61">
        <f t="shared" si="1"/>
        <v>100.00000000098908</v>
      </c>
      <c r="E28" s="61">
        <f>IFERROR(IF(B28-B27&lt;=0,"",D28/SQRT(Таблица_pr[[#This Row],[Удельное сопротивление грунта, Ом·м]])),D28/SQRT(Таблица_pr[[#This Row],[Удельное сопротивление грунта, Ом·м]]))</f>
        <v>11.173358719343694</v>
      </c>
      <c r="G28" s="188">
        <v>23</v>
      </c>
      <c r="H28" s="175">
        <v>498.70000000000101</v>
      </c>
      <c r="I28" s="176">
        <v>80.099999999999994</v>
      </c>
      <c r="J28" s="181">
        <f t="shared" si="2"/>
        <v>100.00000000098908</v>
      </c>
      <c r="K28" s="61">
        <f>IFERROR(IF(H28-H27&lt;=0,"",J28/SQRT(Таблица_pr1[[#This Row],[Удельное сопротивление грунта, Ом·м]])),J28/SQRT(Таблица_pr1[[#This Row],[Удельное сопротивление грунта, Ом·м]]))</f>
        <v>11.173358719343694</v>
      </c>
      <c r="L28" s="61">
        <v>23</v>
      </c>
      <c r="M28" s="51">
        <v>51</v>
      </c>
      <c r="N28" s="49">
        <v>501.50000000000114</v>
      </c>
      <c r="O28" s="50">
        <v>78.3</v>
      </c>
      <c r="P28" s="61">
        <f t="shared" si="3"/>
        <v>100.00000000002274</v>
      </c>
      <c r="Q28" s="61">
        <f>IFERROR(IF(N28-N27&lt;=0,"",P28/SQRT(Таблица_pr2[[#This Row],[Удельное сопротивление грунта, Ом·м]])),P28/SQRT(Таблица_pr2[[#This Row],[Удельное сопротивление грунта, Ом·м]]))</f>
        <v>11.301058393682743</v>
      </c>
      <c r="R28" s="76">
        <v>23</v>
      </c>
      <c r="S28" s="51">
        <v>78</v>
      </c>
      <c r="T28" s="49">
        <v>504.20000000000175</v>
      </c>
      <c r="U28" s="50">
        <v>42</v>
      </c>
      <c r="V28" s="61">
        <f t="shared" si="12"/>
        <v>100.00000000002274</v>
      </c>
      <c r="W28" s="61">
        <f>IFERROR(IF(T28-T27&lt;=0,"",V28/SQRT(Таблица_pr3[[#This Row],[Удельное сопротивление грунта, Ом·м]])),V28/SQRT(Таблица_pr3[[#This Row],[Удельное сопротивление грунта, Ом·м]]))</f>
        <v>15.430334996212698</v>
      </c>
      <c r="X28" s="61">
        <v>23</v>
      </c>
      <c r="Y28" s="51">
        <v>106</v>
      </c>
      <c r="Z28" s="52">
        <v>507.00000000000239</v>
      </c>
      <c r="AA28" s="50">
        <v>48.3</v>
      </c>
      <c r="AB28" s="61">
        <f t="shared" si="5"/>
        <v>100.00000000002274</v>
      </c>
      <c r="AC28" s="61">
        <f>IFERROR(IF(Z28-Z27&lt;=0,"",AB28/SQRT(Таблица_pr4[[#This Row],[Удельное сопротивление грунта, Ом·м]])),AB28/SQRT(Таблица_pr4[[#This Row],[Удельное сопротивление грунта, Ом·м]]))</f>
        <v>14.388861576727127</v>
      </c>
      <c r="AD28" s="76">
        <v>23</v>
      </c>
      <c r="AE28" s="64">
        <v>133</v>
      </c>
      <c r="AF28" s="52">
        <v>509.80000000000302</v>
      </c>
      <c r="AG28" s="67">
        <v>52.9</v>
      </c>
      <c r="AH28" s="61">
        <f t="shared" si="6"/>
        <v>100.00000000002274</v>
      </c>
      <c r="AI28" s="61">
        <f>IFERROR(IF(AF28-AF27&lt;=0,"",AH28/SQRT(Таблица_pr5[[#This Row],[Удельное сопротивление грунта, Ом·м]])),AH28/SQRT(Таблица_pr5[[#This Row],[Удельное сопротивление грунта, Ом·м]]))</f>
        <v>13.749033305083037</v>
      </c>
      <c r="AJ28" s="61">
        <v>23</v>
      </c>
      <c r="AK28" s="64">
        <v>163</v>
      </c>
      <c r="AL28" s="52">
        <v>512.80000000000371</v>
      </c>
      <c r="AM28" s="67">
        <v>43</v>
      </c>
      <c r="AN28" s="61">
        <f t="shared" si="7"/>
        <v>100.00000000002274</v>
      </c>
      <c r="AO28" s="61">
        <f>IFERROR(IF(AL28-AL27&lt;=0,"",AN28/SQRT(Таблица_pr6[[#This Row],[Удельное сопротивление грунта, Ом·м]])),AN28/SQRT(Таблица_pr6[[#This Row],[Удельное сопротивление грунта, Ом·м]]))</f>
        <v>15.249857033263934</v>
      </c>
      <c r="AU28" s="61" t="str">
        <f>IFERROR(IF(AR28-AR27&lt;=0,"",AT28/SQRT(Таблица_pr7[[#This Row],[Удельное сопротивление грунта, Ом·м]])),AT28/SQRT(Таблица_pr7[[#This Row],[Удельное сопротивление грунта, Ом·м]]))</f>
        <v/>
      </c>
      <c r="AV28" s="61">
        <v>23</v>
      </c>
      <c r="AW28" s="64">
        <v>213</v>
      </c>
      <c r="AX28" s="52">
        <v>517.80000000000484</v>
      </c>
      <c r="AY28" s="67">
        <v>117.4</v>
      </c>
      <c r="AZ28" s="61">
        <f t="shared" si="9"/>
        <v>100.00000000002274</v>
      </c>
      <c r="BA28" s="61">
        <f>IFERROR(IF(AX28-AX27&lt;=0,"",AZ28/SQRT(Таблица_pr8[[#This Row],[Удельное сопротивление грунта, Ом·м]])),AZ28/SQRT(Таблица_pr8[[#This Row],[Удельное сопротивление грунта, Ом·м]]))</f>
        <v>9.2292402525278483</v>
      </c>
      <c r="BB28" s="76">
        <v>23</v>
      </c>
      <c r="BC28" s="64">
        <v>243</v>
      </c>
      <c r="BD28" s="52">
        <v>520.80000000000553</v>
      </c>
      <c r="BE28" s="67">
        <v>161.69999999999999</v>
      </c>
      <c r="BF28" s="61">
        <f t="shared" si="10"/>
        <v>100.00000000002274</v>
      </c>
      <c r="BG28" s="61">
        <f>IFERROR(IF(BD28-AX47&lt;=0,"",BF28/SQRT(Таблица_pr9[[#This Row],[Удельное сопротивление грунта, Ом·м]])),BF28/SQRT(Таблица_pr9[[#This Row],[Удельное сопротивление грунта, Ом·м]]))</f>
        <v>7.8640268937615065</v>
      </c>
      <c r="BH28" s="61">
        <v>23</v>
      </c>
      <c r="BI28" s="64">
        <v>273</v>
      </c>
      <c r="BJ28" s="52">
        <v>523.80000000000621</v>
      </c>
      <c r="BK28" s="67">
        <v>49</v>
      </c>
      <c r="BL28" s="61">
        <f t="shared" si="11"/>
        <v>100.00000000002274</v>
      </c>
      <c r="BM28" s="61">
        <f>IFERROR(IF(BJ28-BD57&lt;=0,"",BL28/SQRT(Таблица_pr10[[#This Row],[Удельное сопротивление грунта, Ом·м]])),BL28/SQRT(Таблица_pr10[[#This Row],[Удельное сопротивление грунта, Ом·м]]))</f>
        <v>14.285714285717534</v>
      </c>
      <c r="BU28"/>
      <c r="BV28"/>
      <c r="BW28"/>
      <c r="BY28"/>
      <c r="BZ28"/>
      <c r="CA28"/>
      <c r="CC28"/>
      <c r="CD28"/>
      <c r="CE28"/>
      <c r="CG28" s="47"/>
      <c r="CK28" s="47"/>
      <c r="CO28" s="47"/>
      <c r="CS28" s="47"/>
      <c r="CW28" s="47"/>
      <c r="DA28" s="47"/>
      <c r="DE28" s="47"/>
    </row>
    <row r="29" spans="1:134">
      <c r="A29" s="64">
        <v>24</v>
      </c>
      <c r="B29" s="49">
        <v>498.80000000000098</v>
      </c>
      <c r="C29" s="65">
        <v>85</v>
      </c>
      <c r="D29" s="61">
        <f t="shared" si="1"/>
        <v>99.999999999965894</v>
      </c>
      <c r="E29" s="61">
        <f>IFERROR(IF(B29-B28&lt;=0,"",D29/SQRT(Таблица_pr[[#This Row],[Удельное сопротивление грунта, Ом·м]])),D29/SQRT(Таблица_pr[[#This Row],[Удельное сопротивление грунта, Ом·м]]))</f>
        <v>10.84652289092911</v>
      </c>
      <c r="G29" s="189">
        <v>24</v>
      </c>
      <c r="H29" s="178">
        <v>498.80000000000098</v>
      </c>
      <c r="I29" s="179">
        <v>85</v>
      </c>
      <c r="J29" s="180">
        <f t="shared" si="2"/>
        <v>99.999999999965894</v>
      </c>
      <c r="K29" s="61">
        <f>IFERROR(IF(H29-H28&lt;=0,"",J29/SQRT(Таблица_pr1[[#This Row],[Удельное сопротивление грунта, Ом·м]])),J29/SQRT(Таблица_pr1[[#This Row],[Удельное сопротивление грунта, Ом·м]]))</f>
        <v>10.84652289092911</v>
      </c>
      <c r="L29" s="61">
        <v>24</v>
      </c>
      <c r="M29" s="51">
        <v>52</v>
      </c>
      <c r="N29" s="49">
        <v>501.60000000000116</v>
      </c>
      <c r="O29" s="50">
        <v>70.2</v>
      </c>
      <c r="P29" s="61">
        <f t="shared" si="3"/>
        <v>100.00000000002274</v>
      </c>
      <c r="Q29" s="61">
        <f>IFERROR(IF(N29-N28&lt;=0,"",P29/SQRT(Таблица_pr2[[#This Row],[Удельное сопротивление грунта, Ом·м]])),P29/SQRT(Таблица_pr2[[#This Row],[Удельное сопротивление грунта, Ом·м]]))</f>
        <v>11.935247900659929</v>
      </c>
      <c r="R29" s="76">
        <v>24</v>
      </c>
      <c r="S29" s="51">
        <v>79</v>
      </c>
      <c r="T29" s="49">
        <v>504.30000000000177</v>
      </c>
      <c r="U29" s="50">
        <v>39.9</v>
      </c>
      <c r="V29" s="61">
        <f t="shared" si="12"/>
        <v>100.00000000002274</v>
      </c>
      <c r="W29" s="61">
        <f>IFERROR(IF(T29-T28&lt;=0,"",V29/SQRT(Таблица_pr3[[#This Row],[Удельное сопротивление грунта, Ом·м]])),V29/SQRT(Таблица_pr3[[#This Row],[Удельное сопротивление грунта, Ом·м]]))</f>
        <v>15.831189671536189</v>
      </c>
      <c r="X29" s="61">
        <v>24</v>
      </c>
      <c r="Y29" s="51">
        <v>107</v>
      </c>
      <c r="Z29" s="52">
        <v>507.10000000000241</v>
      </c>
      <c r="AA29" s="50">
        <v>92.9</v>
      </c>
      <c r="AB29" s="61">
        <f t="shared" si="5"/>
        <v>100.00000000002274</v>
      </c>
      <c r="AC29" s="61">
        <f>IFERROR(IF(Z29-Z28&lt;=0,"",AB29/SQRT(Таблица_pr4[[#This Row],[Удельное сопротивление грунта, Ом·м]])),AB29/SQRT(Таблица_pr4[[#This Row],[Удельное сопротивление грунта, Ом·м]]))</f>
        <v>10.375096456425601</v>
      </c>
      <c r="AD29" s="76">
        <v>24</v>
      </c>
      <c r="AE29" s="64">
        <v>134</v>
      </c>
      <c r="AF29" s="52">
        <v>509.90000000000305</v>
      </c>
      <c r="AG29" s="67">
        <v>58.3</v>
      </c>
      <c r="AH29" s="61">
        <f t="shared" si="6"/>
        <v>100.00000000002274</v>
      </c>
      <c r="AI29" s="61">
        <f>IFERROR(IF(AF29-AF28&lt;=0,"",AH29/SQRT(Таблица_pr5[[#This Row],[Удельное сопротивление грунта, Ом·м]])),AH29/SQRT(Таблица_pr5[[#This Row],[Удельное сопротивление грунта, Ом·м]]))</f>
        <v>13.096815896278159</v>
      </c>
      <c r="AJ29" s="61">
        <v>24</v>
      </c>
      <c r="AK29" s="64">
        <v>164</v>
      </c>
      <c r="AL29" s="52">
        <v>512.90000000000373</v>
      </c>
      <c r="AM29" s="67">
        <v>36</v>
      </c>
      <c r="AN29" s="61">
        <f t="shared" si="7"/>
        <v>100.00000000002274</v>
      </c>
      <c r="AO29" s="61">
        <f>IFERROR(IF(AL29-AL28&lt;=0,"",AN29/SQRT(Таблица_pr6[[#This Row],[Удельное сопротивление грунта, Ом·м]])),AN29/SQRT(Таблица_pr6[[#This Row],[Удельное сопротивление грунта, Ом·м]]))</f>
        <v>16.666666666670455</v>
      </c>
      <c r="AU29" s="61" t="str">
        <f>IFERROR(IF(AR29-AR28&lt;=0,"",AT29/SQRT(Таблица_pr7[[#This Row],[Удельное сопротивление грунта, Ом·м]])),AT29/SQRT(Таблица_pr7[[#This Row],[Удельное сопротивление грунта, Ом·м]]))</f>
        <v/>
      </c>
      <c r="AV29" s="61">
        <v>24</v>
      </c>
      <c r="AW29" s="64">
        <v>214</v>
      </c>
      <c r="AX29" s="52">
        <v>517.90000000000487</v>
      </c>
      <c r="AY29" s="67">
        <v>81.099999999999994</v>
      </c>
      <c r="AZ29" s="61">
        <f t="shared" si="9"/>
        <v>100.00000000002274</v>
      </c>
      <c r="BA29" s="61">
        <f>IFERROR(IF(AX29-AX28&lt;=0,"",AZ29/SQRT(Таблица_pr8[[#This Row],[Удельное сопротивление грунта, Ом·м]])),AZ29/SQRT(Таблица_pr8[[#This Row],[Удельное сопротивление грунта, Ом·м]]))</f>
        <v>11.104258744682603</v>
      </c>
      <c r="BB29" s="76">
        <v>24</v>
      </c>
      <c r="BC29" s="64">
        <v>244</v>
      </c>
      <c r="BD29" s="52">
        <v>520.90000000000555</v>
      </c>
      <c r="BE29" s="67">
        <v>126.8</v>
      </c>
      <c r="BF29" s="61">
        <f t="shared" si="10"/>
        <v>100.00000000002274</v>
      </c>
      <c r="BG29" s="61">
        <f>IFERROR(IF(BD29-AX48&lt;=0,"",BF29/SQRT(Таблица_pr9[[#This Row],[Удельное сопротивление грунта, Ом·м]])),BF29/SQRT(Таблица_pr9[[#This Row],[Удельное сопротивление грунта, Ом·м]]))</f>
        <v>8.8805604165693683</v>
      </c>
      <c r="BH29" s="61">
        <v>24</v>
      </c>
      <c r="BI29" s="64">
        <v>274</v>
      </c>
      <c r="BJ29" s="52">
        <v>523.90000000000623</v>
      </c>
      <c r="BK29" s="67">
        <v>51.2</v>
      </c>
      <c r="BL29" s="61">
        <f t="shared" si="11"/>
        <v>100.00000000002274</v>
      </c>
      <c r="BM29" s="61">
        <f>IFERROR(IF(BJ29-BD58&lt;=0,"",BL29/SQRT(Таблица_pr10[[#This Row],[Удельное сопротивление грунта, Ом·м]])),BL29/SQRT(Таблица_pr10[[#This Row],[Удельное сопротивление грунта, Ом·м]]))</f>
        <v>13.975424859376863</v>
      </c>
      <c r="BU29"/>
      <c r="BV29"/>
      <c r="BW29"/>
      <c r="BY29"/>
      <c r="BZ29"/>
      <c r="CA29"/>
      <c r="CC29"/>
      <c r="CD29"/>
      <c r="CE29"/>
      <c r="CG29" s="47"/>
      <c r="CK29" s="47"/>
      <c r="CO29" s="47"/>
      <c r="CS29" s="47"/>
      <c r="CW29" s="47"/>
      <c r="DA29" s="47"/>
      <c r="DE29" s="47"/>
    </row>
    <row r="30" spans="1:134">
      <c r="A30" s="64">
        <v>25</v>
      </c>
      <c r="B30" s="49">
        <v>498.900000000001</v>
      </c>
      <c r="C30" s="65">
        <v>72.5</v>
      </c>
      <c r="D30" s="61">
        <f t="shared" si="1"/>
        <v>100.00000000002274</v>
      </c>
      <c r="E30" s="61">
        <f>IFERROR(IF(B30-B29&lt;=0,"",D30/SQRT(Таблица_pr[[#This Row],[Удельное сопротивление грунта, Ом·м]])),D30/SQRT(Таблица_pr[[#This Row],[Удельное сопротивление грунта, Ом·м]]))</f>
        <v>11.744404390296738</v>
      </c>
      <c r="G30" s="188">
        <v>25</v>
      </c>
      <c r="H30" s="175">
        <v>498.900000000001</v>
      </c>
      <c r="I30" s="176">
        <v>72.5</v>
      </c>
      <c r="J30" s="181">
        <f t="shared" si="2"/>
        <v>100.00000000002274</v>
      </c>
      <c r="K30" s="61">
        <f>IFERROR(IF(H30-H29&lt;=0,"",J30/SQRT(Таблица_pr1[[#This Row],[Удельное сопротивление грунта, Ом·м]])),J30/SQRT(Таблица_pr1[[#This Row],[Удельное сопротивление грунта, Ом·м]]))</f>
        <v>11.744404390296738</v>
      </c>
      <c r="L30" s="61">
        <v>25</v>
      </c>
      <c r="M30" s="51">
        <v>53</v>
      </c>
      <c r="N30" s="49">
        <v>501.70000000000118</v>
      </c>
      <c r="O30" s="50">
        <v>70.5</v>
      </c>
      <c r="P30" s="61">
        <f t="shared" si="3"/>
        <v>100.00000000002274</v>
      </c>
      <c r="Q30" s="61">
        <f>IFERROR(IF(N30-N29&lt;=0,"",P30/SQRT(Таблица_pr2[[#This Row],[Удельное сопротивление грунта, Ом·м]])),P30/SQRT(Таблица_pr2[[#This Row],[Удельное сопротивление грунта, Ом·м]]))</f>
        <v>11.909826683510982</v>
      </c>
      <c r="R30" s="76">
        <v>25</v>
      </c>
      <c r="S30" s="51">
        <v>80</v>
      </c>
      <c r="T30" s="49">
        <v>504.4000000000018</v>
      </c>
      <c r="U30" s="50">
        <v>48.6</v>
      </c>
      <c r="V30" s="61">
        <f t="shared" si="12"/>
        <v>100.00000000002274</v>
      </c>
      <c r="W30" s="61">
        <f>IFERROR(IF(T30-T29&lt;=0,"",V30/SQRT(Таблица_pr3[[#This Row],[Удельное сопротивление грунта, Ом·м]])),V30/SQRT(Таблица_pr3[[#This Row],[Удельное сопротивление грунта, Ом·м]]))</f>
        <v>14.344382763734435</v>
      </c>
      <c r="X30" s="61">
        <v>25</v>
      </c>
      <c r="Y30" s="51">
        <v>108</v>
      </c>
      <c r="Z30" s="52">
        <v>507.20000000000243</v>
      </c>
      <c r="AA30" s="50">
        <v>45.9</v>
      </c>
      <c r="AB30" s="61">
        <f t="shared" si="5"/>
        <v>100.00000000002274</v>
      </c>
      <c r="AC30" s="61">
        <f>IFERROR(IF(Z30-Z29&lt;=0,"",AB30/SQRT(Таблица_pr4[[#This Row],[Удельное сопротивление грунта, Ом·м]])),AB30/SQRT(Таблица_pr4[[#This Row],[Удельное сопротивление грунта, Ом·м]]))</f>
        <v>14.760248092338278</v>
      </c>
      <c r="AD30" s="76">
        <v>25</v>
      </c>
      <c r="AE30" s="64">
        <v>135</v>
      </c>
      <c r="AF30" s="52">
        <v>510.00000000000307</v>
      </c>
      <c r="AG30" s="67">
        <v>62.5</v>
      </c>
      <c r="AH30" s="61">
        <f t="shared" si="6"/>
        <v>100.00000000002274</v>
      </c>
      <c r="AI30" s="61">
        <f>IFERROR(IF(AF30-AF29&lt;=0,"",AH30/SQRT(Таблица_pr5[[#This Row],[Удельное сопротивление грунта, Ом·м]])),AH30/SQRT(Таблица_pr5[[#This Row],[Удельное сопротивление грунта, Ом·м]]))</f>
        <v>12.649110640676394</v>
      </c>
      <c r="AJ30" s="61">
        <v>25</v>
      </c>
      <c r="AK30" s="64">
        <v>165</v>
      </c>
      <c r="AL30" s="52">
        <v>513.00000000000375</v>
      </c>
      <c r="AM30" s="67">
        <v>39.299999999999997</v>
      </c>
      <c r="AN30" s="61">
        <f t="shared" si="7"/>
        <v>100.00000000002274</v>
      </c>
      <c r="AO30" s="61">
        <f>IFERROR(IF(AL30-AL29&lt;=0,"",AN30/SQRT(Таблица_pr6[[#This Row],[Удельное сопротивление грунта, Ом·м]])),AN30/SQRT(Таблица_pr6[[#This Row],[Удельное сопротивление грунта, Ом·м]]))</f>
        <v>15.951580680571038</v>
      </c>
      <c r="AU30" s="61" t="str">
        <f>IFERROR(IF(AR30-AR29&lt;=0,"",AT30/SQRT(Таблица_pr7[[#This Row],[Удельное сопротивление грунта, Ом·м]])),AT30/SQRT(Таблица_pr7[[#This Row],[Удельное сопротивление грунта, Ом·м]]))</f>
        <v/>
      </c>
      <c r="AV30" s="61">
        <v>25</v>
      </c>
      <c r="AW30" s="64">
        <v>215</v>
      </c>
      <c r="AX30" s="52">
        <v>518.00000000000489</v>
      </c>
      <c r="AY30" s="67">
        <v>94.6</v>
      </c>
      <c r="AZ30" s="61">
        <f t="shared" si="9"/>
        <v>100.00000000002274</v>
      </c>
      <c r="BA30" s="61">
        <f>IFERROR(IF(AX30-AX29&lt;=0,"",AZ30/SQRT(Таблица_pr8[[#This Row],[Удельное сопротивление грунта, Ом·м]])),AZ30/SQRT(Таблица_pr8[[#This Row],[Удельное сопротивление грунта, Ом·м]]))</f>
        <v>10.28145151441065</v>
      </c>
      <c r="BB30" s="76">
        <v>25</v>
      </c>
      <c r="BC30" s="64">
        <v>245</v>
      </c>
      <c r="BD30" s="52">
        <v>521.00000000000557</v>
      </c>
      <c r="BE30" s="67">
        <v>193.9</v>
      </c>
      <c r="BF30" s="61">
        <f t="shared" si="10"/>
        <v>100.00000000002274</v>
      </c>
      <c r="BG30" s="61">
        <f>IFERROR(IF(BD30-AX49&lt;=0,"",BF30/SQRT(Таблица_pr9[[#This Row],[Удельное сопротивление грунта, Ом·м]])),BF30/SQRT(Таблица_pr9[[#This Row],[Удельное сопротивление грунта, Ом·м]]))</f>
        <v>7.1814327094755157</v>
      </c>
      <c r="BH30" s="61">
        <v>25</v>
      </c>
      <c r="BI30" s="64">
        <v>275</v>
      </c>
      <c r="BJ30" s="52">
        <v>524.00000000000625</v>
      </c>
      <c r="BK30" s="67">
        <v>50.7</v>
      </c>
      <c r="BL30" s="61">
        <f t="shared" si="11"/>
        <v>100.00000000002274</v>
      </c>
      <c r="BM30" s="61">
        <f>IFERROR(IF(BJ30-BD59&lt;=0,"",BL30/SQRT(Таблица_pr10[[#This Row],[Удельное сопротивление грунта, Ом·м]])),BL30/SQRT(Таблица_pr10[[#This Row],[Удельное сопротивление грунта, Ом·м]]))</f>
        <v>14.044168141161299</v>
      </c>
      <c r="BU30" s="47"/>
      <c r="BY30" s="47"/>
      <c r="CC30" s="47"/>
      <c r="CG30" s="47"/>
      <c r="CK30" s="47"/>
      <c r="CO30" s="47"/>
      <c r="CS30" s="47"/>
      <c r="CW30" s="47"/>
      <c r="DA30" s="47"/>
      <c r="DE30" s="47"/>
    </row>
    <row r="31" spans="1:134">
      <c r="A31" s="64">
        <v>26</v>
      </c>
      <c r="B31" s="49">
        <v>499.00000000000102</v>
      </c>
      <c r="C31" s="65">
        <v>130.1</v>
      </c>
      <c r="D31" s="61">
        <f t="shared" si="1"/>
        <v>100.00000000002274</v>
      </c>
      <c r="E31" s="61">
        <f>IFERROR(IF(B31-B30&lt;=0,"",D31/SQRT(Таблица_pr[[#This Row],[Удельное сопротивление грунта, Ом·м]])),D31/SQRT(Таблица_pr[[#This Row],[Удельное сопротивление грунта, Ом·м]]))</f>
        <v>8.7672088378860025</v>
      </c>
      <c r="G31" s="189">
        <v>26</v>
      </c>
      <c r="H31" s="178">
        <v>499.00000000000102</v>
      </c>
      <c r="I31" s="179">
        <v>130.1</v>
      </c>
      <c r="J31" s="180">
        <f t="shared" si="2"/>
        <v>100.00000000002274</v>
      </c>
      <c r="K31" s="61">
        <f>IFERROR(IF(H31-H30&lt;=0,"",J31/SQRT(Таблица_pr1[[#This Row],[Удельное сопротивление грунта, Ом·м]])),J31/SQRT(Таблица_pr1[[#This Row],[Удельное сопротивление грунта, Ом·м]]))</f>
        <v>8.7672088378860025</v>
      </c>
      <c r="L31" s="61">
        <v>26</v>
      </c>
      <c r="M31" s="51">
        <v>54</v>
      </c>
      <c r="N31" s="49">
        <v>501.80000000000121</v>
      </c>
      <c r="O31" s="50">
        <v>74.3</v>
      </c>
      <c r="P31" s="61">
        <f t="shared" si="3"/>
        <v>100.00000000002274</v>
      </c>
      <c r="Q31" s="61">
        <f>IFERROR(IF(N31-N30&lt;=0,"",P31/SQRT(Таблица_pr2[[#This Row],[Удельное сопротивление грунта, Ом·м]])),P31/SQRT(Таблица_pr2[[#This Row],[Удельное сопротивление грунта, Ом·м]]))</f>
        <v>11.601271569052408</v>
      </c>
      <c r="R31" s="76">
        <v>26</v>
      </c>
      <c r="S31" s="51">
        <v>81</v>
      </c>
      <c r="T31" s="52">
        <v>504.50000000000182</v>
      </c>
      <c r="U31" s="50">
        <v>45.9</v>
      </c>
      <c r="V31" s="61">
        <f t="shared" si="12"/>
        <v>100.00000000002274</v>
      </c>
      <c r="W31" s="61">
        <f>IFERROR(IF(T31-T30&lt;=0,"",V31/SQRT(Таблица_pr3[[#This Row],[Удельное сопротивление грунта, Ом·м]])),V31/SQRT(Таблица_pr3[[#This Row],[Удельное сопротивление грунта, Ом·м]]))</f>
        <v>14.760248092338278</v>
      </c>
      <c r="X31" s="61">
        <v>26</v>
      </c>
      <c r="Y31" s="51">
        <v>109</v>
      </c>
      <c r="Z31" s="52">
        <v>507.30000000000246</v>
      </c>
      <c r="AA31" s="50">
        <v>44.4</v>
      </c>
      <c r="AB31" s="61">
        <f t="shared" si="5"/>
        <v>100.00000000002274</v>
      </c>
      <c r="AC31" s="61">
        <f>IFERROR(IF(Z31-Z30&lt;=0,"",AB31/SQRT(Таблица_pr4[[#This Row],[Удельное сопротивление грунта, Ом·м]])),AB31/SQRT(Таблица_pr4[[#This Row],[Удельное сопротивление грунта, Ом·м]]))</f>
        <v>15.007505629695018</v>
      </c>
      <c r="AD31" s="76">
        <v>26</v>
      </c>
      <c r="AE31" s="64">
        <v>136</v>
      </c>
      <c r="AF31" s="52">
        <v>510.10000000000309</v>
      </c>
      <c r="AG31" s="67">
        <v>71</v>
      </c>
      <c r="AH31" s="61">
        <f t="shared" si="6"/>
        <v>100.00000000002274</v>
      </c>
      <c r="AI31" s="61">
        <f>IFERROR(IF(AF31-AF30&lt;=0,"",AH31/SQRT(Таблица_pr5[[#This Row],[Удельное сопротивление грунта, Ом·м]])),AH31/SQRT(Таблица_pr5[[#This Row],[Удельное сопротивление грунта, Ом·м]]))</f>
        <v>11.867816581941231</v>
      </c>
      <c r="AJ31" s="61">
        <v>26</v>
      </c>
      <c r="AK31" s="64">
        <v>166</v>
      </c>
      <c r="AL31" s="52">
        <v>513.10000000000377</v>
      </c>
      <c r="AM31" s="67">
        <v>55.3</v>
      </c>
      <c r="AN31" s="61">
        <f t="shared" si="7"/>
        <v>100.00000000002274</v>
      </c>
      <c r="AO31" s="61">
        <f>IFERROR(IF(AL31-AL30&lt;=0,"",AN31/SQRT(Таблица_pr6[[#This Row],[Удельное сопротивление грунта, Ом·м]])),AN31/SQRT(Таблица_pr6[[#This Row],[Удельное сопротивление грунта, Ом·м]]))</f>
        <v>13.447372472030693</v>
      </c>
      <c r="AU31" s="61" t="str">
        <f>IFERROR(IF(AR31-AR30&lt;=0,"",AT31/SQRT(Таблица_pr7[[#This Row],[Удельное сопротивление грунта, Ом·м]])),AT31/SQRT(Таблица_pr7[[#This Row],[Удельное сопротивление грунта, Ом·м]]))</f>
        <v/>
      </c>
      <c r="AV31" s="61">
        <v>26</v>
      </c>
      <c r="AW31" s="64">
        <v>216</v>
      </c>
      <c r="AX31" s="52">
        <v>518.10000000000491</v>
      </c>
      <c r="AY31" s="67">
        <v>152</v>
      </c>
      <c r="AZ31" s="61">
        <f t="shared" si="9"/>
        <v>100.00000000002274</v>
      </c>
      <c r="BA31" s="61">
        <f>IFERROR(IF(AX31-AX30&lt;=0,"",AZ31/SQRT(Таблица_pr8[[#This Row],[Удельное сопротивление грунта, Ом·м]])),AZ31/SQRT(Таблица_pr8[[#This Row],[Удельное сопротивление грунта, Ом·м]]))</f>
        <v>8.1110710565399717</v>
      </c>
      <c r="BB31" s="76">
        <v>26</v>
      </c>
      <c r="BC31" s="64">
        <v>246</v>
      </c>
      <c r="BD31" s="52">
        <v>521.10000000000559</v>
      </c>
      <c r="BE31" s="67">
        <v>38</v>
      </c>
      <c r="BF31" s="61">
        <f t="shared" si="10"/>
        <v>100.00000000002274</v>
      </c>
      <c r="BG31" s="61">
        <f>IFERROR(IF(BD31-AX50&lt;=0,"",BF31/SQRT(Таблица_pr9[[#This Row],[Удельное сопротивление грунта, Ом·м]])),BF31/SQRT(Таблица_pr9[[#This Row],[Удельное сопротивление грунта, Ом·м]]))</f>
        <v>16.222142113079943</v>
      </c>
      <c r="BH31" s="61">
        <v>26</v>
      </c>
      <c r="BI31" s="64">
        <v>276</v>
      </c>
      <c r="BJ31" s="52">
        <v>524.10000000000628</v>
      </c>
      <c r="BK31" s="67">
        <v>48.9</v>
      </c>
      <c r="BL31" s="61">
        <f t="shared" si="11"/>
        <v>100.00000000002274</v>
      </c>
      <c r="BM31" s="61">
        <f>IFERROR(IF(BJ31-BD60&lt;=0,"",BL31/SQRT(Таблица_pr10[[#This Row],[Удельное сопротивление грунта, Ом·м]])),BL31/SQRT(Таблица_pr10[[#This Row],[Удельное сопротивление грунта, Ом·м]]))</f>
        <v>14.300313895338293</v>
      </c>
    </row>
    <row r="32" spans="1:134">
      <c r="A32" s="64">
        <v>27</v>
      </c>
      <c r="B32" s="49">
        <v>499.10000000000099</v>
      </c>
      <c r="C32" s="65">
        <v>74.5</v>
      </c>
      <c r="D32" s="61">
        <f t="shared" si="1"/>
        <v>99.999999999965894</v>
      </c>
      <c r="E32" s="61">
        <f>IFERROR(IF(B32-B31&lt;=0,"",D32/SQRT(Таблица_pr[[#This Row],[Удельное сопротивление грунта, Ом·м]])),D32/SQRT(Таблица_pr[[#This Row],[Удельное сопротивление грунта, Ом·м]]))</f>
        <v>11.585688927265894</v>
      </c>
      <c r="G32" s="188">
        <v>27</v>
      </c>
      <c r="H32" s="175">
        <v>499.10000000000099</v>
      </c>
      <c r="I32" s="176">
        <v>74.5</v>
      </c>
      <c r="J32" s="181">
        <f t="shared" si="2"/>
        <v>99.999999999965894</v>
      </c>
      <c r="K32" s="61">
        <f>IFERROR(IF(H32-H31&lt;=0,"",J32/SQRT(Таблица_pr1[[#This Row],[Удельное сопротивление грунта, Ом·м]])),J32/SQRT(Таблица_pr1[[#This Row],[Удельное сопротивление грунта, Ом·м]]))</f>
        <v>11.585688927265894</v>
      </c>
      <c r="L32" s="61">
        <v>27</v>
      </c>
      <c r="M32" s="51">
        <v>55</v>
      </c>
      <c r="N32" s="49">
        <v>501.90000000000123</v>
      </c>
      <c r="O32" s="50">
        <v>75.3</v>
      </c>
      <c r="P32" s="61">
        <f t="shared" si="3"/>
        <v>100.00000000002274</v>
      </c>
      <c r="Q32" s="61">
        <f>IFERROR(IF(N32-N31&lt;=0,"",P32/SQRT(Таблица_pr2[[#This Row],[Удельное сопротивление грунта, Ом·м]])),P32/SQRT(Таблица_pr2[[#This Row],[Удельное сопротивление грунта, Ом·м]]))</f>
        <v>11.523980424925137</v>
      </c>
      <c r="R32" s="76">
        <v>27</v>
      </c>
      <c r="S32" s="51">
        <v>82</v>
      </c>
      <c r="T32" s="52">
        <v>504.60000000000184</v>
      </c>
      <c r="U32" s="50">
        <v>45.2</v>
      </c>
      <c r="V32" s="61">
        <f t="shared" si="12"/>
        <v>100.00000000002274</v>
      </c>
      <c r="W32" s="61">
        <f>IFERROR(IF(T32-T31&lt;=0,"",V32/SQRT(Таблица_pr3[[#This Row],[Удельное сопротивление грунта, Ом·м]])),V32/SQRT(Таблица_pr3[[#This Row],[Удельное сопротивление грунта, Ом·м]]))</f>
        <v>14.874102932721621</v>
      </c>
      <c r="X32" s="61">
        <v>27</v>
      </c>
      <c r="Y32" s="51">
        <v>110</v>
      </c>
      <c r="Z32" s="52">
        <v>507.40000000000248</v>
      </c>
      <c r="AA32" s="50">
        <v>39.1</v>
      </c>
      <c r="AB32" s="61">
        <f t="shared" si="5"/>
        <v>100.00000000002274</v>
      </c>
      <c r="AC32" s="61">
        <f>IFERROR(IF(Z32-Z31&lt;=0,"",AB32/SQRT(Таблица_pr4[[#This Row],[Удельное сопротивление грунта, Ом·м]])),AB32/SQRT(Таблица_pr4[[#This Row],[Удельное сопротивление грунта, Ом·м]]))</f>
        <v>15.992325525183668</v>
      </c>
      <c r="AD32" s="76">
        <v>27</v>
      </c>
      <c r="AE32" s="64">
        <v>137</v>
      </c>
      <c r="AF32" s="52">
        <v>510.20000000000312</v>
      </c>
      <c r="AG32" s="67">
        <v>61.9</v>
      </c>
      <c r="AH32" s="61">
        <f t="shared" si="6"/>
        <v>100.00000000002274</v>
      </c>
      <c r="AI32" s="61">
        <f>IFERROR(IF(AF32-AF31&lt;=0,"",AH32/SQRT(Таблица_pr5[[#This Row],[Удельное сопротивление грунта, Ом·м]])),AH32/SQRT(Таблица_pr5[[#This Row],[Удельное сопротивление грунта, Ом·м]]))</f>
        <v>12.71026705187426</v>
      </c>
      <c r="AJ32" s="61">
        <v>27</v>
      </c>
      <c r="AK32" s="64">
        <v>167</v>
      </c>
      <c r="AL32" s="52">
        <v>513.2000000000038</v>
      </c>
      <c r="AM32" s="67">
        <v>28.5</v>
      </c>
      <c r="AN32" s="61">
        <f t="shared" si="7"/>
        <v>100.00000000002274</v>
      </c>
      <c r="AO32" s="61">
        <f>IFERROR(IF(AL32-AL31&lt;=0,"",AN32/SQRT(Таблица_pr6[[#This Row],[Удельное сопротивление грунта, Ом·м]])),AN32/SQRT(Таблица_pr6[[#This Row],[Удельное сопротивление грунта, Ом·м]]))</f>
        <v>18.731716231638138</v>
      </c>
      <c r="AU32" s="61" t="str">
        <f>IFERROR(IF(AR32-AR31&lt;=0,"",AT32/SQRT(Таблица_pr7[[#This Row],[Удельное сопротивление грунта, Ом·м]])),AT32/SQRT(Таблица_pr7[[#This Row],[Удельное сопротивление грунта, Ом·м]]))</f>
        <v/>
      </c>
      <c r="AV32" s="61">
        <v>27</v>
      </c>
      <c r="AW32" s="64">
        <v>217</v>
      </c>
      <c r="AX32" s="52">
        <v>518.20000000000493</v>
      </c>
      <c r="AY32" s="67">
        <v>90.9</v>
      </c>
      <c r="AZ32" s="61">
        <f t="shared" si="9"/>
        <v>100.00000000002274</v>
      </c>
      <c r="BA32" s="61">
        <f>IFERROR(IF(AX32-AX31&lt;=0,"",AZ32/SQRT(Таблица_pr8[[#This Row],[Удельное сопротивление грунта, Ом·м]])),AZ32/SQRT(Таблица_pr8[[#This Row],[Удельное сопротивление грунта, Ом·м]]))</f>
        <v>10.488612925461595</v>
      </c>
      <c r="BB32" s="76">
        <v>27</v>
      </c>
      <c r="BC32" s="64">
        <v>247</v>
      </c>
      <c r="BD32" s="52">
        <v>521.20000000000562</v>
      </c>
      <c r="BE32" s="67">
        <v>78.8</v>
      </c>
      <c r="BF32" s="61">
        <f t="shared" si="10"/>
        <v>100.00000000002274</v>
      </c>
      <c r="BG32" s="61">
        <f>IFERROR(IF(BD32-AX51&lt;=0,"",BF32/SQRT(Таблица_pr9[[#This Row],[Удельное сопротивление грунта, Ом·м]])),BF32/SQRT(Таблица_pr9[[#This Row],[Удельное сопротивление грунта, Ом·м]]))</f>
        <v>11.265147726485884</v>
      </c>
      <c r="BH32" s="61">
        <v>27</v>
      </c>
      <c r="BI32" s="64">
        <v>277</v>
      </c>
      <c r="BJ32" s="52">
        <v>524.2000000000063</v>
      </c>
      <c r="BK32" s="67">
        <v>58.1</v>
      </c>
      <c r="BL32" s="61">
        <f t="shared" si="11"/>
        <v>100.00000000002274</v>
      </c>
      <c r="BM32" s="61">
        <f>IFERROR(IF(BJ32-BD61&lt;=0,"",BL32/SQRT(Таблица_pr10[[#This Row],[Удельное сопротивление грунта, Ом·м]])),BL32/SQRT(Таблица_pr10[[#This Row],[Удельное сопротивление грунта, Ом·м]]))</f>
        <v>13.119338382212625</v>
      </c>
    </row>
    <row r="33" spans="1:65">
      <c r="A33" s="64">
        <v>28</v>
      </c>
      <c r="B33" s="49">
        <v>499.20000000000101</v>
      </c>
      <c r="C33" s="65">
        <v>49.4</v>
      </c>
      <c r="D33" s="61">
        <f t="shared" si="1"/>
        <v>100.00000000002274</v>
      </c>
      <c r="E33" s="61">
        <f>IFERROR(IF(B33-B32&lt;=0,"",D33/SQRT(Таблица_pr[[#This Row],[Удельное сопротивление грунта, Ом·м]])),D33/SQRT(Таблица_pr[[#This Row],[Удельное сопротивление грунта, Ом·м]]))</f>
        <v>14.227759830615041</v>
      </c>
      <c r="G33" s="189">
        <v>28</v>
      </c>
      <c r="H33" s="178">
        <v>499.20000000000101</v>
      </c>
      <c r="I33" s="179">
        <v>49.4</v>
      </c>
      <c r="J33" s="180">
        <f t="shared" si="2"/>
        <v>100.00000000002274</v>
      </c>
      <c r="K33" s="61">
        <f>IFERROR(IF(H33-H32&lt;=0,"",J33/SQRT(Таблица_pr1[[#This Row],[Удельное сопротивление грунта, Ом·м]])),J33/SQRT(Таблица_pr1[[#This Row],[Удельное сопротивление грунта, Ом·м]]))</f>
        <v>14.227759830615041</v>
      </c>
      <c r="Q33" s="61" t="str">
        <f>IFERROR(IF(N33-N32&lt;=0,"",P33/SQRT(Таблица_pr2[[#This Row],[Удельное сопротивление грунта, Ом·м]])),P33/SQRT(Таблица_pr2[[#This Row],[Удельное сопротивление грунта, Ом·м]]))</f>
        <v/>
      </c>
      <c r="R33" s="76">
        <v>28</v>
      </c>
      <c r="S33" s="51">
        <v>83</v>
      </c>
      <c r="T33" s="52">
        <v>504.70000000000186</v>
      </c>
      <c r="U33" s="50">
        <v>46.1</v>
      </c>
      <c r="V33" s="61">
        <f t="shared" si="12"/>
        <v>100.00000000002274</v>
      </c>
      <c r="W33" s="61">
        <f>IFERROR(IF(T33-T32&lt;=0,"",V33/SQRT(Таблица_pr3[[#This Row],[Удельное сопротивление грунта, Ом·м]])),V33/SQRT(Таблица_pr3[[#This Row],[Удельное сопротивление грунта, Ом·м]]))</f>
        <v>14.728195398500489</v>
      </c>
      <c r="AC33" s="61" t="str">
        <f>IFERROR(IF(Z33-Z32&lt;=0,"",AB33/SQRT(Таблица_pr4[[#This Row],[Удельное сопротивление грунта, Ом·м]])),AB33/SQRT(Таблица_pr4[[#This Row],[Удельное сопротивление грунта, Ом·м]]))</f>
        <v/>
      </c>
      <c r="AD33" s="76">
        <v>28</v>
      </c>
      <c r="AE33" s="64">
        <v>138</v>
      </c>
      <c r="AF33" s="52">
        <v>510.30000000000314</v>
      </c>
      <c r="AG33" s="67">
        <v>56.4</v>
      </c>
      <c r="AH33" s="61">
        <f t="shared" si="6"/>
        <v>100.00000000002274</v>
      </c>
      <c r="AI33" s="61">
        <f>IFERROR(IF(AF33-AF32&lt;=0,"",AH33/SQRT(Таблица_pr5[[#This Row],[Удельное сопротивление грунта, Ом·м]])),AH33/SQRT(Таблица_pr5[[#This Row],[Удельное сопротивление грунта, Ом·м]]))</f>
        <v>13.315591032285715</v>
      </c>
      <c r="AJ33" s="61">
        <v>28</v>
      </c>
      <c r="AK33" s="64">
        <v>168</v>
      </c>
      <c r="AL33" s="52">
        <v>513.30000000000382</v>
      </c>
      <c r="AM33" s="67">
        <v>29.6</v>
      </c>
      <c r="AN33" s="61">
        <f t="shared" si="7"/>
        <v>100.00000000002274</v>
      </c>
      <c r="AO33" s="61">
        <f>IFERROR(IF(AL33-AL32&lt;=0,"",AN33/SQRT(Таблица_pr6[[#This Row],[Удельное сопротивление грунта, Ом·м]])),AN33/SQRT(Таблица_pr6[[#This Row],[Удельное сопротивление грунта, Ом·м]]))</f>
        <v>18.380365552349375</v>
      </c>
      <c r="AU33" s="61" t="str">
        <f>IFERROR(IF(AR33-AR32&lt;=0,"",AT33/SQRT(Таблица_pr7[[#This Row],[Удельное сопротивление грунта, Ом·м]])),AT33/SQRT(Таблица_pr7[[#This Row],[Удельное сопротивление грунта, Ом·м]]))</f>
        <v/>
      </c>
      <c r="AV33" s="61">
        <v>28</v>
      </c>
      <c r="AW33" s="64">
        <v>218</v>
      </c>
      <c r="AX33" s="52">
        <v>518.30000000000496</v>
      </c>
      <c r="AY33" s="67">
        <v>69.5</v>
      </c>
      <c r="AZ33" s="61">
        <f t="shared" si="9"/>
        <v>100.00000000002274</v>
      </c>
      <c r="BA33" s="61">
        <f>IFERROR(IF(AX33-AX32&lt;=0,"",AZ33/SQRT(Таблица_pr8[[#This Row],[Удельное сопротивление грунта, Ом·м]])),AZ33/SQRT(Таблица_pr8[[#This Row],[Удельное сопротивление грунта, Ом·м]]))</f>
        <v>11.995202878084072</v>
      </c>
      <c r="BB33" s="76">
        <v>28</v>
      </c>
      <c r="BC33" s="64">
        <v>248</v>
      </c>
      <c r="BD33" s="52">
        <v>521.30000000000564</v>
      </c>
      <c r="BE33" s="67">
        <v>36.799999999999997</v>
      </c>
      <c r="BF33" s="61">
        <f t="shared" si="10"/>
        <v>100.00000000002274</v>
      </c>
      <c r="BG33" s="61">
        <f>IFERROR(IF(BD33-AX52&lt;=0,"",BF33/SQRT(Таблица_pr9[[#This Row],[Удельное сопротивление грунта, Ом·м]])),BF33/SQRT(Таблица_pr9[[#This Row],[Удельное сопротивление грунта, Ом·м]]))</f>
        <v>16.484511834898424</v>
      </c>
      <c r="BI33" s="64"/>
      <c r="BJ33" s="49"/>
      <c r="BK33" s="65"/>
      <c r="BM33" s="61" t="str">
        <f>IFERROR(IF(BJ33-BD62&lt;=0,"",BL33/SQRT(Таблица_pr10[[#This Row],[Удельное сопротивление грунта, Ом·м]])),BL33/SQRT(Таблица_pr10[[#This Row],[Удельное сопротивление грунта, Ом·м]]))</f>
        <v/>
      </c>
    </row>
    <row r="34" spans="1:65">
      <c r="A34" s="64">
        <v>29</v>
      </c>
      <c r="B34" s="49">
        <v>499.30000000000098</v>
      </c>
      <c r="C34" s="65">
        <v>53</v>
      </c>
      <c r="D34" s="61">
        <f t="shared" si="1"/>
        <v>99.999999999965894</v>
      </c>
      <c r="E34" s="61">
        <f>IFERROR(IF(B34-B33&lt;=0,"",D34/SQRT(Таблица_pr[[#This Row],[Удельное сопротивление грунта, Ом·м]])),D34/SQRT(Таблица_pr[[#This Row],[Удельное сопротивление грунта, Ом·м]]))</f>
        <v>13.736056394864217</v>
      </c>
      <c r="G34" s="188">
        <v>29</v>
      </c>
      <c r="H34" s="175">
        <v>499.30000000000098</v>
      </c>
      <c r="I34" s="176">
        <v>53</v>
      </c>
      <c r="J34" s="181">
        <f t="shared" si="2"/>
        <v>99.999999999965894</v>
      </c>
      <c r="K34" s="61">
        <f>IFERROR(IF(H34-H33&lt;=0,"",J34/SQRT(Таблица_pr1[[#This Row],[Удельное сопротивление грунта, Ом·м]])),J34/SQRT(Таблица_pr1[[#This Row],[Удельное сопротивление грунта, Ом·м]]))</f>
        <v>13.736056394864217</v>
      </c>
      <c r="Q34" s="61" t="str">
        <f>IFERROR(IF(N34-N33&lt;=0,"",P34/SQRT(Таблица_pr2[[#This Row],[Удельное сопротивление грунта, Ом·м]])),P34/SQRT(Таблица_pr2[[#This Row],[Удельное сопротивление грунта, Ом·м]]))</f>
        <v/>
      </c>
      <c r="W34" s="61" t="str">
        <f>IFERROR(IF(T34-T33&lt;=0,"",V34/SQRT(Таблица_pr3[[#This Row],[Удельное сопротивление грунта, Ом·м]])),V34/SQRT(Таблица_pr3[[#This Row],[Удельное сопротивление грунта, Ом·м]]))</f>
        <v/>
      </c>
      <c r="AC34" s="61" t="str">
        <f>IFERROR(IF(Z34-Z33&lt;=0,"",AB34/SQRT(Таблица_pr4[[#This Row],[Удельное сопротивление грунта, Ом·м]])),AB34/SQRT(Таблица_pr4[[#This Row],[Удельное сопротивление грунта, Ом·м]]))</f>
        <v/>
      </c>
      <c r="AD34" s="76">
        <v>29</v>
      </c>
      <c r="AE34" s="64">
        <v>139</v>
      </c>
      <c r="AF34" s="52">
        <v>510.40000000000316</v>
      </c>
      <c r="AG34" s="67">
        <v>56.8</v>
      </c>
      <c r="AH34" s="61">
        <f t="shared" si="6"/>
        <v>100.00000000002274</v>
      </c>
      <c r="AI34" s="61">
        <f>IFERROR(IF(AF34-AF33&lt;=0,"",AH34/SQRT(Таблица_pr5[[#This Row],[Удельное сопротивление грунта, Ом·м]])),AH34/SQRT(Таблица_pr5[[#This Row],[Удельное сопротивление грунта, Ом·м]]))</f>
        <v>13.268622310859898</v>
      </c>
      <c r="AJ34" s="61">
        <v>29</v>
      </c>
      <c r="AK34" s="64">
        <v>169</v>
      </c>
      <c r="AL34" s="52">
        <v>513.40000000000384</v>
      </c>
      <c r="AM34" s="67">
        <v>31.8</v>
      </c>
      <c r="AN34" s="61">
        <f t="shared" si="7"/>
        <v>100.00000000002274</v>
      </c>
      <c r="AO34" s="61">
        <f>IFERROR(IF(AL34-AL33&lt;=0,"",AN34/SQRT(Таблица_pr6[[#This Row],[Удельное сопротивление грунта, Ом·м]])),AN34/SQRT(Таблица_pr6[[#This Row],[Удельное сопротивление грунта, Ом·м]]))</f>
        <v>17.733172553301749</v>
      </c>
      <c r="AU34" s="61" t="str">
        <f>IFERROR(IF(AR34-AR33&lt;=0,"",AT34/SQRT(Таблица_pr7[[#This Row],[Удельное сопротивление грунта, Ом·м]])),AT34/SQRT(Таблица_pr7[[#This Row],[Удельное сопротивление грунта, Ом·м]]))</f>
        <v/>
      </c>
      <c r="AV34" s="61">
        <v>29</v>
      </c>
      <c r="AW34" s="64">
        <v>219</v>
      </c>
      <c r="AX34" s="52">
        <v>518.40000000000498</v>
      </c>
      <c r="AY34" s="67">
        <v>62.5</v>
      </c>
      <c r="AZ34" s="61">
        <f t="shared" si="9"/>
        <v>100.00000000002274</v>
      </c>
      <c r="BA34" s="61">
        <f>IFERROR(IF(AX34-AX33&lt;=0,"",AZ34/SQRT(Таблица_pr8[[#This Row],[Удельное сопротивление грунта, Ом·м]])),AZ34/SQRT(Таблица_pr8[[#This Row],[Удельное сопротивление грунта, Ом·м]]))</f>
        <v>12.649110640676394</v>
      </c>
      <c r="BB34" s="76">
        <v>29</v>
      </c>
      <c r="BC34" s="64">
        <v>249</v>
      </c>
      <c r="BD34" s="52">
        <v>521.40000000000566</v>
      </c>
      <c r="BE34" s="67">
        <v>55.9</v>
      </c>
      <c r="BF34" s="61">
        <f t="shared" si="10"/>
        <v>100.00000000002274</v>
      </c>
      <c r="BG34" s="61">
        <f>IFERROR(IF(BD34-AX53&lt;=0,"",BF34/SQRT(Таблица_pr9[[#This Row],[Удельное сопротивление грунта, Ом·м]])),BF34/SQRT(Таблица_pr9[[#This Row],[Удельное сопротивление грунта, Ом·м]]))</f>
        <v>13.375009404309836</v>
      </c>
      <c r="BI34" s="64"/>
      <c r="BJ34" s="49"/>
      <c r="BK34" s="65"/>
      <c r="BM34" s="61" t="str">
        <f>IFERROR(IF(BJ34-BD63&lt;=0,"",BL34/SQRT(Таблица_pr10[[#This Row],[Удельное сопротивление грунта, Ом·м]])),BL34/SQRT(Таблица_pr10[[#This Row],[Удельное сопротивление грунта, Ом·м]]))</f>
        <v/>
      </c>
    </row>
    <row r="35" spans="1:65">
      <c r="A35" s="64">
        <v>30</v>
      </c>
      <c r="B35" s="49">
        <v>499.400000000001</v>
      </c>
      <c r="C35" s="65">
        <v>62</v>
      </c>
      <c r="D35" s="61">
        <f t="shared" si="1"/>
        <v>100.00000000002274</v>
      </c>
      <c r="E35" s="61">
        <f>IFERROR(IF(B35-B34&lt;=0,"",D35/SQRT(Таблица_pr[[#This Row],[Удельное сопротивление грунта, Ом·м]])),D35/SQRT(Таблица_pr[[#This Row],[Удельное сопротивление грунта, Ом·м]]))</f>
        <v>12.700012700021938</v>
      </c>
      <c r="G35" s="189">
        <v>30</v>
      </c>
      <c r="H35" s="178">
        <v>499.400000000001</v>
      </c>
      <c r="I35" s="179">
        <v>62</v>
      </c>
      <c r="J35" s="180">
        <f t="shared" si="2"/>
        <v>100.00000000002274</v>
      </c>
      <c r="K35" s="61">
        <f>IFERROR(IF(H35-H34&lt;=0,"",J35/SQRT(Таблица_pr1[[#This Row],[Удельное сопротивление грунта, Ом·м]])),J35/SQRT(Таблица_pr1[[#This Row],[Удельное сопротивление грунта, Ом·м]]))</f>
        <v>12.700012700021938</v>
      </c>
      <c r="Q35" s="61" t="str">
        <f>IFERROR(IF(N35-N34&lt;=0,"",P35/SQRT(Таблица_pr2[[#This Row],[Удельное сопротивление грунта, Ом·м]])),P35/SQRT(Таблица_pr2[[#This Row],[Удельное сопротивление грунта, Ом·м]]))</f>
        <v/>
      </c>
      <c r="W35" s="61" t="str">
        <f>IFERROR(IF(T35-T34&lt;=0,"",V35/SQRT(Таблица_pr3[[#This Row],[Удельное сопротивление грунта, Ом·м]])),V35/SQRT(Таблица_pr3[[#This Row],[Удельное сопротивление грунта, Ом·м]]))</f>
        <v/>
      </c>
      <c r="AC35" s="61" t="str">
        <f>IFERROR(IF(Z35-Z34&lt;=0,"",AB35/SQRT(Таблица_pr4[[#This Row],[Удельное сопротивление грунта, Ом·м]])),AB35/SQRT(Таблица_pr4[[#This Row],[Удельное сопротивление грунта, Ом·м]]))</f>
        <v/>
      </c>
      <c r="AD35" s="76">
        <v>30</v>
      </c>
      <c r="AE35" s="64">
        <v>140</v>
      </c>
      <c r="AF35" s="52">
        <v>510.50000000000318</v>
      </c>
      <c r="AG35" s="67">
        <v>55.4</v>
      </c>
      <c r="AH35" s="61">
        <f t="shared" si="6"/>
        <v>100.00000000002274</v>
      </c>
      <c r="AI35" s="61">
        <f>IFERROR(IF(AF35-AF34&lt;=0,"",AH35/SQRT(Таблица_pr5[[#This Row],[Удельное сопротивление грунта, Ом·м]])),AH35/SQRT(Таблица_pr5[[#This Row],[Удельное сопротивление грунта, Ом·м]]))</f>
        <v>13.435230372514532</v>
      </c>
      <c r="AJ35" s="61">
        <v>30</v>
      </c>
      <c r="AK35" s="64">
        <v>170</v>
      </c>
      <c r="AL35" s="52">
        <v>513.50000000000387</v>
      </c>
      <c r="AM35" s="67">
        <v>32</v>
      </c>
      <c r="AN35" s="61">
        <f t="shared" si="7"/>
        <v>100.00000000002274</v>
      </c>
      <c r="AO35" s="61">
        <f>IFERROR(IF(AL35-AL34&lt;=0,"",AN35/SQRT(Таблица_pr6[[#This Row],[Удельное сопротивление грунта, Ом·м]])),AN35/SQRT(Таблица_pr6[[#This Row],[Удельное сопротивление грунта, Ом·м]]))</f>
        <v>17.677669529667707</v>
      </c>
      <c r="AU35" s="61" t="str">
        <f>IFERROR(IF(AR35-AR34&lt;=0,"",AT35/SQRT(Таблица_pr7[[#This Row],[Удельное сопротивление грунта, Ом·м]])),AT35/SQRT(Таблица_pr7[[#This Row],[Удельное сопротивление грунта, Ом·м]]))</f>
        <v/>
      </c>
      <c r="AV35" s="61">
        <v>30</v>
      </c>
      <c r="AW35" s="64">
        <v>220</v>
      </c>
      <c r="AX35" s="52">
        <v>518.500000000005</v>
      </c>
      <c r="AY35" s="67">
        <v>61.7</v>
      </c>
      <c r="AZ35" s="61">
        <f t="shared" si="9"/>
        <v>100.00000000002274</v>
      </c>
      <c r="BA35" s="61">
        <f>IFERROR(IF(AX35-AX34&lt;=0,"",AZ35/SQRT(Таблица_pr8[[#This Row],[Удельное сопротивление грунта, Ом·м]])),AZ35/SQRT(Таблица_pr8[[#This Row],[Удельное сопротивление грунта, Ом·м]]))</f>
        <v>12.730850493782786</v>
      </c>
      <c r="BB35" s="76">
        <v>30</v>
      </c>
      <c r="BC35" s="64">
        <v>250</v>
      </c>
      <c r="BD35" s="52">
        <v>521.50000000000568</v>
      </c>
      <c r="BE35" s="67">
        <v>32.5</v>
      </c>
      <c r="BF35" s="61">
        <f t="shared" si="10"/>
        <v>100.00000000002274</v>
      </c>
      <c r="BG35" s="61">
        <f>IFERROR(IF(BD35-AX54&lt;=0,"",BF35/SQRT(Таблица_pr9[[#This Row],[Удельное сопротивление грунта, Ом·м]])),BF35/SQRT(Таблица_pr9[[#This Row],[Удельное сопротивление грунта, Ом·м]]))</f>
        <v>17.541160386144572</v>
      </c>
      <c r="BI35" s="64"/>
      <c r="BJ35" s="49"/>
      <c r="BK35" s="65"/>
      <c r="BM35" s="61" t="str">
        <f>IFERROR(IF(BJ35-BD64&lt;=0,"",BL35/SQRT(Таблица_pr10[[#This Row],[Удельное сопротивление грунта, Ом·м]])),BL35/SQRT(Таблица_pr10[[#This Row],[Удельное сопротивление грунта, Ом·м]]))</f>
        <v/>
      </c>
    </row>
    <row r="36" spans="1:65">
      <c r="A36" s="64">
        <v>31</v>
      </c>
      <c r="B36" s="49">
        <v>499.50000000000102</v>
      </c>
      <c r="C36" s="50">
        <v>44</v>
      </c>
      <c r="D36" s="61">
        <f t="shared" si="1"/>
        <v>100.00000000002274</v>
      </c>
      <c r="E36" s="61">
        <f>IFERROR(IF(B36-B35&lt;=0,"",D36/SQRT(Таблица_pr[[#This Row],[Удельное сопротивление грунта, Ом·м]])),D36/SQRT(Таблица_pr[[#This Row],[Удельное сопротивление грунта, Ом·м]]))</f>
        <v>15.075567228891609</v>
      </c>
      <c r="G36" s="188">
        <v>31</v>
      </c>
      <c r="H36" s="175">
        <v>499.50000000000102</v>
      </c>
      <c r="I36" s="182">
        <v>44</v>
      </c>
      <c r="J36" s="181">
        <f t="shared" si="2"/>
        <v>100.00000000002274</v>
      </c>
      <c r="K36" s="61">
        <f>IFERROR(IF(H36-H35&lt;=0,"",J36/SQRT(Таблица_pr1[[#This Row],[Удельное сопротивление грунта, Ом·м]])),J36/SQRT(Таблица_pr1[[#This Row],[Удельное сопротивление грунта, Ом·м]]))</f>
        <v>15.075567228891609</v>
      </c>
      <c r="Q36" s="61" t="str">
        <f>IFERROR(IF(N36-N35&lt;=0,"",P36/SQRT(Таблица_pr2[[#This Row],[Удельное сопротивление грунта, Ом·м]])),P36/SQRT(Таблица_pr2[[#This Row],[Удельное сопротивление грунта, Ом·м]]))</f>
        <v/>
      </c>
      <c r="W36" s="61" t="str">
        <f>IFERROR(IF(T36-T35&lt;=0,"",V36/SQRT(Таблица_pr3[[#This Row],[Удельное сопротивление грунта, Ом·м]])),V36/SQRT(Таблица_pr3[[#This Row],[Удельное сопротивление грунта, Ом·м]]))</f>
        <v/>
      </c>
      <c r="AC36" s="61" t="str">
        <f>IFERROR(IF(Z36-Z35&lt;=0,"",AB36/SQRT(Таблица_pr4[[#This Row],[Удельное сопротивление грунта, Ом·м]])),AB36/SQRT(Таблица_pr4[[#This Row],[Удельное сопротивление грунта, Ом·м]]))</f>
        <v/>
      </c>
      <c r="AI36" s="61" t="str">
        <f>IFERROR(IF(AF36-AF35&lt;=0,"",AH36/SQRT(Таблица_pr5[[#This Row],[Удельное сопротивление грунта, Ом·м]])),AH36/SQRT(Таблица_pr5[[#This Row],[Удельное сопротивление грунта, Ом·м]]))</f>
        <v/>
      </c>
      <c r="AO36" s="61" t="str">
        <f>IFERROR(IF(AL36-AL35&lt;=0,"",AN36/SQRT(Таблица_pr6[[#This Row],[Удельное сопротивление грунта, Ом·м]])),AN36/SQRT(Таблица_pr6[[#This Row],[Удельное сопротивление грунта, Ом·м]]))</f>
        <v/>
      </c>
      <c r="AU36" s="61" t="str">
        <f>IFERROR(IF(AR36-AR35&lt;=0,"",AT36/SQRT(Таблица_pr7[[#This Row],[Удельное сопротивление грунта, Ом·м]])),AT36/SQRT(Таблица_pr7[[#This Row],[Удельное сопротивление грунта, Ом·м]]))</f>
        <v/>
      </c>
      <c r="BA36" s="61" t="str">
        <f>IFERROR(IF(AX36-AX35&lt;=0,"",AZ36/SQRT(Таблица_pr8[[#This Row],[Удельное сопротивление грунта, Ом·м]])),AZ36/SQRT(Таблица_pr8[[#This Row],[Удельное сопротивление грунта, Ом·м]]))</f>
        <v/>
      </c>
      <c r="BG36" s="61" t="str">
        <f>IFERROR(IF(BD36-AX55&lt;=0,"",BF36/SQRT(Таблица_pr9[[#This Row],[Удельное сопротивление грунта, Ом·м]])),BF36/SQRT(Таблица_pr9[[#This Row],[Удельное сопротивление грунта, Ом·м]]))</f>
        <v/>
      </c>
      <c r="BI36" s="64"/>
      <c r="BJ36" s="49"/>
      <c r="BK36" s="50"/>
      <c r="BM36" s="61" t="str">
        <f>IFERROR(IF(BJ36-BD65&lt;=0,"",BL36/SQRT(Таблица_pr10[[#This Row],[Удельное сопротивление грунта, Ом·м]])),BL36/SQRT(Таблица_pr10[[#This Row],[Удельное сопротивление грунта, Ом·м]]))</f>
        <v/>
      </c>
    </row>
    <row r="37" spans="1:65">
      <c r="A37" s="64">
        <v>32</v>
      </c>
      <c r="B37" s="49">
        <v>499.60000000000099</v>
      </c>
      <c r="C37" s="50">
        <v>53</v>
      </c>
      <c r="D37" s="61">
        <f t="shared" si="1"/>
        <v>99.999999999965894</v>
      </c>
      <c r="E37" s="61">
        <f>IFERROR(IF(B37-B36&lt;=0,"",D37/SQRT(Таблица_pr[[#This Row],[Удельное сопротивление грунта, Ом·м]])),D37/SQRT(Таблица_pr[[#This Row],[Удельное сопротивление грунта, Ом·м]]))</f>
        <v>13.736056394864217</v>
      </c>
      <c r="G37" s="189">
        <v>32</v>
      </c>
      <c r="H37" s="178">
        <v>499.60000000000099</v>
      </c>
      <c r="I37" s="183">
        <v>53</v>
      </c>
      <c r="J37" s="180">
        <f t="shared" si="2"/>
        <v>99.999999999965894</v>
      </c>
      <c r="K37" s="61">
        <f>IFERROR(IF(H37-H36&lt;=0,"",J37/SQRT(Таблица_pr1[[#This Row],[Удельное сопротивление грунта, Ом·м]])),J37/SQRT(Таблица_pr1[[#This Row],[Удельное сопротивление грунта, Ом·м]]))</f>
        <v>13.736056394864217</v>
      </c>
      <c r="Q37" s="61" t="str">
        <f>IFERROR(IF(N37-N36&lt;=0,"",P37/SQRT(Таблица_pr2[[#This Row],[Удельное сопротивление грунта, Ом·м]])),P37/SQRT(Таблица_pr2[[#This Row],[Удельное сопротивление грунта, Ом·м]]))</f>
        <v/>
      </c>
      <c r="W37" s="61" t="str">
        <f>IFERROR(IF(T37-T36&lt;=0,"",V37/SQRT(Таблица_pr3[[#This Row],[Удельное сопротивление грунта, Ом·м]])),V37/SQRT(Таблица_pr3[[#This Row],[Удельное сопротивление грунта, Ом·м]]))</f>
        <v/>
      </c>
      <c r="AC37" s="61" t="str">
        <f>IFERROR(IF(Z37-Z36&lt;=0,"",AB37/SQRT(Таблица_pr4[[#This Row],[Удельное сопротивление грунта, Ом·м]])),AB37/SQRT(Таблица_pr4[[#This Row],[Удельное сопротивление грунта, Ом·м]]))</f>
        <v/>
      </c>
      <c r="AI37" s="61" t="str">
        <f>IFERROR(IF(AF37-AF36&lt;=0,"",AH37/SQRT(Таблица_pr5[[#This Row],[Удельное сопротивление грунта, Ом·м]])),AH37/SQRT(Таблица_pr5[[#This Row],[Удельное сопротивление грунта, Ом·м]]))</f>
        <v/>
      </c>
      <c r="AO37" s="61" t="str">
        <f>IFERROR(IF(AL37-AL36&lt;=0,"",AN37/SQRT(Таблица_pr6[[#This Row],[Удельное сопротивление грунта, Ом·м]])),AN37/SQRT(Таблица_pr6[[#This Row],[Удельное сопротивление грунта, Ом·м]]))</f>
        <v/>
      </c>
      <c r="AU37" s="61" t="str">
        <f>IFERROR(IF(AR37-AR36&lt;=0,"",AT37/SQRT(Таблица_pr7[[#This Row],[Удельное сопротивление грунта, Ом·м]])),AT37/SQRT(Таблица_pr7[[#This Row],[Удельное сопротивление грунта, Ом·м]]))</f>
        <v/>
      </c>
      <c r="BA37" s="61" t="str">
        <f>IFERROR(IF(AX37-AX36&lt;=0,"",AZ37/SQRT(Таблица_pr8[[#This Row],[Удельное сопротивление грунта, Ом·м]])),AZ37/SQRT(Таблица_pr8[[#This Row],[Удельное сопротивление грунта, Ом·м]]))</f>
        <v/>
      </c>
      <c r="BG37" s="61" t="str">
        <f>IFERROR(IF(BD37-AX56&lt;=0,"",BF37/SQRT(Таблица_pr9[[#This Row],[Удельное сопротивление грунта, Ом·м]])),BF37/SQRT(Таблица_pr9[[#This Row],[Удельное сопротивление грунта, Ом·м]]))</f>
        <v/>
      </c>
      <c r="BI37" s="64"/>
      <c r="BJ37" s="49"/>
      <c r="BK37" s="50"/>
      <c r="BM37" s="61" t="str">
        <f>IFERROR(IF(BJ37-BD66&lt;=0,"",BL37/SQRT(Таблица_pr10[[#This Row],[Удельное сопротивление грунта, Ом·м]])),BL37/SQRT(Таблица_pr10[[#This Row],[Удельное сопротивление грунта, Ом·м]]))</f>
        <v/>
      </c>
    </row>
    <row r="38" spans="1:65">
      <c r="A38" s="64">
        <v>33</v>
      </c>
      <c r="B38" s="49">
        <v>499.70000000000101</v>
      </c>
      <c r="C38" s="50">
        <v>62.6</v>
      </c>
      <c r="D38" s="61">
        <f t="shared" si="1"/>
        <v>100.00000000002274</v>
      </c>
      <c r="E38" s="61">
        <f>IFERROR(IF(B38-B37&lt;=0,"",D38/SQRT(Таблица_pr[[#This Row],[Удельное сопротивление грунта, Ом·м]])),D38/SQRT(Таблица_pr[[#This Row],[Удельное сопротивление грунта, Ом·м]]))</f>
        <v>12.63900347914184</v>
      </c>
      <c r="G38" s="188">
        <v>33</v>
      </c>
      <c r="H38" s="175">
        <v>499.70000000000101</v>
      </c>
      <c r="I38" s="182">
        <v>62.6</v>
      </c>
      <c r="J38" s="181">
        <f t="shared" si="2"/>
        <v>100.00000000002274</v>
      </c>
      <c r="K38" s="61">
        <f>IFERROR(IF(H38-H37&lt;=0,"",J38/SQRT(Таблица_pr1[[#This Row],[Удельное сопротивление грунта, Ом·м]])),J38/SQRT(Таблица_pr1[[#This Row],[Удельное сопротивление грунта, Ом·м]]))</f>
        <v>12.63900347914184</v>
      </c>
      <c r="Q38" s="61" t="str">
        <f>IFERROR(IF(N38-N37&lt;=0,"",P38/SQRT(Таблица_pr2[[#This Row],[Удельное сопротивление грунта, Ом·м]])),P38/SQRT(Таблица_pr2[[#This Row],[Удельное сопротивление грунта, Ом·м]]))</f>
        <v/>
      </c>
      <c r="W38" s="61" t="str">
        <f>IFERROR(IF(T38-T37&lt;=0,"",V38/SQRT(Таблица_pr3[[#This Row],[Удельное сопротивление грунта, Ом·м]])),V38/SQRT(Таблица_pr3[[#This Row],[Удельное сопротивление грунта, Ом·м]]))</f>
        <v/>
      </c>
      <c r="AC38" s="61" t="str">
        <f>IFERROR(IF(Z38-Z37&lt;=0,"",AB38/SQRT(Таблица_pr4[[#This Row],[Удельное сопротивление грунта, Ом·м]])),AB38/SQRT(Таблица_pr4[[#This Row],[Удельное сопротивление грунта, Ом·м]]))</f>
        <v/>
      </c>
      <c r="AI38" s="61" t="str">
        <f>IFERROR(IF(AF38-AF37&lt;=0,"",AH38/SQRT(Таблица_pr5[[#This Row],[Удельное сопротивление грунта, Ом·м]])),AH38/SQRT(Таблица_pr5[[#This Row],[Удельное сопротивление грунта, Ом·м]]))</f>
        <v/>
      </c>
      <c r="AO38" s="61" t="str">
        <f>IFERROR(IF(AL38-AL37&lt;=0,"",AN38/SQRT(Таблица_pr6[[#This Row],[Удельное сопротивление грунта, Ом·м]])),AN38/SQRT(Таблица_pr6[[#This Row],[Удельное сопротивление грунта, Ом·м]]))</f>
        <v/>
      </c>
      <c r="AU38" s="61" t="str">
        <f>IFERROR(IF(AR38-AR37&lt;=0,"",AT38/SQRT(Таблица_pr7[[#This Row],[Удельное сопротивление грунта, Ом·м]])),AT38/SQRT(Таблица_pr7[[#This Row],[Удельное сопротивление грунта, Ом·м]]))</f>
        <v/>
      </c>
      <c r="BA38" s="61" t="str">
        <f>IFERROR(IF(AX38-AX37&lt;=0,"",AZ38/SQRT(Таблица_pr8[[#This Row],[Удельное сопротивление грунта, Ом·м]])),AZ38/SQRT(Таблица_pr8[[#This Row],[Удельное сопротивление грунта, Ом·м]]))</f>
        <v/>
      </c>
      <c r="BG38" s="61" t="str">
        <f>IFERROR(IF(BD38-AX57&lt;=0,"",BF38/SQRT(Таблица_pr9[[#This Row],[Удельное сопротивление грунта, Ом·м]])),BF38/SQRT(Таблица_pr9[[#This Row],[Удельное сопротивление грунта, Ом·м]]))</f>
        <v/>
      </c>
      <c r="BI38" s="64"/>
      <c r="BJ38" s="49"/>
      <c r="BK38" s="50"/>
      <c r="BM38" s="61" t="str">
        <f>IFERROR(IF(BJ38-BD67&lt;=0,"",BL38/SQRT(Таблица_pr10[[#This Row],[Удельное сопротивление грунта, Ом·м]])),BL38/SQRT(Таблица_pr10[[#This Row],[Удельное сопротивление грунта, Ом·м]]))</f>
        <v/>
      </c>
    </row>
    <row r="39" spans="1:65">
      <c r="A39" s="64">
        <v>34</v>
      </c>
      <c r="B39" s="49">
        <v>499.80000000000098</v>
      </c>
      <c r="C39" s="50">
        <v>44.9</v>
      </c>
      <c r="D39" s="61">
        <f t="shared" si="1"/>
        <v>99.999999999965894</v>
      </c>
      <c r="E39" s="61">
        <f>IFERROR(IF(B39-B38&lt;=0,"",D39/SQRT(Таблица_pr[[#This Row],[Удельное сопротивление грунта, Ом·м]])),D39/SQRT(Таблица_pr[[#This Row],[Удельное сопротивление грунта, Ом·м]]))</f>
        <v>14.923710973492419</v>
      </c>
      <c r="G39" s="189">
        <v>34</v>
      </c>
      <c r="H39" s="178">
        <v>499.80000000000098</v>
      </c>
      <c r="I39" s="183">
        <v>44.9</v>
      </c>
      <c r="J39" s="180">
        <f t="shared" si="2"/>
        <v>99.999999999965894</v>
      </c>
      <c r="K39" s="61">
        <f>IFERROR(IF(H39-H38&lt;=0,"",J39/SQRT(Таблица_pr1[[#This Row],[Удельное сопротивление грунта, Ом·м]])),J39/SQRT(Таблица_pr1[[#This Row],[Удельное сопротивление грунта, Ом·м]]))</f>
        <v>14.923710973492419</v>
      </c>
      <c r="Q39" s="61" t="str">
        <f>IFERROR(IF(N39-N38&lt;=0,"",P39/SQRT(Таблица_pr2[[#This Row],[Удельное сопротивление грунта, Ом·м]])),P39/SQRT(Таблица_pr2[[#This Row],[Удельное сопротивление грунта, Ом·м]]))</f>
        <v/>
      </c>
      <c r="W39" s="61" t="str">
        <f>IFERROR(IF(T39-T38&lt;=0,"",V39/SQRT(Таблица_pr3[[#This Row],[Удельное сопротивление грунта, Ом·м]])),V39/SQRT(Таблица_pr3[[#This Row],[Удельное сопротивление грунта, Ом·м]]))</f>
        <v/>
      </c>
      <c r="AC39" s="61" t="str">
        <f>IFERROR(IF(Z39-Z38&lt;=0,"",AB39/SQRT(Таблица_pr4[[#This Row],[Удельное сопротивление грунта, Ом·м]])),AB39/SQRT(Таблица_pr4[[#This Row],[Удельное сопротивление грунта, Ом·м]]))</f>
        <v/>
      </c>
      <c r="AI39" s="61" t="str">
        <f>IFERROR(IF(AF39-AF38&lt;=0,"",AH39/SQRT(Таблица_pr5[[#This Row],[Удельное сопротивление грунта, Ом·м]])),AH39/SQRT(Таблица_pr5[[#This Row],[Удельное сопротивление грунта, Ом·м]]))</f>
        <v/>
      </c>
      <c r="AO39" s="61" t="str">
        <f>IFERROR(IF(AL39-AL38&lt;=0,"",AN39/SQRT(Таблица_pr6[[#This Row],[Удельное сопротивление грунта, Ом·м]])),AN39/SQRT(Таблица_pr6[[#This Row],[Удельное сопротивление грунта, Ом·м]]))</f>
        <v/>
      </c>
      <c r="AU39" s="61" t="str">
        <f>IFERROR(IF(AR39-AR38&lt;=0,"",AT39/SQRT(Таблица_pr7[[#This Row],[Удельное сопротивление грунта, Ом·м]])),AT39/SQRT(Таблица_pr7[[#This Row],[Удельное сопротивление грунта, Ом·м]]))</f>
        <v/>
      </c>
      <c r="BA39" s="61" t="str">
        <f>IFERROR(IF(AX39-AX38&lt;=0,"",AZ39/SQRT(Таблица_pr8[[#This Row],[Удельное сопротивление грунта, Ом·м]])),AZ39/SQRT(Таблица_pr8[[#This Row],[Удельное сопротивление грунта, Ом·м]]))</f>
        <v/>
      </c>
      <c r="BG39" s="61" t="str">
        <f>IFERROR(IF(BD39-AX58&lt;=0,"",BF39/SQRT(Таблица_pr9[[#This Row],[Удельное сопротивление грунта, Ом·м]])),BF39/SQRT(Таблица_pr9[[#This Row],[Удельное сопротивление грунта, Ом·м]]))</f>
        <v/>
      </c>
      <c r="BI39" s="64"/>
      <c r="BJ39" s="49"/>
      <c r="BK39" s="50"/>
      <c r="BM39" s="61" t="str">
        <f>IFERROR(IF(BJ39-BD68&lt;=0,"",BL39/SQRT(Таблица_pr10[[#This Row],[Удельное сопротивление грунта, Ом·м]])),BL39/SQRT(Таблица_pr10[[#This Row],[Удельное сопротивление грунта, Ом·м]]))</f>
        <v/>
      </c>
    </row>
    <row r="40" spans="1:65">
      <c r="A40" s="64">
        <v>35</v>
      </c>
      <c r="B40" s="49">
        <v>499.900000000001</v>
      </c>
      <c r="C40" s="50">
        <v>45.6</v>
      </c>
      <c r="D40" s="61">
        <f t="shared" si="1"/>
        <v>100.00000000002274</v>
      </c>
      <c r="E40" s="61">
        <f>IFERROR(IF(B40-B39&lt;=0,"",D40/SQRT(Таблица_pr[[#This Row],[Удельное сопротивление грунта, Ом·м]])),D40/SQRT(Таблица_pr[[#This Row],[Удельное сопротивление грунта, Ом·м]]))</f>
        <v>14.808721943980675</v>
      </c>
      <c r="G40" s="188">
        <v>35</v>
      </c>
      <c r="H40" s="175">
        <v>499.900000000001</v>
      </c>
      <c r="I40" s="182">
        <v>45.6</v>
      </c>
      <c r="J40" s="181">
        <f t="shared" si="2"/>
        <v>100.00000000002274</v>
      </c>
      <c r="K40" s="61">
        <f>IFERROR(IF(H40-H39&lt;=0,"",J40/SQRT(Таблица_pr1[[#This Row],[Удельное сопротивление грунта, Ом·м]])),J40/SQRT(Таблица_pr1[[#This Row],[Удельное сопротивление грунта, Ом·м]]))</f>
        <v>14.808721943980675</v>
      </c>
      <c r="Q40" s="61" t="str">
        <f>IFERROR(IF(N40-N39&lt;=0,"",P40/SQRT(Таблица_pr2[[#This Row],[Удельное сопротивление грунта, Ом·м]])),P40/SQRT(Таблица_pr2[[#This Row],[Удельное сопротивление грунта, Ом·м]]))</f>
        <v/>
      </c>
      <c r="W40" s="61" t="str">
        <f>IFERROR(IF(T40-T39&lt;=0,"",V40/SQRT(Таблица_pr3[[#This Row],[Удельное сопротивление грунта, Ом·м]])),V40/SQRT(Таблица_pr3[[#This Row],[Удельное сопротивление грунта, Ом·м]]))</f>
        <v/>
      </c>
      <c r="AC40" s="61" t="str">
        <f>IFERROR(IF(Z40-Z39&lt;=0,"",AB40/SQRT(Таблица_pr4[[#This Row],[Удельное сопротивление грунта, Ом·м]])),AB40/SQRT(Таблица_pr4[[#This Row],[Удельное сопротивление грунта, Ом·м]]))</f>
        <v/>
      </c>
      <c r="AI40" s="61" t="str">
        <f>IFERROR(IF(AF40-AF39&lt;=0,"",AH40/SQRT(Таблица_pr5[[#This Row],[Удельное сопротивление грунта, Ом·м]])),AH40/SQRT(Таблица_pr5[[#This Row],[Удельное сопротивление грунта, Ом·м]]))</f>
        <v/>
      </c>
      <c r="AO40" s="61" t="str">
        <f>IFERROR(IF(AL40-AL39&lt;=0,"",AN40/SQRT(Таблица_pr6[[#This Row],[Удельное сопротивление грунта, Ом·м]])),AN40/SQRT(Таблица_pr6[[#This Row],[Удельное сопротивление грунта, Ом·м]]))</f>
        <v/>
      </c>
      <c r="AU40" s="61" t="str">
        <f>IFERROR(IF(AR40-AR39&lt;=0,"",AT40/SQRT(Таблица_pr7[[#This Row],[Удельное сопротивление грунта, Ом·м]])),AT40/SQRT(Таблица_pr7[[#This Row],[Удельное сопротивление грунта, Ом·м]]))</f>
        <v/>
      </c>
      <c r="BA40" s="61" t="str">
        <f>IFERROR(IF(AX40-AX39&lt;=0,"",AZ40/SQRT(Таблица_pr8[[#This Row],[Удельное сопротивление грунта, Ом·м]])),AZ40/SQRT(Таблица_pr8[[#This Row],[Удельное сопротивление грунта, Ом·м]]))</f>
        <v/>
      </c>
      <c r="BG40" s="61" t="str">
        <f>IFERROR(IF(BD40-AX59&lt;=0,"",BF40/SQRT(Таблица_pr9[[#This Row],[Удельное сопротивление грунта, Ом·м]])),BF40/SQRT(Таблица_pr9[[#This Row],[Удельное сопротивление грунта, Ом·м]]))</f>
        <v/>
      </c>
      <c r="BI40" s="64"/>
      <c r="BJ40" s="49"/>
      <c r="BK40" s="50"/>
      <c r="BM40" s="61" t="str">
        <f>IFERROR(IF(BJ40-BD69&lt;=0,"",BL40/SQRT(Таблица_pr10[[#This Row],[Удельное сопротивление грунта, Ом·м]])),BL40/SQRT(Таблица_pr10[[#This Row],[Удельное сопротивление грунта, Ом·м]]))</f>
        <v/>
      </c>
    </row>
    <row r="41" spans="1:65">
      <c r="A41" s="64">
        <v>36</v>
      </c>
      <c r="B41" s="49">
        <v>500.00000000000102</v>
      </c>
      <c r="C41" s="50">
        <v>47.1</v>
      </c>
      <c r="D41" s="61">
        <f t="shared" si="1"/>
        <v>100.00000000002274</v>
      </c>
      <c r="E41" s="61">
        <f>IFERROR(IF(B41-B40&lt;=0,"",D41/SQRT(Таблица_pr[[#This Row],[Удельное сопротивление грунта, Ом·м]])),D41/SQRT(Таблица_pr[[#This Row],[Удельное сопротивление грунта, Ом·м]]))</f>
        <v>14.571006315734513</v>
      </c>
      <c r="G41" s="189">
        <v>36</v>
      </c>
      <c r="H41" s="178">
        <v>500.00000000000102</v>
      </c>
      <c r="I41" s="183">
        <v>47.1</v>
      </c>
      <c r="J41" s="180">
        <f t="shared" si="2"/>
        <v>100.00000000002274</v>
      </c>
      <c r="K41" s="61">
        <f>IFERROR(IF(H41-H40&lt;=0,"",J41/SQRT(Таблица_pr1[[#This Row],[Удельное сопротивление грунта, Ом·м]])),J41/SQRT(Таблица_pr1[[#This Row],[Удельное сопротивление грунта, Ом·м]]))</f>
        <v>14.571006315734513</v>
      </c>
      <c r="Q41" s="61" t="str">
        <f>IFERROR(IF(N41-N40&lt;=0,"",P41/SQRT(Таблица_pr2[[#This Row],[Удельное сопротивление грунта, Ом·м]])),P41/SQRT(Таблица_pr2[[#This Row],[Удельное сопротивление грунта, Ом·м]]))</f>
        <v/>
      </c>
      <c r="W41" s="61" t="str">
        <f>IFERROR(IF(T41-T40&lt;=0,"",V41/SQRT(Таблица_pr3[[#This Row],[Удельное сопротивление грунта, Ом·м]])),V41/SQRT(Таблица_pr3[[#This Row],[Удельное сопротивление грунта, Ом·м]]))</f>
        <v/>
      </c>
      <c r="AC41" s="61" t="str">
        <f>IFERROR(IF(Z41-Z40&lt;=0,"",AB41/SQRT(Таблица_pr4[[#This Row],[Удельное сопротивление грунта, Ом·м]])),AB41/SQRT(Таблица_pr4[[#This Row],[Удельное сопротивление грунта, Ом·м]]))</f>
        <v/>
      </c>
      <c r="AI41" s="61" t="str">
        <f>IFERROR(IF(AF41-AF40&lt;=0,"",AH41/SQRT(Таблица_pr5[[#This Row],[Удельное сопротивление грунта, Ом·м]])),AH41/SQRT(Таблица_pr5[[#This Row],[Удельное сопротивление грунта, Ом·м]]))</f>
        <v/>
      </c>
      <c r="AO41" s="61" t="str">
        <f>IFERROR(IF(AL41-AL40&lt;=0,"",AN41/SQRT(Таблица_pr6[[#This Row],[Удельное сопротивление грунта, Ом·м]])),AN41/SQRT(Таблица_pr6[[#This Row],[Удельное сопротивление грунта, Ом·м]]))</f>
        <v/>
      </c>
      <c r="AU41" s="61" t="str">
        <f>IFERROR(IF(AR41-AR40&lt;=0,"",AT41/SQRT(Таблица_pr7[[#This Row],[Удельное сопротивление грунта, Ом·м]])),AT41/SQRT(Таблица_pr7[[#This Row],[Удельное сопротивление грунта, Ом·м]]))</f>
        <v/>
      </c>
      <c r="BA41" s="61" t="str">
        <f>IFERROR(IF(AX41-AX40&lt;=0,"",AZ41/SQRT(Таблица_pr8[[#This Row],[Удельное сопротивление грунта, Ом·м]])),AZ41/SQRT(Таблица_pr8[[#This Row],[Удельное сопротивление грунта, Ом·м]]))</f>
        <v/>
      </c>
      <c r="BG41" s="61" t="str">
        <f>IFERROR(IF(BD41-AX60&lt;=0,"",BF41/SQRT(Таблица_pr9[[#This Row],[Удельное сопротивление грунта, Ом·м]])),BF41/SQRT(Таблица_pr9[[#This Row],[Удельное сопротивление грунта, Ом·м]]))</f>
        <v/>
      </c>
      <c r="BI41" s="64"/>
      <c r="BJ41" s="49"/>
      <c r="BK41" s="50"/>
      <c r="BM41" s="61" t="str">
        <f>IFERROR(IF(BJ41-BD70&lt;=0,"",BL41/SQRT(Таблица_pr10[[#This Row],[Удельное сопротивление грунта, Ом·м]])),BL41/SQRT(Таблица_pr10[[#This Row],[Удельное сопротивление грунта, Ом·м]]))</f>
        <v/>
      </c>
    </row>
    <row r="42" spans="1:65">
      <c r="A42" s="64">
        <v>37</v>
      </c>
      <c r="B42" s="49">
        <v>500.10000000000099</v>
      </c>
      <c r="C42" s="50">
        <v>63.6</v>
      </c>
      <c r="D42" s="61">
        <f t="shared" si="1"/>
        <v>99.999999999965894</v>
      </c>
      <c r="E42" s="61">
        <f>IFERROR(IF(B42-B41&lt;=0,"",D42/SQRT(Таблица_pr[[#This Row],[Удельное сопротивление грунта, Ом·м]])),D42/SQRT(Таблица_pr[[#This Row],[Удельное сопротивление грунта, Ом·м]]))</f>
        <v>12.539246564383703</v>
      </c>
      <c r="G42" s="188">
        <v>37</v>
      </c>
      <c r="H42" s="175">
        <v>500.10000000000099</v>
      </c>
      <c r="I42" s="182">
        <v>63.6</v>
      </c>
      <c r="J42" s="181">
        <f t="shared" si="2"/>
        <v>99.999999999965894</v>
      </c>
      <c r="K42" s="61">
        <f>IFERROR(IF(H42-H41&lt;=0,"",J42/SQRT(Таблица_pr1[[#This Row],[Удельное сопротивление грунта, Ом·м]])),J42/SQRT(Таблица_pr1[[#This Row],[Удельное сопротивление грунта, Ом·м]]))</f>
        <v>12.539246564383703</v>
      </c>
      <c r="Q42" s="61" t="str">
        <f>IFERROR(IF(N42-N41&lt;=0,"",P42/SQRT(Таблица_pr2[[#This Row],[Удельное сопротивление грунта, Ом·м]])),P42/SQRT(Таблица_pr2[[#This Row],[Удельное сопротивление грунта, Ом·м]]))</f>
        <v/>
      </c>
      <c r="W42" s="61" t="str">
        <f>IFERROR(IF(T42-T41&lt;=0,"",V42/SQRT(Таблица_pr3[[#This Row],[Удельное сопротивление грунта, Ом·м]])),V42/SQRT(Таблица_pr3[[#This Row],[Удельное сопротивление грунта, Ом·м]]))</f>
        <v/>
      </c>
      <c r="AC42" s="61" t="str">
        <f>IFERROR(IF(Z42-Z41&lt;=0,"",AB42/SQRT(Таблица_pr4[[#This Row],[Удельное сопротивление грунта, Ом·м]])),AB42/SQRT(Таблица_pr4[[#This Row],[Удельное сопротивление грунта, Ом·м]]))</f>
        <v/>
      </c>
      <c r="AI42" s="61" t="str">
        <f>IFERROR(IF(AF42-AF41&lt;=0,"",AH42/SQRT(Таблица_pr5[[#This Row],[Удельное сопротивление грунта, Ом·м]])),AH42/SQRT(Таблица_pr5[[#This Row],[Удельное сопротивление грунта, Ом·м]]))</f>
        <v/>
      </c>
      <c r="AO42" s="61" t="str">
        <f>IFERROR(IF(AL42-AL41&lt;=0,"",AN42/SQRT(Таблица_pr6[[#This Row],[Удельное сопротивление грунта, Ом·м]])),AN42/SQRT(Таблица_pr6[[#This Row],[Удельное сопротивление грунта, Ом·м]]))</f>
        <v/>
      </c>
      <c r="AU42" s="61" t="str">
        <f>IFERROR(IF(AR42-AR41&lt;=0,"",AT42/SQRT(Таблица_pr7[[#This Row],[Удельное сопротивление грунта, Ом·м]])),AT42/SQRT(Таблица_pr7[[#This Row],[Удельное сопротивление грунта, Ом·м]]))</f>
        <v/>
      </c>
      <c r="BA42" s="61" t="str">
        <f>IFERROR(IF(AX42-AX41&lt;=0,"",AZ42/SQRT(Таблица_pr8[[#This Row],[Удельное сопротивление грунта, Ом·м]])),AZ42/SQRT(Таблица_pr8[[#This Row],[Удельное сопротивление грунта, Ом·м]]))</f>
        <v/>
      </c>
      <c r="BG42" s="61" t="str">
        <f>IFERROR(IF(BD42-AX61&lt;=0,"",BF42/SQRT(Таблица_pr9[[#This Row],[Удельное сопротивление грунта, Ом·м]])),BF42/SQRT(Таблица_pr9[[#This Row],[Удельное сопротивление грунта, Ом·м]]))</f>
        <v/>
      </c>
      <c r="BI42" s="64"/>
      <c r="BJ42" s="49"/>
      <c r="BK42" s="50"/>
      <c r="BM42" s="61" t="str">
        <f>IFERROR(IF(BJ42-BD71&lt;=0,"",BL42/SQRT(Таблица_pr10[[#This Row],[Удельное сопротивление грунта, Ом·м]])),BL42/SQRT(Таблица_pr10[[#This Row],[Удельное сопротивление грунта, Ом·м]]))</f>
        <v/>
      </c>
    </row>
    <row r="43" spans="1:65">
      <c r="A43" s="64">
        <v>38</v>
      </c>
      <c r="B43" s="49">
        <v>500.20000000000101</v>
      </c>
      <c r="C43" s="50">
        <v>42.6</v>
      </c>
      <c r="D43" s="61">
        <f t="shared" si="1"/>
        <v>100.00000000002274</v>
      </c>
      <c r="E43" s="61">
        <f>IFERROR(IF(B43-B42&lt;=0,"",D43/SQRT(Таблица_pr[[#This Row],[Удельное сопротивление грунта, Ом·м]])),D43/SQRT(Таблица_pr[[#This Row],[Удельное сопротивление грунта, Ом·м]]))</f>
        <v>15.321285325900872</v>
      </c>
      <c r="G43" s="189">
        <v>38</v>
      </c>
      <c r="H43" s="178">
        <v>500.20000000000101</v>
      </c>
      <c r="I43" s="183">
        <v>42.6</v>
      </c>
      <c r="J43" s="180">
        <f t="shared" si="2"/>
        <v>100.00000000002274</v>
      </c>
      <c r="K43" s="61">
        <f>IFERROR(IF(H43-H42&lt;=0,"",J43/SQRT(Таблица_pr1[[#This Row],[Удельное сопротивление грунта, Ом·м]])),J43/SQRT(Таблица_pr1[[#This Row],[Удельное сопротивление грунта, Ом·м]]))</f>
        <v>15.321285325900872</v>
      </c>
      <c r="Q43" s="61" t="str">
        <f>IFERROR(IF(N43-N42&lt;=0,"",P43/SQRT(Таблица_pr2[[#This Row],[Удельное сопротивление грунта, Ом·м]])),P43/SQRT(Таблица_pr2[[#This Row],[Удельное сопротивление грунта, Ом·м]]))</f>
        <v/>
      </c>
      <c r="W43" s="61" t="str">
        <f>IFERROR(IF(T43-T42&lt;=0,"",V43/SQRT(Таблица_pr3[[#This Row],[Удельное сопротивление грунта, Ом·м]])),V43/SQRT(Таблица_pr3[[#This Row],[Удельное сопротивление грунта, Ом·м]]))</f>
        <v/>
      </c>
      <c r="AC43" s="61" t="str">
        <f>IFERROR(IF(Z43-Z42&lt;=0,"",AB43/SQRT(Таблица_pr4[[#This Row],[Удельное сопротивление грунта, Ом·м]])),AB43/SQRT(Таблица_pr4[[#This Row],[Удельное сопротивление грунта, Ом·м]]))</f>
        <v/>
      </c>
      <c r="AI43" s="61" t="str">
        <f>IFERROR(IF(AF43-AF42&lt;=0,"",AH43/SQRT(Таблица_pr5[[#This Row],[Удельное сопротивление грунта, Ом·м]])),AH43/SQRT(Таблица_pr5[[#This Row],[Удельное сопротивление грунта, Ом·м]]))</f>
        <v/>
      </c>
      <c r="AO43" s="61" t="str">
        <f>IFERROR(IF(AL43-AL42&lt;=0,"",AN43/SQRT(Таблица_pr6[[#This Row],[Удельное сопротивление грунта, Ом·м]])),AN43/SQRT(Таблица_pr6[[#This Row],[Удельное сопротивление грунта, Ом·м]]))</f>
        <v/>
      </c>
      <c r="AU43" s="61" t="str">
        <f>IFERROR(IF(AR43-AR42&lt;=0,"",AT43/SQRT(Таблица_pr7[[#This Row],[Удельное сопротивление грунта, Ом·м]])),AT43/SQRT(Таблица_pr7[[#This Row],[Удельное сопротивление грунта, Ом·м]]))</f>
        <v/>
      </c>
      <c r="BA43" s="61" t="str">
        <f>IFERROR(IF(AX43-AX42&lt;=0,"",AZ43/SQRT(Таблица_pr8[[#This Row],[Удельное сопротивление грунта, Ом·м]])),AZ43/SQRT(Таблица_pr8[[#This Row],[Удельное сопротивление грунта, Ом·м]]))</f>
        <v/>
      </c>
      <c r="BG43" s="61" t="str">
        <f>IFERROR(IF(BD43-AX62&lt;=0,"",BF43/SQRT(Таблица_pr9[[#This Row],[Удельное сопротивление грунта, Ом·м]])),BF43/SQRT(Таблица_pr9[[#This Row],[Удельное сопротивление грунта, Ом·м]]))</f>
        <v/>
      </c>
      <c r="BI43" s="64"/>
      <c r="BJ43" s="49"/>
      <c r="BK43" s="50"/>
      <c r="BM43" s="61" t="str">
        <f>IFERROR(IF(BJ43-BD72&lt;=0,"",BL43/SQRT(Таблица_pr10[[#This Row],[Удельное сопротивление грунта, Ом·м]])),BL43/SQRT(Таблица_pr10[[#This Row],[Удельное сопротивление грунта, Ом·м]]))</f>
        <v/>
      </c>
    </row>
    <row r="44" spans="1:65">
      <c r="A44" s="64">
        <v>39</v>
      </c>
      <c r="B44" s="49">
        <v>500.30000000000098</v>
      </c>
      <c r="C44" s="50">
        <v>45</v>
      </c>
      <c r="D44" s="61">
        <f t="shared" si="1"/>
        <v>99.999999999965894</v>
      </c>
      <c r="E44" s="61">
        <f>IFERROR(IF(B44-B43&lt;=0,"",D44/SQRT(Таблица_pr[[#This Row],[Удельное сопротивление грунта, Ом·м]])),D44/SQRT(Таблица_pr[[#This Row],[Удельное сопротивление грунта, Ом·м]]))</f>
        <v>14.907119849993514</v>
      </c>
      <c r="G44" s="188">
        <v>39</v>
      </c>
      <c r="H44" s="175">
        <v>500.30000000000098</v>
      </c>
      <c r="I44" s="182">
        <v>45</v>
      </c>
      <c r="J44" s="181">
        <f t="shared" si="2"/>
        <v>99.999999999965894</v>
      </c>
      <c r="K44" s="61">
        <f>IFERROR(IF(H44-H43&lt;=0,"",J44/SQRT(Таблица_pr1[[#This Row],[Удельное сопротивление грунта, Ом·м]])),J44/SQRT(Таблица_pr1[[#This Row],[Удельное сопротивление грунта, Ом·м]]))</f>
        <v>14.907119849993514</v>
      </c>
      <c r="Q44" s="61" t="str">
        <f>IFERROR(IF(N44-N43&lt;=0,"",P44/SQRT(Таблица_pr2[[#This Row],[Удельное сопротивление грунта, Ом·м]])),P44/SQRT(Таблица_pr2[[#This Row],[Удельное сопротивление грунта, Ом·м]]))</f>
        <v/>
      </c>
      <c r="W44" s="61" t="str">
        <f>IFERROR(IF(T44-T43&lt;=0,"",V44/SQRT(Таблица_pr3[[#This Row],[Удельное сопротивление грунта, Ом·м]])),V44/SQRT(Таблица_pr3[[#This Row],[Удельное сопротивление грунта, Ом·м]]))</f>
        <v/>
      </c>
      <c r="AC44" s="61" t="str">
        <f>IFERROR(IF(Z44-Z43&lt;=0,"",AB44/SQRT(Таблица_pr4[[#This Row],[Удельное сопротивление грунта, Ом·м]])),AB44/SQRT(Таблица_pr4[[#This Row],[Удельное сопротивление грунта, Ом·м]]))</f>
        <v/>
      </c>
      <c r="AI44" s="61" t="str">
        <f>IFERROR(IF(AF44-AF43&lt;=0,"",AH44/SQRT(Таблица_pr5[[#This Row],[Удельное сопротивление грунта, Ом·м]])),AH44/SQRT(Таблица_pr5[[#This Row],[Удельное сопротивление грунта, Ом·м]]))</f>
        <v/>
      </c>
      <c r="AO44" s="61" t="str">
        <f>IFERROR(IF(AL44-AL43&lt;=0,"",AN44/SQRT(Таблица_pr6[[#This Row],[Удельное сопротивление грунта, Ом·м]])),AN44/SQRT(Таблица_pr6[[#This Row],[Удельное сопротивление грунта, Ом·м]]))</f>
        <v/>
      </c>
      <c r="AU44" s="61" t="str">
        <f>IFERROR(IF(AR44-AR43&lt;=0,"",AT44/SQRT(Таблица_pr7[[#This Row],[Удельное сопротивление грунта, Ом·м]])),AT44/SQRT(Таблица_pr7[[#This Row],[Удельное сопротивление грунта, Ом·м]]))</f>
        <v/>
      </c>
      <c r="BA44" s="61" t="str">
        <f>IFERROR(IF(AX44-AX43&lt;=0,"",AZ44/SQRT(Таблица_pr8[[#This Row],[Удельное сопротивление грунта, Ом·м]])),AZ44/SQRT(Таблица_pr8[[#This Row],[Удельное сопротивление грунта, Ом·м]]))</f>
        <v/>
      </c>
      <c r="BG44" s="61" t="str">
        <f>IFERROR(IF(BD44-AX63&lt;=0,"",BF44/SQRT(Таблица_pr9[[#This Row],[Удельное сопротивление грунта, Ом·м]])),BF44/SQRT(Таблица_pr9[[#This Row],[Удельное сопротивление грунта, Ом·м]]))</f>
        <v/>
      </c>
      <c r="BI44" s="64"/>
      <c r="BJ44" s="49"/>
      <c r="BK44" s="50"/>
      <c r="BM44" s="61" t="str">
        <f>IFERROR(IF(BJ44-BD73&lt;=0,"",BL44/SQRT(Таблица_pr10[[#This Row],[Удельное сопротивление грунта, Ом·м]])),BL44/SQRT(Таблица_pr10[[#This Row],[Удельное сопротивление грунта, Ом·м]]))</f>
        <v/>
      </c>
    </row>
    <row r="45" spans="1:65">
      <c r="A45" s="64">
        <v>40</v>
      </c>
      <c r="B45" s="49">
        <v>500.400000000001</v>
      </c>
      <c r="C45" s="50">
        <v>37.700000000000003</v>
      </c>
      <c r="D45" s="61">
        <f t="shared" si="1"/>
        <v>100.00000000002274</v>
      </c>
      <c r="E45" s="61">
        <f>IFERROR(IF(B45-B44&lt;=0,"",D45/SQRT(Таблица_pr[[#This Row],[Удельное сопротивление грунта, Ом·м]])),D45/SQRT(Таблица_pr[[#This Row],[Удельное сопротивление грунта, Ом·м]]))</f>
        <v>16.286558549615112</v>
      </c>
      <c r="G45" s="189">
        <v>40</v>
      </c>
      <c r="H45" s="178">
        <v>500.400000000001</v>
      </c>
      <c r="I45" s="183">
        <v>37.700000000000003</v>
      </c>
      <c r="J45" s="180">
        <f t="shared" si="2"/>
        <v>100.00000000002274</v>
      </c>
      <c r="K45" s="61">
        <f>IFERROR(IF(H45-H44&lt;=0,"",J45/SQRT(Таблица_pr1[[#This Row],[Удельное сопротивление грунта, Ом·м]])),J45/SQRT(Таблица_pr1[[#This Row],[Удельное сопротивление грунта, Ом·м]]))</f>
        <v>16.286558549615112</v>
      </c>
      <c r="Q45" s="61" t="str">
        <f>IFERROR(IF(N45-N44&lt;=0,"",P45/SQRT(Таблица_pr2[[#This Row],[Удельное сопротивление грунта, Ом·м]])),P45/SQRT(Таблица_pr2[[#This Row],[Удельное сопротивление грунта, Ом·м]]))</f>
        <v/>
      </c>
      <c r="W45" s="61" t="str">
        <f>IFERROR(IF(T45-T44&lt;=0,"",V45/SQRT(Таблица_pr3[[#This Row],[Удельное сопротивление грунта, Ом·м]])),V45/SQRT(Таблица_pr3[[#This Row],[Удельное сопротивление грунта, Ом·м]]))</f>
        <v/>
      </c>
      <c r="AC45" s="61" t="str">
        <f>IFERROR(IF(Z45-Z44&lt;=0,"",AB45/SQRT(Таблица_pr4[[#This Row],[Удельное сопротивление грунта, Ом·м]])),AB45/SQRT(Таблица_pr4[[#This Row],[Удельное сопротивление грунта, Ом·м]]))</f>
        <v/>
      </c>
      <c r="AI45" s="61" t="str">
        <f>IFERROR(IF(AF45-AF44&lt;=0,"",AH45/SQRT(Таблица_pr5[[#This Row],[Удельное сопротивление грунта, Ом·м]])),AH45/SQRT(Таблица_pr5[[#This Row],[Удельное сопротивление грунта, Ом·м]]))</f>
        <v/>
      </c>
      <c r="AO45" s="61" t="str">
        <f>IFERROR(IF(AL45-AL44&lt;=0,"",AN45/SQRT(Таблица_pr6[[#This Row],[Удельное сопротивление грунта, Ом·м]])),AN45/SQRT(Таблица_pr6[[#This Row],[Удельное сопротивление грунта, Ом·м]]))</f>
        <v/>
      </c>
      <c r="AU45" s="61" t="str">
        <f>IFERROR(IF(AR45-AR44&lt;=0,"",AT45/SQRT(Таблица_pr7[[#This Row],[Удельное сопротивление грунта, Ом·м]])),AT45/SQRT(Таблица_pr7[[#This Row],[Удельное сопротивление грунта, Ом·м]]))</f>
        <v/>
      </c>
      <c r="BA45" s="61" t="str">
        <f>IFERROR(IF(AX45-AX44&lt;=0,"",AZ45/SQRT(Таблица_pr8[[#This Row],[Удельное сопротивление грунта, Ом·м]])),AZ45/SQRT(Таблица_pr8[[#This Row],[Удельное сопротивление грунта, Ом·м]]))</f>
        <v/>
      </c>
      <c r="BG45" s="61" t="str">
        <f>IFERROR(IF(BD45-AX64&lt;=0,"",BF45/SQRT(Таблица_pr9[[#This Row],[Удельное сопротивление грунта, Ом·м]])),BF45/SQRT(Таблица_pr9[[#This Row],[Удельное сопротивление грунта, Ом·м]]))</f>
        <v/>
      </c>
      <c r="BI45" s="64"/>
      <c r="BJ45" s="49"/>
      <c r="BK45" s="50"/>
      <c r="BM45" s="61" t="str">
        <f>IFERROR(IF(BJ45-BD74&lt;=0,"",BL45/SQRT(Таблица_pr10[[#This Row],[Удельное сопротивление грунта, Ом·м]])),BL45/SQRT(Таблица_pr10[[#This Row],[Удельное сопротивление грунта, Ом·м]]))</f>
        <v/>
      </c>
    </row>
    <row r="46" spans="1:65">
      <c r="A46" s="64">
        <v>41</v>
      </c>
      <c r="B46" s="49">
        <v>500.50000000000102</v>
      </c>
      <c r="C46" s="50">
        <v>37.9</v>
      </c>
      <c r="D46" s="61">
        <f t="shared" si="1"/>
        <v>100.00000000002274</v>
      </c>
      <c r="E46" s="61">
        <f>IFERROR(IF(B46-B45&lt;=0,"",D46/SQRT(Таблица_pr[[#This Row],[Удельное сопротивление грунта, Ом·м]])),D46/SQRT(Таблица_pr[[#This Row],[Удельное сопротивление грунта, Ом·м]]))</f>
        <v>16.243529257651591</v>
      </c>
      <c r="G46" s="188">
        <v>41</v>
      </c>
      <c r="H46" s="175">
        <v>500.50000000000102</v>
      </c>
      <c r="I46" s="182">
        <v>37.9</v>
      </c>
      <c r="J46" s="181">
        <f t="shared" si="2"/>
        <v>100.00000000002274</v>
      </c>
      <c r="K46" s="61">
        <f>IFERROR(IF(H46-H45&lt;=0,"",J46/SQRT(Таблица_pr1[[#This Row],[Удельное сопротивление грунта, Ом·м]])),J46/SQRT(Таблица_pr1[[#This Row],[Удельное сопротивление грунта, Ом·м]]))</f>
        <v>16.243529257651591</v>
      </c>
      <c r="Q46" s="61" t="str">
        <f>IFERROR(IF(N46-N45&lt;=0,"",P46/SQRT(Таблица_pr2[[#This Row],[Удельное сопротивление грунта, Ом·м]])),P46/SQRT(Таблица_pr2[[#This Row],[Удельное сопротивление грунта, Ом·м]]))</f>
        <v/>
      </c>
      <c r="W46" s="61" t="str">
        <f>IFERROR(IF(T46-T45&lt;=0,"",V46/SQRT(Таблица_pr3[[#This Row],[Удельное сопротивление грунта, Ом·м]])),V46/SQRT(Таблица_pr3[[#This Row],[Удельное сопротивление грунта, Ом·м]]))</f>
        <v/>
      </c>
      <c r="AC46" s="61" t="str">
        <f>IFERROR(IF(Z46-Z45&lt;=0,"",AB46/SQRT(Таблица_pr4[[#This Row],[Удельное сопротивление грунта, Ом·м]])),AB46/SQRT(Таблица_pr4[[#This Row],[Удельное сопротивление грунта, Ом·м]]))</f>
        <v/>
      </c>
      <c r="AI46" s="61" t="str">
        <f>IFERROR(IF(AF46-AF45&lt;=0,"",AH46/SQRT(Таблица_pr5[[#This Row],[Удельное сопротивление грунта, Ом·м]])),AH46/SQRT(Таблица_pr5[[#This Row],[Удельное сопротивление грунта, Ом·м]]))</f>
        <v/>
      </c>
      <c r="AO46" s="61" t="str">
        <f>IFERROR(IF(AL46-AL45&lt;=0,"",AN46/SQRT(Таблица_pr6[[#This Row],[Удельное сопротивление грунта, Ом·м]])),AN46/SQRT(Таблица_pr6[[#This Row],[Удельное сопротивление грунта, Ом·м]]))</f>
        <v/>
      </c>
      <c r="AU46" s="61" t="str">
        <f>IFERROR(IF(AR46-AR45&lt;=0,"",AT46/SQRT(Таблица_pr7[[#This Row],[Удельное сопротивление грунта, Ом·м]])),AT46/SQRT(Таблица_pr7[[#This Row],[Удельное сопротивление грунта, Ом·м]]))</f>
        <v/>
      </c>
      <c r="BA46" s="61" t="str">
        <f>IFERROR(IF(AX46-AX45&lt;=0,"",AZ46/SQRT(Таблица_pr8[[#This Row],[Удельное сопротивление грунта, Ом·м]])),AZ46/SQRT(Таблица_pr8[[#This Row],[Удельное сопротивление грунта, Ом·м]]))</f>
        <v/>
      </c>
      <c r="BG46" s="61" t="str">
        <f>IFERROR(IF(BD46-AX65&lt;=0,"",BF46/SQRT(Таблица_pr9[[#This Row],[Удельное сопротивление грунта, Ом·м]])),BF46/SQRT(Таблица_pr9[[#This Row],[Удельное сопротивление грунта, Ом·м]]))</f>
        <v/>
      </c>
      <c r="BI46" s="64"/>
      <c r="BJ46" s="49"/>
      <c r="BK46" s="50"/>
      <c r="BM46" s="61" t="str">
        <f>IFERROR(IF(BJ46-BD75&lt;=0,"",BL46/SQRT(Таблица_pr10[[#This Row],[Удельное сопротивление грунта, Ом·м]])),BL46/SQRT(Таблица_pr10[[#This Row],[Удельное сопротивление грунта, Ом·м]]))</f>
        <v/>
      </c>
    </row>
    <row r="47" spans="1:65">
      <c r="A47" s="64">
        <v>42</v>
      </c>
      <c r="B47" s="49">
        <v>500.60000000000099</v>
      </c>
      <c r="C47" s="50">
        <v>40.9</v>
      </c>
      <c r="D47" s="61">
        <f t="shared" si="1"/>
        <v>99.999999999965894</v>
      </c>
      <c r="E47" s="61">
        <f>IFERROR(IF(B47-B46&lt;=0,"",D47/SQRT(Таблица_pr[[#This Row],[Удельное сопротивление грунта, Ом·м]])),D47/SQRT(Таблица_pr[[#This Row],[Удельное сопротивление грунта, Ом·м]]))</f>
        <v>15.636456680013719</v>
      </c>
      <c r="G47" s="189">
        <v>42</v>
      </c>
      <c r="H47" s="178">
        <v>500.60000000000099</v>
      </c>
      <c r="I47" s="183">
        <v>40.9</v>
      </c>
      <c r="J47" s="180">
        <f t="shared" si="2"/>
        <v>99.999999999965894</v>
      </c>
      <c r="K47" s="61">
        <f>IFERROR(IF(H47-H46&lt;=0,"",J47/SQRT(Таблица_pr1[[#This Row],[Удельное сопротивление грунта, Ом·м]])),J47/SQRT(Таблица_pr1[[#This Row],[Удельное сопротивление грунта, Ом·м]]))</f>
        <v>15.636456680013719</v>
      </c>
      <c r="Q47" s="61" t="str">
        <f>IFERROR(IF(N47-N46&lt;=0,"",P47/SQRT(Таблица_pr2[[#This Row],[Удельное сопротивление грунта, Ом·м]])),P47/SQRT(Таблица_pr2[[#This Row],[Удельное сопротивление грунта, Ом·м]]))</f>
        <v/>
      </c>
      <c r="W47" s="61" t="str">
        <f>IFERROR(IF(T47-T46&lt;=0,"",V47/SQRT(Таблица_pr3[[#This Row],[Удельное сопротивление грунта, Ом·м]])),V47/SQRT(Таблица_pr3[[#This Row],[Удельное сопротивление грунта, Ом·м]]))</f>
        <v/>
      </c>
      <c r="AC47" s="61" t="str">
        <f>IFERROR(IF(Z47-Z46&lt;=0,"",AB47/SQRT(Таблица_pr4[[#This Row],[Удельное сопротивление грунта, Ом·м]])),AB47/SQRT(Таблица_pr4[[#This Row],[Удельное сопротивление грунта, Ом·м]]))</f>
        <v/>
      </c>
      <c r="AI47" s="61" t="str">
        <f>IFERROR(IF(AF47-AF46&lt;=0,"",AH47/SQRT(Таблица_pr5[[#This Row],[Удельное сопротивление грунта, Ом·м]])),AH47/SQRT(Таблица_pr5[[#This Row],[Удельное сопротивление грунта, Ом·м]]))</f>
        <v/>
      </c>
      <c r="AO47" s="61" t="str">
        <f>IFERROR(IF(AL47-AL46&lt;=0,"",AN47/SQRT(Таблица_pr6[[#This Row],[Удельное сопротивление грунта, Ом·м]])),AN47/SQRT(Таблица_pr6[[#This Row],[Удельное сопротивление грунта, Ом·м]]))</f>
        <v/>
      </c>
      <c r="AU47" s="61" t="str">
        <f>IFERROR(IF(AR47-AR46&lt;=0,"",AT47/SQRT(Таблица_pr7[[#This Row],[Удельное сопротивление грунта, Ом·м]])),AT47/SQRT(Таблица_pr7[[#This Row],[Удельное сопротивление грунта, Ом·м]]))</f>
        <v/>
      </c>
      <c r="BA47" s="61" t="str">
        <f>IFERROR(IF(AX47-AX46&lt;=0,"",AZ47/SQRT(Таблица_pr8[[#This Row],[Удельное сопротивление грунта, Ом·м]])),AZ47/SQRT(Таблица_pr8[[#This Row],[Удельное сопротивление грунта, Ом·м]]))</f>
        <v/>
      </c>
      <c r="BG47" s="61" t="str">
        <f>IFERROR(IF(BD47-AX66&lt;=0,"",BF47/SQRT(Таблица_pr9[[#This Row],[Удельное сопротивление грунта, Ом·м]])),BF47/SQRT(Таблица_pr9[[#This Row],[Удельное сопротивление грунта, Ом·м]]))</f>
        <v/>
      </c>
      <c r="BI47" s="64"/>
      <c r="BJ47" s="49"/>
      <c r="BK47" s="50"/>
      <c r="BM47" s="61" t="str">
        <f>IFERROR(IF(BJ47-BD76&lt;=0,"",BL47/SQRT(Таблица_pr10[[#This Row],[Удельное сопротивление грунта, Ом·м]])),BL47/SQRT(Таблица_pr10[[#This Row],[Удельное сопротивление грунта, Ом·м]]))</f>
        <v/>
      </c>
    </row>
    <row r="48" spans="1:65">
      <c r="A48" s="64">
        <v>43</v>
      </c>
      <c r="B48" s="49">
        <v>500.70000000000101</v>
      </c>
      <c r="C48" s="50">
        <v>46</v>
      </c>
      <c r="D48" s="61">
        <f t="shared" si="1"/>
        <v>100.00000000002274</v>
      </c>
      <c r="E48" s="61">
        <f>IFERROR(IF(B48-B47&lt;=0,"",D48/SQRT(Таблица_pr[[#This Row],[Удельное сопротивление грунта, Ом·м]])),D48/SQRT(Таблица_pr[[#This Row],[Удельное сопротивление грунта, Ом·м]]))</f>
        <v>14.744195615493066</v>
      </c>
      <c r="G48" s="188">
        <v>43</v>
      </c>
      <c r="H48" s="175">
        <v>500.70000000000101</v>
      </c>
      <c r="I48" s="182">
        <v>46</v>
      </c>
      <c r="J48" s="181">
        <f t="shared" si="2"/>
        <v>100.00000000002274</v>
      </c>
      <c r="K48" s="61">
        <f>IFERROR(IF(H48-H47&lt;=0,"",J48/SQRT(Таблица_pr1[[#This Row],[Удельное сопротивление грунта, Ом·м]])),J48/SQRT(Таблица_pr1[[#This Row],[Удельное сопротивление грунта, Ом·м]]))</f>
        <v>14.744195615493066</v>
      </c>
      <c r="Q48" s="61" t="str">
        <f>IFERROR(IF(N48-N47&lt;=0,"",P48/SQRT(Таблица_pr2[[#This Row],[Удельное сопротивление грунта, Ом·м]])),P48/SQRT(Таблица_pr2[[#This Row],[Удельное сопротивление грунта, Ом·м]]))</f>
        <v/>
      </c>
      <c r="W48" s="61" t="str">
        <f>IFERROR(IF(T48-T47&lt;=0,"",V48/SQRT(Таблица_pr3[[#This Row],[Удельное сопротивление грунта, Ом·м]])),V48/SQRT(Таблица_pr3[[#This Row],[Удельное сопротивление грунта, Ом·м]]))</f>
        <v/>
      </c>
      <c r="AC48" s="61" t="str">
        <f>IFERROR(IF(Z48-Z47&lt;=0,"",AB48/SQRT(Таблица_pr4[[#This Row],[Удельное сопротивление грунта, Ом·м]])),AB48/SQRT(Таблица_pr4[[#This Row],[Удельное сопротивление грунта, Ом·м]]))</f>
        <v/>
      </c>
      <c r="AI48" s="61" t="str">
        <f>IFERROR(IF(AF48-AF47&lt;=0,"",AH48/SQRT(Таблица_pr5[[#This Row],[Удельное сопротивление грунта, Ом·м]])),AH48/SQRT(Таблица_pr5[[#This Row],[Удельное сопротивление грунта, Ом·м]]))</f>
        <v/>
      </c>
      <c r="AO48" s="61" t="str">
        <f>IFERROR(IF(AL48-AL47&lt;=0,"",AN48/SQRT(Таблица_pr6[[#This Row],[Удельное сопротивление грунта, Ом·м]])),AN48/SQRT(Таблица_pr6[[#This Row],[Удельное сопротивление грунта, Ом·м]]))</f>
        <v/>
      </c>
      <c r="AU48" s="61" t="str">
        <f>IFERROR(IF(AR48-AR47&lt;=0,"",AT48/SQRT(Таблица_pr7[[#This Row],[Удельное сопротивление грунта, Ом·м]])),AT48/SQRT(Таблица_pr7[[#This Row],[Удельное сопротивление грунта, Ом·м]]))</f>
        <v/>
      </c>
      <c r="BA48" s="61" t="str">
        <f>IFERROR(IF(AX48-AX47&lt;=0,"",AZ48/SQRT(Таблица_pr8[[#This Row],[Удельное сопротивление грунта, Ом·м]])),AZ48/SQRT(Таблица_pr8[[#This Row],[Удельное сопротивление грунта, Ом·м]]))</f>
        <v/>
      </c>
      <c r="BG48" s="61" t="str">
        <f>IFERROR(IF(BD48-AX67&lt;=0,"",BF48/SQRT(Таблица_pr9[[#This Row],[Удельное сопротивление грунта, Ом·м]])),BF48/SQRT(Таблица_pr9[[#This Row],[Удельное сопротивление грунта, Ом·м]]))</f>
        <v/>
      </c>
      <c r="BI48" s="64"/>
      <c r="BJ48" s="49"/>
      <c r="BK48" s="50"/>
      <c r="BM48" s="61" t="str">
        <f>IFERROR(IF(BJ48-BD77&lt;=0,"",BL48/SQRT(Таблица_pr10[[#This Row],[Удельное сопротивление грунта, Ом·м]])),BL48/SQRT(Таблица_pr10[[#This Row],[Удельное сопротивление грунта, Ом·м]]))</f>
        <v/>
      </c>
    </row>
    <row r="49" spans="1:65">
      <c r="A49" s="64">
        <v>44</v>
      </c>
      <c r="B49" s="49">
        <v>500.80000000000098</v>
      </c>
      <c r="C49" s="50">
        <v>48.6</v>
      </c>
      <c r="D49" s="61">
        <f t="shared" si="1"/>
        <v>99.999999999965894</v>
      </c>
      <c r="E49" s="61">
        <f>IFERROR(IF(B49-B48&lt;=0,"",D49/SQRT(Таблица_pr[[#This Row],[Удельное сопротивление грунта, Ом·м]])),D49/SQRT(Таблица_pr[[#This Row],[Удельное сопротивление грунта, Ом·м]]))</f>
        <v>14.34438276372628</v>
      </c>
      <c r="G49" s="189">
        <v>44</v>
      </c>
      <c r="H49" s="178">
        <v>500.80000000000098</v>
      </c>
      <c r="I49" s="183">
        <v>48.6</v>
      </c>
      <c r="J49" s="180">
        <f t="shared" si="2"/>
        <v>99.999999999965894</v>
      </c>
      <c r="K49" s="61">
        <f>IFERROR(IF(H49-H48&lt;=0,"",J49/SQRT(Таблица_pr1[[#This Row],[Удельное сопротивление грунта, Ом·м]])),J49/SQRT(Таблица_pr1[[#This Row],[Удельное сопротивление грунта, Ом·м]]))</f>
        <v>14.34438276372628</v>
      </c>
      <c r="Q49" s="61" t="str">
        <f>IFERROR(IF(N49-N48&lt;=0,"",P49/SQRT(Таблица_pr2[[#This Row],[Удельное сопротивление грунта, Ом·м]])),P49/SQRT(Таблица_pr2[[#This Row],[Удельное сопротивление грунта, Ом·м]]))</f>
        <v/>
      </c>
      <c r="W49" s="61" t="str">
        <f>IFERROR(IF(T49-T48&lt;=0,"",V49/SQRT(Таблица_pr3[[#This Row],[Удельное сопротивление грунта, Ом·м]])),V49/SQRT(Таблица_pr3[[#This Row],[Удельное сопротивление грунта, Ом·м]]))</f>
        <v/>
      </c>
      <c r="AC49" s="61" t="str">
        <f>IFERROR(IF(Z49-Z48&lt;=0,"",AB49/SQRT(Таблица_pr4[[#This Row],[Удельное сопротивление грунта, Ом·м]])),AB49/SQRT(Таблица_pr4[[#This Row],[Удельное сопротивление грунта, Ом·м]]))</f>
        <v/>
      </c>
      <c r="AI49" s="61" t="str">
        <f>IFERROR(IF(AF49-AF48&lt;=0,"",AH49/SQRT(Таблица_pr5[[#This Row],[Удельное сопротивление грунта, Ом·м]])),AH49/SQRT(Таблица_pr5[[#This Row],[Удельное сопротивление грунта, Ом·м]]))</f>
        <v/>
      </c>
      <c r="AO49" s="61" t="str">
        <f>IFERROR(IF(AL49-AL48&lt;=0,"",AN49/SQRT(Таблица_pr6[[#This Row],[Удельное сопротивление грунта, Ом·м]])),AN49/SQRT(Таблица_pr6[[#This Row],[Удельное сопротивление грунта, Ом·м]]))</f>
        <v/>
      </c>
      <c r="AU49" s="61" t="str">
        <f>IFERROR(IF(AR49-AR48&lt;=0,"",AT49/SQRT(Таблица_pr7[[#This Row],[Удельное сопротивление грунта, Ом·м]])),AT49/SQRT(Таблица_pr7[[#This Row],[Удельное сопротивление грунта, Ом·м]]))</f>
        <v/>
      </c>
      <c r="BA49" s="61" t="str">
        <f>IFERROR(IF(AX49-AX48&lt;=0,"",AZ49/SQRT(Таблица_pr8[[#This Row],[Удельное сопротивление грунта, Ом·м]])),AZ49/SQRT(Таблица_pr8[[#This Row],[Удельное сопротивление грунта, Ом·м]]))</f>
        <v/>
      </c>
      <c r="BG49" s="61" t="str">
        <f>IFERROR(IF(BD49-AX68&lt;=0,"",BF49/SQRT(Таблица_pr9[[#This Row],[Удельное сопротивление грунта, Ом·м]])),BF49/SQRT(Таблица_pr9[[#This Row],[Удельное сопротивление грунта, Ом·м]]))</f>
        <v/>
      </c>
      <c r="BI49" s="64"/>
      <c r="BJ49" s="49"/>
      <c r="BK49" s="50"/>
      <c r="BM49" s="61" t="str">
        <f>IFERROR(IF(BJ49-BD78&lt;=0,"",BL49/SQRT(Таблица_pr10[[#This Row],[Удельное сопротивление грунта, Ом·м]])),BL49/SQRT(Таблица_pr10[[#This Row],[Удельное сопротивление грунта, Ом·м]]))</f>
        <v/>
      </c>
    </row>
    <row r="50" spans="1:65">
      <c r="A50" s="64">
        <v>45</v>
      </c>
      <c r="B50" s="49">
        <v>500.900000000001</v>
      </c>
      <c r="C50" s="50">
        <v>50.6</v>
      </c>
      <c r="D50" s="61">
        <f t="shared" si="1"/>
        <v>100.00000000002274</v>
      </c>
      <c r="E50" s="61">
        <f>IFERROR(IF(B50-B49&lt;=0,"",D50/SQRT(Таблица_pr[[#This Row],[Удельное сопротивление грунта, Ом·м]])),D50/SQRT(Таблица_pr[[#This Row],[Удельное сопротивление грунта, Ом·м]]))</f>
        <v>14.058038927891529</v>
      </c>
      <c r="G50" s="188">
        <v>45</v>
      </c>
      <c r="H50" s="175">
        <v>500.900000000001</v>
      </c>
      <c r="I50" s="182">
        <v>50.6</v>
      </c>
      <c r="J50" s="181">
        <f t="shared" si="2"/>
        <v>100.00000000002274</v>
      </c>
      <c r="K50" s="61">
        <f>IFERROR(IF(H50-H49&lt;=0,"",J50/SQRT(Таблица_pr1[[#This Row],[Удельное сопротивление грунта, Ом·м]])),J50/SQRT(Таблица_pr1[[#This Row],[Удельное сопротивление грунта, Ом·м]]))</f>
        <v>14.058038927891529</v>
      </c>
      <c r="Q50" s="61" t="str">
        <f>IFERROR(IF(N50-N49&lt;=0,"",P50/SQRT(Таблица_pr2[[#This Row],[Удельное сопротивление грунта, Ом·м]])),P50/SQRT(Таблица_pr2[[#This Row],[Удельное сопротивление грунта, Ом·м]]))</f>
        <v/>
      </c>
      <c r="W50" s="61" t="str">
        <f>IFERROR(IF(T50-T49&lt;=0,"",V50/SQRT(Таблица_pr3[[#This Row],[Удельное сопротивление грунта, Ом·м]])),V50/SQRT(Таблица_pr3[[#This Row],[Удельное сопротивление грунта, Ом·м]]))</f>
        <v/>
      </c>
      <c r="AC50" s="61" t="str">
        <f>IFERROR(IF(Z50-Z49&lt;=0,"",AB50/SQRT(Таблица_pr4[[#This Row],[Удельное сопротивление грунта, Ом·м]])),AB50/SQRT(Таблица_pr4[[#This Row],[Удельное сопротивление грунта, Ом·м]]))</f>
        <v/>
      </c>
      <c r="AI50" s="61" t="str">
        <f>IFERROR(IF(AF50-AF49&lt;=0,"",AH50/SQRT(Таблица_pr5[[#This Row],[Удельное сопротивление грунта, Ом·м]])),AH50/SQRT(Таблица_pr5[[#This Row],[Удельное сопротивление грунта, Ом·м]]))</f>
        <v/>
      </c>
      <c r="AO50" s="61" t="str">
        <f>IFERROR(IF(AL50-AL49&lt;=0,"",AN50/SQRT(Таблица_pr6[[#This Row],[Удельное сопротивление грунта, Ом·м]])),AN50/SQRT(Таблица_pr6[[#This Row],[Удельное сопротивление грунта, Ом·м]]))</f>
        <v/>
      </c>
      <c r="AU50" s="61" t="str">
        <f>IFERROR(IF(AR50-AR49&lt;=0,"",AT50/SQRT(Таблица_pr7[[#This Row],[Удельное сопротивление грунта, Ом·м]])),AT50/SQRT(Таблица_pr7[[#This Row],[Удельное сопротивление грунта, Ом·м]]))</f>
        <v/>
      </c>
      <c r="BA50" s="61" t="str">
        <f>IFERROR(IF(AX50-AX49&lt;=0,"",AZ50/SQRT(Таблица_pr8[[#This Row],[Удельное сопротивление грунта, Ом·м]])),AZ50/SQRT(Таблица_pr8[[#This Row],[Удельное сопротивление грунта, Ом·м]]))</f>
        <v/>
      </c>
      <c r="BG50" s="61" t="str">
        <f>IFERROR(IF(BD50-AX69&lt;=0,"",BF50/SQRT(Таблица_pr9[[#This Row],[Удельное сопротивление грунта, Ом·м]])),BF50/SQRT(Таблица_pr9[[#This Row],[Удельное сопротивление грунта, Ом·м]]))</f>
        <v/>
      </c>
      <c r="BI50" s="64"/>
      <c r="BJ50" s="49"/>
      <c r="BK50" s="50"/>
      <c r="BM50" s="61" t="str">
        <f>IFERROR(IF(BJ50-BD79&lt;=0,"",BL50/SQRT(Таблица_pr10[[#This Row],[Удельное сопротивление грунта, Ом·м]])),BL50/SQRT(Таблица_pr10[[#This Row],[Удельное сопротивление грунта, Ом·м]]))</f>
        <v/>
      </c>
    </row>
    <row r="51" spans="1:65">
      <c r="A51" s="64">
        <v>46</v>
      </c>
      <c r="B51" s="49">
        <v>501.00000000000102</v>
      </c>
      <c r="C51" s="50">
        <v>53.8</v>
      </c>
      <c r="D51" s="61">
        <f t="shared" si="1"/>
        <v>100.00000000002274</v>
      </c>
      <c r="E51" s="61">
        <f>IFERROR(IF(B51-B50&lt;=0,"",D51/SQRT(Таблица_pr[[#This Row],[Удельное сопротивление грунта, Ом·м]])),D51/SQRT(Таблица_pr[[#This Row],[Удельное сопротивление грунта, Ом·м]]))</f>
        <v>13.633547078733397</v>
      </c>
      <c r="G51" s="189">
        <v>46</v>
      </c>
      <c r="H51" s="178">
        <v>501.00000000000102</v>
      </c>
      <c r="I51" s="183">
        <v>53.8</v>
      </c>
      <c r="J51" s="180">
        <f t="shared" si="2"/>
        <v>100.00000000002274</v>
      </c>
      <c r="K51" s="61">
        <f>IFERROR(IF(H51-H50&lt;=0,"",J51/SQRT(Таблица_pr1[[#This Row],[Удельное сопротивление грунта, Ом·м]])),J51/SQRT(Таблица_pr1[[#This Row],[Удельное сопротивление грунта, Ом·м]]))</f>
        <v>13.633547078733397</v>
      </c>
      <c r="Q51" s="61" t="str">
        <f>IFERROR(IF(N51-N50&lt;=0,"",P51/SQRT(Таблица_pr2[[#This Row],[Удельное сопротивление грунта, Ом·м]])),P51/SQRT(Таблица_pr2[[#This Row],[Удельное сопротивление грунта, Ом·м]]))</f>
        <v/>
      </c>
      <c r="W51" s="61" t="str">
        <f>IFERROR(IF(T51-T50&lt;=0,"",V51/SQRT(Таблица_pr3[[#This Row],[Удельное сопротивление грунта, Ом·м]])),V51/SQRT(Таблица_pr3[[#This Row],[Удельное сопротивление грунта, Ом·м]]))</f>
        <v/>
      </c>
      <c r="AC51" s="61" t="str">
        <f>IFERROR(IF(Z51-Z50&lt;=0,"",AB51/SQRT(Таблица_pr4[[#This Row],[Удельное сопротивление грунта, Ом·м]])),AB51/SQRT(Таблица_pr4[[#This Row],[Удельное сопротивление грунта, Ом·м]]))</f>
        <v/>
      </c>
      <c r="AI51" s="61" t="str">
        <f>IFERROR(IF(AF51-AF50&lt;=0,"",AH51/SQRT(Таблица_pr5[[#This Row],[Удельное сопротивление грунта, Ом·м]])),AH51/SQRT(Таблица_pr5[[#This Row],[Удельное сопротивление грунта, Ом·м]]))</f>
        <v/>
      </c>
      <c r="AO51" s="61" t="str">
        <f>IFERROR(IF(AL51-AL50&lt;=0,"",AN51/SQRT(Таблица_pr6[[#This Row],[Удельное сопротивление грунта, Ом·м]])),AN51/SQRT(Таблица_pr6[[#This Row],[Удельное сопротивление грунта, Ом·м]]))</f>
        <v/>
      </c>
      <c r="AU51" s="61" t="str">
        <f>IFERROR(IF(AR51-AR50&lt;=0,"",AT51/SQRT(Таблица_pr7[[#This Row],[Удельное сопротивление грунта, Ом·м]])),AT51/SQRT(Таблица_pr7[[#This Row],[Удельное сопротивление грунта, Ом·м]]))</f>
        <v/>
      </c>
      <c r="BA51" s="61" t="str">
        <f>IFERROR(IF(AX51-AX50&lt;=0,"",AZ51/SQRT(Таблица_pr8[[#This Row],[Удельное сопротивление грунта, Ом·м]])),AZ51/SQRT(Таблица_pr8[[#This Row],[Удельное сопротивление грунта, Ом·м]]))</f>
        <v/>
      </c>
      <c r="BG51" s="61" t="str">
        <f>IFERROR(IF(BD51-AX70&lt;=0,"",BF51/SQRT(Таблица_pr9[[#This Row],[Удельное сопротивление грунта, Ом·м]])),BF51/SQRT(Таблица_pr9[[#This Row],[Удельное сопротивление грунта, Ом·м]]))</f>
        <v/>
      </c>
      <c r="BI51" s="64"/>
      <c r="BJ51" s="49"/>
      <c r="BK51" s="50"/>
      <c r="BM51" s="61" t="str">
        <f>IFERROR(IF(BJ51-BD80&lt;=0,"",BL51/SQRT(Таблица_pr10[[#This Row],[Удельное сопротивление грунта, Ом·м]])),BL51/SQRT(Таблица_pr10[[#This Row],[Удельное сопротивление грунта, Ом·м]]))</f>
        <v/>
      </c>
    </row>
    <row r="52" spans="1:65">
      <c r="A52" s="64">
        <v>47</v>
      </c>
      <c r="B52" s="49">
        <v>501.10000000000105</v>
      </c>
      <c r="C52" s="50">
        <v>31.5</v>
      </c>
      <c r="D52" s="61">
        <f t="shared" si="1"/>
        <v>100.00000000002274</v>
      </c>
      <c r="E52" s="61">
        <f>IFERROR(IF(B52-B51&lt;=0,"",D52/SQRT(Таблица_pr[[#This Row],[Удельное сопротивление грунта, Ом·м]])),D52/SQRT(Таблица_pr[[#This Row],[Удельное сопротивление грунта, Ом·м]]))</f>
        <v>17.817416127499008</v>
      </c>
      <c r="G52" s="188">
        <v>47</v>
      </c>
      <c r="H52" s="175">
        <v>501.10000000000105</v>
      </c>
      <c r="I52" s="182">
        <v>31.5</v>
      </c>
      <c r="J52" s="181">
        <f t="shared" si="2"/>
        <v>100.00000000002274</v>
      </c>
      <c r="K52" s="61">
        <f>IFERROR(IF(H52-H51&lt;=0,"",J52/SQRT(Таблица_pr1[[#This Row],[Удельное сопротивление грунта, Ом·м]])),J52/SQRT(Таблица_pr1[[#This Row],[Удельное сопротивление грунта, Ом·м]]))</f>
        <v>17.817416127499008</v>
      </c>
      <c r="Q52" s="61" t="str">
        <f>IFERROR(IF(N52-N51&lt;=0,"",P52/SQRT(Таблица_pr2[[#This Row],[Удельное сопротивление грунта, Ом·м]])),P52/SQRT(Таблица_pr2[[#This Row],[Удельное сопротивление грунта, Ом·м]]))</f>
        <v/>
      </c>
      <c r="W52" s="61" t="str">
        <f>IFERROR(IF(T52-T51&lt;=0,"",V52/SQRT(Таблица_pr3[[#This Row],[Удельное сопротивление грунта, Ом·м]])),V52/SQRT(Таблица_pr3[[#This Row],[Удельное сопротивление грунта, Ом·м]]))</f>
        <v/>
      </c>
      <c r="AC52" s="61" t="str">
        <f>IFERROR(IF(Z52-Z51&lt;=0,"",AB52/SQRT(Таблица_pr4[[#This Row],[Удельное сопротивление грунта, Ом·м]])),AB52/SQRT(Таблица_pr4[[#This Row],[Удельное сопротивление грунта, Ом·м]]))</f>
        <v/>
      </c>
      <c r="AI52" s="61" t="str">
        <f>IFERROR(IF(AF52-AF51&lt;=0,"",AH52/SQRT(Таблица_pr5[[#This Row],[Удельное сопротивление грунта, Ом·м]])),AH52/SQRT(Таблица_pr5[[#This Row],[Удельное сопротивление грунта, Ом·м]]))</f>
        <v/>
      </c>
      <c r="AO52" s="61" t="str">
        <f>IFERROR(IF(AL52-AL51&lt;=0,"",AN52/SQRT(Таблица_pr6[[#This Row],[Удельное сопротивление грунта, Ом·м]])),AN52/SQRT(Таблица_pr6[[#This Row],[Удельное сопротивление грунта, Ом·м]]))</f>
        <v/>
      </c>
      <c r="AU52" s="61" t="str">
        <f>IFERROR(IF(AR52-AR51&lt;=0,"",AT52/SQRT(Таблица_pr7[[#This Row],[Удельное сопротивление грунта, Ом·м]])),AT52/SQRT(Таблица_pr7[[#This Row],[Удельное сопротивление грунта, Ом·м]]))</f>
        <v/>
      </c>
      <c r="BA52" s="61" t="str">
        <f>IFERROR(IF(AX52-AX51&lt;=0,"",AZ52/SQRT(Таблица_pr8[[#This Row],[Удельное сопротивление грунта, Ом·м]])),AZ52/SQRT(Таблица_pr8[[#This Row],[Удельное сопротивление грунта, Ом·м]]))</f>
        <v/>
      </c>
      <c r="BG52" s="61" t="str">
        <f>IFERROR(IF(BD52-AX71&lt;=0,"",BF52/SQRT(Таблица_pr9[[#This Row],[Удельное сопротивление грунта, Ом·м]])),BF52/SQRT(Таблица_pr9[[#This Row],[Удельное сопротивление грунта, Ом·м]]))</f>
        <v/>
      </c>
      <c r="BI52" s="64"/>
      <c r="BJ52" s="49"/>
      <c r="BK52" s="50"/>
      <c r="BM52" s="61" t="str">
        <f>IFERROR(IF(BJ52-BD81&lt;=0,"",BL52/SQRT(Таблица_pr10[[#This Row],[Удельное сопротивление грунта, Ом·м]])),BL52/SQRT(Таблица_pr10[[#This Row],[Удельное сопротивление грунта, Ом·м]]))</f>
        <v/>
      </c>
    </row>
    <row r="53" spans="1:65">
      <c r="A53" s="64">
        <v>48</v>
      </c>
      <c r="B53" s="49">
        <v>501.20000000000107</v>
      </c>
      <c r="C53" s="50">
        <v>61.6</v>
      </c>
      <c r="D53" s="61">
        <f t="shared" si="1"/>
        <v>100.00000000002274</v>
      </c>
      <c r="E53" s="61">
        <f>IFERROR(IF(B53-B52&lt;=0,"",D53/SQRT(Таблица_pr[[#This Row],[Удельное сопротивление грунта, Ом·м]])),D53/SQRT(Таблица_pr[[#This Row],[Удельное сопротивление грунта, Ом·м]]))</f>
        <v>12.741179785943535</v>
      </c>
      <c r="G53" s="189">
        <v>48</v>
      </c>
      <c r="H53" s="178">
        <v>501.20000000000107</v>
      </c>
      <c r="I53" s="183">
        <v>61.6</v>
      </c>
      <c r="J53" s="180">
        <f t="shared" si="2"/>
        <v>100.00000000002274</v>
      </c>
      <c r="K53" s="61">
        <f>IFERROR(IF(H53-H52&lt;=0,"",J53/SQRT(Таблица_pr1[[#This Row],[Удельное сопротивление грунта, Ом·м]])),J53/SQRT(Таблица_pr1[[#This Row],[Удельное сопротивление грунта, Ом·м]]))</f>
        <v>12.741179785943535</v>
      </c>
      <c r="Q53" s="61" t="str">
        <f>IFERROR(IF(N53-N52&lt;=0,"",P53/SQRT(Таблица_pr2[[#This Row],[Удельное сопротивление грунта, Ом·м]])),P53/SQRT(Таблица_pr2[[#This Row],[Удельное сопротивление грунта, Ом·м]]))</f>
        <v/>
      </c>
      <c r="W53" s="61" t="str">
        <f>IFERROR(IF(T53-T52&lt;=0,"",V53/SQRT(Таблица_pr3[[#This Row],[Удельное сопротивление грунта, Ом·м]])),V53/SQRT(Таблица_pr3[[#This Row],[Удельное сопротивление грунта, Ом·м]]))</f>
        <v/>
      </c>
      <c r="AC53" s="61" t="str">
        <f>IFERROR(IF(Z53-Z52&lt;=0,"",AB53/SQRT(Таблица_pr4[[#This Row],[Удельное сопротивление грунта, Ом·м]])),AB53/SQRT(Таблица_pr4[[#This Row],[Удельное сопротивление грунта, Ом·м]]))</f>
        <v/>
      </c>
      <c r="AI53" s="61" t="str">
        <f>IFERROR(IF(AF53-AF52&lt;=0,"",AH53/SQRT(Таблица_pr5[[#This Row],[Удельное сопротивление грунта, Ом·м]])),AH53/SQRT(Таблица_pr5[[#This Row],[Удельное сопротивление грунта, Ом·м]]))</f>
        <v/>
      </c>
      <c r="AO53" s="61" t="str">
        <f>IFERROR(IF(AL53-AL52&lt;=0,"",AN53/SQRT(Таблица_pr6[[#This Row],[Удельное сопротивление грунта, Ом·м]])),AN53/SQRT(Таблица_pr6[[#This Row],[Удельное сопротивление грунта, Ом·м]]))</f>
        <v/>
      </c>
      <c r="AU53" s="61" t="str">
        <f>IFERROR(IF(AR53-AR52&lt;=0,"",AT53/SQRT(Таблица_pr7[[#This Row],[Удельное сопротивление грунта, Ом·м]])),AT53/SQRT(Таблица_pr7[[#This Row],[Удельное сопротивление грунта, Ом·м]]))</f>
        <v/>
      </c>
      <c r="BA53" s="61" t="str">
        <f>IFERROR(IF(AX53-AX52&lt;=0,"",AZ53/SQRT(Таблица_pr8[[#This Row],[Удельное сопротивление грунта, Ом·м]])),AZ53/SQRT(Таблица_pr8[[#This Row],[Удельное сопротивление грунта, Ом·м]]))</f>
        <v/>
      </c>
      <c r="BG53" s="61" t="str">
        <f>IFERROR(IF(BD53-AX72&lt;=0,"",BF53/SQRT(Таблица_pr9[[#This Row],[Удельное сопротивление грунта, Ом·м]])),BF53/SQRT(Таблица_pr9[[#This Row],[Удельное сопротивление грунта, Ом·м]]))</f>
        <v/>
      </c>
      <c r="BI53" s="64"/>
      <c r="BJ53" s="49"/>
      <c r="BK53" s="50"/>
      <c r="BM53" s="61" t="str">
        <f>IFERROR(IF(BJ53-BD82&lt;=0,"",BL53/SQRT(Таблица_pr10[[#This Row],[Удельное сопротивление грунта, Ом·м]])),BL53/SQRT(Таблица_pr10[[#This Row],[Удельное сопротивление грунта, Ом·м]]))</f>
        <v/>
      </c>
    </row>
    <row r="54" spans="1:65">
      <c r="A54" s="64">
        <v>49</v>
      </c>
      <c r="B54" s="49">
        <v>501.30000000000109</v>
      </c>
      <c r="C54" s="50">
        <v>70</v>
      </c>
      <c r="D54" s="61">
        <f t="shared" si="1"/>
        <v>100.00000000002274</v>
      </c>
      <c r="E54" s="61">
        <f>IFERROR(IF(B54-B53&lt;=0,"",D54/SQRT(Таблица_pr[[#This Row],[Удельное сопротивление грунта, Ом·м]])),D54/SQRT(Таблица_pr[[#This Row],[Удельное сопротивление грунта, Ом·м]]))</f>
        <v>11.952286093346654</v>
      </c>
      <c r="G54" s="188">
        <v>49</v>
      </c>
      <c r="H54" s="175">
        <v>501.30000000000109</v>
      </c>
      <c r="I54" s="182">
        <v>70</v>
      </c>
      <c r="J54" s="181">
        <f t="shared" si="2"/>
        <v>100.00000000002274</v>
      </c>
      <c r="K54" s="61">
        <f>IFERROR(IF(H54-H53&lt;=0,"",J54/SQRT(Таблица_pr1[[#This Row],[Удельное сопротивление грунта, Ом·м]])),J54/SQRT(Таблица_pr1[[#This Row],[Удельное сопротивление грунта, Ом·м]]))</f>
        <v>11.952286093346654</v>
      </c>
      <c r="Q54" s="61" t="str">
        <f>IFERROR(IF(N54-N53&lt;=0,"",P54/SQRT(Таблица_pr2[[#This Row],[Удельное сопротивление грунта, Ом·м]])),P54/SQRT(Таблица_pr2[[#This Row],[Удельное сопротивление грунта, Ом·м]]))</f>
        <v/>
      </c>
      <c r="W54" s="61" t="str">
        <f>IFERROR(IF(T54-T53&lt;=0,"",V54/SQRT(Таблица_pr3[[#This Row],[Удельное сопротивление грунта, Ом·м]])),V54/SQRT(Таблица_pr3[[#This Row],[Удельное сопротивление грунта, Ом·м]]))</f>
        <v/>
      </c>
      <c r="AC54" s="61" t="str">
        <f>IFERROR(IF(Z54-Z53&lt;=0,"",AB54/SQRT(Таблица_pr4[[#This Row],[Удельное сопротивление грунта, Ом·м]])),AB54/SQRT(Таблица_pr4[[#This Row],[Удельное сопротивление грунта, Ом·м]]))</f>
        <v/>
      </c>
      <c r="AI54" s="61" t="str">
        <f>IFERROR(IF(AF54-AF53&lt;=0,"",AH54/SQRT(Таблица_pr5[[#This Row],[Удельное сопротивление грунта, Ом·м]])),AH54/SQRT(Таблица_pr5[[#This Row],[Удельное сопротивление грунта, Ом·м]]))</f>
        <v/>
      </c>
      <c r="AO54" s="61" t="str">
        <f>IFERROR(IF(AL54-AL53&lt;=0,"",AN54/SQRT(Таблица_pr6[[#This Row],[Удельное сопротивление грунта, Ом·м]])),AN54/SQRT(Таблица_pr6[[#This Row],[Удельное сопротивление грунта, Ом·м]]))</f>
        <v/>
      </c>
      <c r="AU54" s="61" t="str">
        <f>IFERROR(IF(AR54-AR53&lt;=0,"",AT54/SQRT(Таблица_pr7[[#This Row],[Удельное сопротивление грунта, Ом·м]])),AT54/SQRT(Таблица_pr7[[#This Row],[Удельное сопротивление грунта, Ом·м]]))</f>
        <v/>
      </c>
      <c r="BA54" s="61" t="str">
        <f>IFERROR(IF(AX54-AX53&lt;=0,"",AZ54/SQRT(Таблица_pr8[[#This Row],[Удельное сопротивление грунта, Ом·м]])),AZ54/SQRT(Таблица_pr8[[#This Row],[Удельное сопротивление грунта, Ом·м]]))</f>
        <v/>
      </c>
      <c r="BG54" s="61" t="str">
        <f>IFERROR(IF(BD54-AX73&lt;=0,"",BF54/SQRT(Таблица_pr9[[#This Row],[Удельное сопротивление грунта, Ом·м]])),BF54/SQRT(Таблица_pr9[[#This Row],[Удельное сопротивление грунта, Ом·м]]))</f>
        <v/>
      </c>
      <c r="BI54" s="64"/>
      <c r="BJ54" s="49"/>
      <c r="BK54" s="50"/>
      <c r="BM54" s="61" t="str">
        <f>IFERROR(IF(BJ54-BD83&lt;=0,"",BL54/SQRT(Таблица_pr10[[#This Row],[Удельное сопротивление грунта, Ом·м]])),BL54/SQRT(Таблица_pr10[[#This Row],[Удельное сопротивление грунта, Ом·м]]))</f>
        <v/>
      </c>
    </row>
    <row r="55" spans="1:65">
      <c r="A55" s="64">
        <v>50</v>
      </c>
      <c r="B55" s="49">
        <v>501.40000000000111</v>
      </c>
      <c r="C55" s="50">
        <v>70.2</v>
      </c>
      <c r="D55" s="61">
        <f t="shared" si="1"/>
        <v>100.00000000002274</v>
      </c>
      <c r="E55" s="61">
        <f>IFERROR(IF(B55-B54&lt;=0,"",D55/SQRT(Таблица_pr[[#This Row],[Удельное сопротивление грунта, Ом·м]])),D55/SQRT(Таблица_pr[[#This Row],[Удельное сопротивление грунта, Ом·м]]))</f>
        <v>11.935247900659929</v>
      </c>
      <c r="G55" s="189">
        <v>50</v>
      </c>
      <c r="H55" s="178">
        <v>501.40000000000111</v>
      </c>
      <c r="I55" s="183">
        <v>70.2</v>
      </c>
      <c r="J55" s="180">
        <f t="shared" si="2"/>
        <v>100.00000000002274</v>
      </c>
      <c r="K55" s="61">
        <f>IFERROR(IF(H55-H54&lt;=0,"",J55/SQRT(Таблица_pr1[[#This Row],[Удельное сопротивление грунта, Ом·м]])),J55/SQRT(Таблица_pr1[[#This Row],[Удельное сопротивление грунта, Ом·м]]))</f>
        <v>11.935247900659929</v>
      </c>
      <c r="Q55" s="61" t="str">
        <f>IFERROR(IF(N55-N54&lt;=0,"",P55/SQRT(Таблица_pr2[[#This Row],[Удельное сопротивление грунта, Ом·м]])),P55/SQRT(Таблица_pr2[[#This Row],[Удельное сопротивление грунта, Ом·м]]))</f>
        <v/>
      </c>
      <c r="W55" s="61" t="str">
        <f>IFERROR(IF(T55-T54&lt;=0,"",V55/SQRT(Таблица_pr3[[#This Row],[Удельное сопротивление грунта, Ом·м]])),V55/SQRT(Таблица_pr3[[#This Row],[Удельное сопротивление грунта, Ом·м]]))</f>
        <v/>
      </c>
      <c r="AC55" s="61" t="str">
        <f>IFERROR(IF(Z55-Z54&lt;=0,"",AB55/SQRT(Таблица_pr4[[#This Row],[Удельное сопротивление грунта, Ом·м]])),AB55/SQRT(Таблица_pr4[[#This Row],[Удельное сопротивление грунта, Ом·м]]))</f>
        <v/>
      </c>
      <c r="AI55" s="61" t="str">
        <f>IFERROR(IF(AF55-AF54&lt;=0,"",AH55/SQRT(Таблица_pr5[[#This Row],[Удельное сопротивление грунта, Ом·м]])),AH55/SQRT(Таблица_pr5[[#This Row],[Удельное сопротивление грунта, Ом·м]]))</f>
        <v/>
      </c>
      <c r="AO55" s="61" t="str">
        <f>IFERROR(IF(AL55-AL54&lt;=0,"",AN55/SQRT(Таблица_pr6[[#This Row],[Удельное сопротивление грунта, Ом·м]])),AN55/SQRT(Таблица_pr6[[#This Row],[Удельное сопротивление грунта, Ом·м]]))</f>
        <v/>
      </c>
      <c r="AU55" s="61" t="str">
        <f>IFERROR(IF(AR55-AR54&lt;=0,"",AT55/SQRT(Таблица_pr7[[#This Row],[Удельное сопротивление грунта, Ом·м]])),AT55/SQRT(Таблица_pr7[[#This Row],[Удельное сопротивление грунта, Ом·м]]))</f>
        <v/>
      </c>
      <c r="BA55" s="61" t="str">
        <f>IFERROR(IF(AX55-AX54&lt;=0,"",AZ55/SQRT(Таблица_pr8[[#This Row],[Удельное сопротивление грунта, Ом·м]])),AZ55/SQRT(Таблица_pr8[[#This Row],[Удельное сопротивление грунта, Ом·м]]))</f>
        <v/>
      </c>
      <c r="BG55" s="61" t="str">
        <f>IFERROR(IF(BD55-AX74&lt;=0,"",BF55/SQRT(Таблица_pr9[[#This Row],[Удельное сопротивление грунта, Ом·м]])),BF55/SQRT(Таблица_pr9[[#This Row],[Удельное сопротивление грунта, Ом·м]]))</f>
        <v/>
      </c>
      <c r="BI55" s="51"/>
      <c r="BJ55" s="49"/>
      <c r="BK55" s="50"/>
      <c r="BM55" s="61" t="str">
        <f>IFERROR(IF(BJ55-BD84&lt;=0,"",BL55/SQRT(Таблица_pr10[[#This Row],[Удельное сопротивление грунта, Ом·м]])),BL55/SQRT(Таблица_pr10[[#This Row],[Удельное сопротивление грунта, Ом·м]]))</f>
        <v/>
      </c>
    </row>
    <row r="56" spans="1:65">
      <c r="A56" s="64">
        <v>51</v>
      </c>
      <c r="B56" s="49">
        <v>501.50000000000114</v>
      </c>
      <c r="C56" s="50">
        <v>78.3</v>
      </c>
      <c r="D56" s="61">
        <f t="shared" si="1"/>
        <v>100.00000000002274</v>
      </c>
      <c r="E56" s="61">
        <f>IFERROR(IF(B56-B55&lt;=0,"",D56/SQRT(Таблица_pr[[#This Row],[Удельное сопротивление грунта, Ом·м]])),D56/SQRT(Таблица_pr[[#This Row],[Удельное сопротивление грунта, Ом·м]]))</f>
        <v>11.301058393682743</v>
      </c>
      <c r="G56" s="188">
        <v>51</v>
      </c>
      <c r="H56" s="175">
        <v>501.50000000000114</v>
      </c>
      <c r="I56" s="182">
        <v>78.3</v>
      </c>
      <c r="J56" s="181">
        <f t="shared" si="2"/>
        <v>100.00000000002274</v>
      </c>
      <c r="K56" s="61">
        <f>IFERROR(IF(H56-H55&lt;=0,"",J56/SQRT(Таблица_pr1[[#This Row],[Удельное сопротивление грунта, Ом·м]])),J56/SQRT(Таблица_pr1[[#This Row],[Удельное сопротивление грунта, Ом·м]]))</f>
        <v>11.301058393682743</v>
      </c>
      <c r="Q56" s="61" t="str">
        <f>IFERROR(IF(N56-N55&lt;=0,"",P56/SQRT(Таблица_pr2[[#This Row],[Удельное сопротивление грунта, Ом·м]])),P56/SQRT(Таблица_pr2[[#This Row],[Удельное сопротивление грунта, Ом·м]]))</f>
        <v/>
      </c>
      <c r="W56" s="61" t="str">
        <f>IFERROR(IF(T56-T55&lt;=0,"",V56/SQRT(Таблица_pr3[[#This Row],[Удельное сопротивление грунта, Ом·м]])),V56/SQRT(Таблица_pr3[[#This Row],[Удельное сопротивление грунта, Ом·м]]))</f>
        <v/>
      </c>
      <c r="AC56" s="61" t="str">
        <f>IFERROR(IF(Z56-Z55&lt;=0,"",AB56/SQRT(Таблица_pr4[[#This Row],[Удельное сопротивление грунта, Ом·м]])),AB56/SQRT(Таблица_pr4[[#This Row],[Удельное сопротивление грунта, Ом·м]]))</f>
        <v/>
      </c>
      <c r="AI56" s="61" t="str">
        <f>IFERROR(IF(AF56-AF55&lt;=0,"",AH56/SQRT(Таблица_pr5[[#This Row],[Удельное сопротивление грунта, Ом·м]])),AH56/SQRT(Таблица_pr5[[#This Row],[Удельное сопротивление грунта, Ом·м]]))</f>
        <v/>
      </c>
      <c r="AO56" s="61" t="str">
        <f>IFERROR(IF(AL56-AL55&lt;=0,"",AN56/SQRT(Таблица_pr6[[#This Row],[Удельное сопротивление грунта, Ом·м]])),AN56/SQRT(Таблица_pr6[[#This Row],[Удельное сопротивление грунта, Ом·м]]))</f>
        <v/>
      </c>
      <c r="AU56" s="61" t="str">
        <f>IFERROR(IF(AR56-AR55&lt;=0,"",AT56/SQRT(Таблица_pr7[[#This Row],[Удельное сопротивление грунта, Ом·м]])),AT56/SQRT(Таблица_pr7[[#This Row],[Удельное сопротивление грунта, Ом·м]]))</f>
        <v/>
      </c>
      <c r="BA56" s="61" t="str">
        <f>IFERROR(IF(AX56-AX55&lt;=0,"",AZ56/SQRT(Таблица_pr8[[#This Row],[Удельное сопротивление грунта, Ом·м]])),AZ56/SQRT(Таблица_pr8[[#This Row],[Удельное сопротивление грунта, Ом·м]]))</f>
        <v/>
      </c>
      <c r="BG56" s="61" t="str">
        <f>IFERROR(IF(BD56-AX75&lt;=0,"",BF56/SQRT(Таблица_pr9[[#This Row],[Удельное сопротивление грунта, Ом·м]])),BF56/SQRT(Таблица_pr9[[#This Row],[Удельное сопротивление грунта, Ом·м]]))</f>
        <v/>
      </c>
      <c r="BI56" s="51"/>
      <c r="BJ56" s="49"/>
      <c r="BK56" s="50"/>
      <c r="BM56" s="61" t="str">
        <f>IFERROR(IF(BJ56-BD85&lt;=0,"",BL56/SQRT(Таблица_pr10[[#This Row],[Удельное сопротивление грунта, Ом·м]])),BL56/SQRT(Таблица_pr10[[#This Row],[Удельное сопротивление грунта, Ом·м]]))</f>
        <v/>
      </c>
    </row>
    <row r="57" spans="1:65">
      <c r="A57" s="64">
        <v>52</v>
      </c>
      <c r="B57" s="49">
        <v>501.60000000000116</v>
      </c>
      <c r="C57" s="50">
        <v>70.2</v>
      </c>
      <c r="D57" s="61">
        <f t="shared" si="1"/>
        <v>100.00000000002274</v>
      </c>
      <c r="E57" s="61">
        <f>IFERROR(IF(B57-B56&lt;=0,"",D57/SQRT(Таблица_pr[[#This Row],[Удельное сопротивление грунта, Ом·м]])),D57/SQRT(Таблица_pr[[#This Row],[Удельное сопротивление грунта, Ом·м]]))</f>
        <v>11.935247900659929</v>
      </c>
      <c r="G57" s="189">
        <v>52</v>
      </c>
      <c r="H57" s="178">
        <v>501.60000000000116</v>
      </c>
      <c r="I57" s="183">
        <v>70.2</v>
      </c>
      <c r="J57" s="180">
        <f t="shared" si="2"/>
        <v>100.00000000002274</v>
      </c>
      <c r="K57" s="61">
        <f>IFERROR(IF(H57-H56&lt;=0,"",J57/SQRT(Таблица_pr1[[#This Row],[Удельное сопротивление грунта, Ом·м]])),J57/SQRT(Таблица_pr1[[#This Row],[Удельное сопротивление грунта, Ом·м]]))</f>
        <v>11.935247900659929</v>
      </c>
      <c r="Q57" s="61" t="str">
        <f>IFERROR(IF(N57-N56&lt;=0,"",P57/SQRT(Таблица_pr2[[#This Row],[Удельное сопротивление грунта, Ом·м]])),P57/SQRT(Таблица_pr2[[#This Row],[Удельное сопротивление грунта, Ом·м]]))</f>
        <v/>
      </c>
      <c r="W57" s="61" t="str">
        <f>IFERROR(IF(T57-T56&lt;=0,"",V57/SQRT(Таблица_pr3[[#This Row],[Удельное сопротивление грунта, Ом·м]])),V57/SQRT(Таблица_pr3[[#This Row],[Удельное сопротивление грунта, Ом·м]]))</f>
        <v/>
      </c>
      <c r="AC57" s="61" t="str">
        <f>IFERROR(IF(Z57-Z56&lt;=0,"",AB57/SQRT(Таблица_pr4[[#This Row],[Удельное сопротивление грунта, Ом·м]])),AB57/SQRT(Таблица_pr4[[#This Row],[Удельное сопротивление грунта, Ом·м]]))</f>
        <v/>
      </c>
      <c r="AI57" s="61" t="str">
        <f>IFERROR(IF(AF57-AF56&lt;=0,"",AH57/SQRT(Таблица_pr5[[#This Row],[Удельное сопротивление грунта, Ом·м]])),AH57/SQRT(Таблица_pr5[[#This Row],[Удельное сопротивление грунта, Ом·м]]))</f>
        <v/>
      </c>
      <c r="AO57" s="61" t="str">
        <f>IFERROR(IF(AL57-AL56&lt;=0,"",AN57/SQRT(Таблица_pr6[[#This Row],[Удельное сопротивление грунта, Ом·м]])),AN57/SQRT(Таблица_pr6[[#This Row],[Удельное сопротивление грунта, Ом·м]]))</f>
        <v/>
      </c>
      <c r="AU57" s="61" t="str">
        <f>IFERROR(IF(AR57-AR56&lt;=0,"",AT57/SQRT(Таблица_pr7[[#This Row],[Удельное сопротивление грунта, Ом·м]])),AT57/SQRT(Таблица_pr7[[#This Row],[Удельное сопротивление грунта, Ом·м]]))</f>
        <v/>
      </c>
      <c r="BA57" s="61" t="str">
        <f>IFERROR(IF(AX57-AX56&lt;=0,"",AZ57/SQRT(Таблица_pr8[[#This Row],[Удельное сопротивление грунта, Ом·м]])),AZ57/SQRT(Таблица_pr8[[#This Row],[Удельное сопротивление грунта, Ом·м]]))</f>
        <v/>
      </c>
      <c r="BG57" s="61" t="str">
        <f>IFERROR(IF(BD57-AX76&lt;=0,"",BF57/SQRT(Таблица_pr9[[#This Row],[Удельное сопротивление грунта, Ом·м]])),BF57/SQRT(Таблица_pr9[[#This Row],[Удельное сопротивление грунта, Ом·м]]))</f>
        <v/>
      </c>
      <c r="BI57" s="51"/>
      <c r="BJ57" s="49"/>
      <c r="BK57" s="50"/>
      <c r="BM57" s="61" t="str">
        <f>IFERROR(IF(BJ57-BD86&lt;=0,"",BL57/SQRT(Таблица_pr10[[#This Row],[Удельное сопротивление грунта, Ом·м]])),BL57/SQRT(Таблица_pr10[[#This Row],[Удельное сопротивление грунта, Ом·м]]))</f>
        <v/>
      </c>
    </row>
    <row r="58" spans="1:65">
      <c r="A58" s="64">
        <v>53</v>
      </c>
      <c r="B58" s="49">
        <v>501.70000000000118</v>
      </c>
      <c r="C58" s="50">
        <v>70.5</v>
      </c>
      <c r="D58" s="61">
        <f t="shared" si="1"/>
        <v>100.00000000002274</v>
      </c>
      <c r="E58" s="61">
        <f>IFERROR(IF(B58-B57&lt;=0,"",D58/SQRT(Таблица_pr[[#This Row],[Удельное сопротивление грунта, Ом·м]])),D58/SQRT(Таблица_pr[[#This Row],[Удельное сопротивление грунта, Ом·м]]))</f>
        <v>11.909826683510982</v>
      </c>
      <c r="G58" s="188">
        <v>53</v>
      </c>
      <c r="H58" s="175">
        <v>501.70000000000118</v>
      </c>
      <c r="I58" s="182">
        <v>70.5</v>
      </c>
      <c r="J58" s="181">
        <f t="shared" si="2"/>
        <v>100.00000000002274</v>
      </c>
      <c r="K58" s="61">
        <f>IFERROR(IF(H58-H57&lt;=0,"",J58/SQRT(Таблица_pr1[[#This Row],[Удельное сопротивление грунта, Ом·м]])),J58/SQRT(Таблица_pr1[[#This Row],[Удельное сопротивление грунта, Ом·м]]))</f>
        <v>11.909826683510982</v>
      </c>
      <c r="Q58" s="61" t="str">
        <f>IFERROR(IF(N58-N57&lt;=0,"",P58/SQRT(Таблица_pr2[[#This Row],[Удельное сопротивление грунта, Ом·м]])),P58/SQRT(Таблица_pr2[[#This Row],[Удельное сопротивление грунта, Ом·м]]))</f>
        <v/>
      </c>
      <c r="W58" s="61" t="str">
        <f>IFERROR(IF(T58-T57&lt;=0,"",V58/SQRT(Таблица_pr3[[#This Row],[Удельное сопротивление грунта, Ом·м]])),V58/SQRT(Таблица_pr3[[#This Row],[Удельное сопротивление грунта, Ом·м]]))</f>
        <v/>
      </c>
      <c r="AC58" s="61" t="str">
        <f>IFERROR(IF(Z58-Z57&lt;=0,"",AB58/SQRT(Таблица_pr4[[#This Row],[Удельное сопротивление грунта, Ом·м]])),AB58/SQRT(Таблица_pr4[[#This Row],[Удельное сопротивление грунта, Ом·м]]))</f>
        <v/>
      </c>
      <c r="AI58" s="61" t="str">
        <f>IFERROR(IF(AF58-AF57&lt;=0,"",AH58/SQRT(Таблица_pr5[[#This Row],[Удельное сопротивление грунта, Ом·м]])),AH58/SQRT(Таблица_pr5[[#This Row],[Удельное сопротивление грунта, Ом·м]]))</f>
        <v/>
      </c>
      <c r="AO58" s="61" t="str">
        <f>IFERROR(IF(AL58-AL57&lt;=0,"",AN58/SQRT(Таблица_pr6[[#This Row],[Удельное сопротивление грунта, Ом·м]])),AN58/SQRT(Таблица_pr6[[#This Row],[Удельное сопротивление грунта, Ом·м]]))</f>
        <v/>
      </c>
      <c r="AU58" s="61" t="str">
        <f>IFERROR(IF(AR58-AR57&lt;=0,"",AT58/SQRT(Таблица_pr7[[#This Row],[Удельное сопротивление грунта, Ом·м]])),AT58/SQRT(Таблица_pr7[[#This Row],[Удельное сопротивление грунта, Ом·м]]))</f>
        <v/>
      </c>
      <c r="BA58" s="61" t="str">
        <f>IFERROR(IF(AX58-AX57&lt;=0,"",AZ58/SQRT(Таблица_pr8[[#This Row],[Удельное сопротивление грунта, Ом·м]])),AZ58/SQRT(Таблица_pr8[[#This Row],[Удельное сопротивление грунта, Ом·м]]))</f>
        <v/>
      </c>
      <c r="BG58" s="61" t="str">
        <f>IFERROR(IF(BD58-AX77&lt;=0,"",BF58/SQRT(Таблица_pr9[[#This Row],[Удельное сопротивление грунта, Ом·м]])),BF58/SQRT(Таблица_pr9[[#This Row],[Удельное сопротивление грунта, Ом·м]]))</f>
        <v/>
      </c>
      <c r="BI58" s="51"/>
      <c r="BJ58" s="49"/>
      <c r="BK58" s="50"/>
      <c r="BM58" s="61" t="str">
        <f>IFERROR(IF(BJ58-BD87&lt;=0,"",BL58/SQRT(Таблица_pr10[[#This Row],[Удельное сопротивление грунта, Ом·м]])),BL58/SQRT(Таблица_pr10[[#This Row],[Удельное сопротивление грунта, Ом·м]]))</f>
        <v/>
      </c>
    </row>
    <row r="59" spans="1:65">
      <c r="A59" s="64">
        <v>54</v>
      </c>
      <c r="B59" s="49">
        <v>501.80000000000121</v>
      </c>
      <c r="C59" s="50">
        <v>74.3</v>
      </c>
      <c r="D59" s="61">
        <f t="shared" si="1"/>
        <v>100.00000000002274</v>
      </c>
      <c r="E59" s="61">
        <f>IFERROR(IF(B59-B58&lt;=0,"",D59/SQRT(Таблица_pr[[#This Row],[Удельное сопротивление грунта, Ом·м]])),D59/SQRT(Таблица_pr[[#This Row],[Удельное сопротивление грунта, Ом·м]]))</f>
        <v>11.601271569052408</v>
      </c>
      <c r="G59" s="189">
        <v>54</v>
      </c>
      <c r="H59" s="178">
        <v>501.80000000000121</v>
      </c>
      <c r="I59" s="183">
        <v>74.3</v>
      </c>
      <c r="J59" s="180">
        <f t="shared" si="2"/>
        <v>100.00000000002274</v>
      </c>
      <c r="K59" s="61">
        <f>IFERROR(IF(H59-H58&lt;=0,"",J59/SQRT(Таблица_pr1[[#This Row],[Удельное сопротивление грунта, Ом·м]])),J59/SQRT(Таблица_pr1[[#This Row],[Удельное сопротивление грунта, Ом·м]]))</f>
        <v>11.601271569052408</v>
      </c>
      <c r="Q59" s="61" t="str">
        <f>IFERROR(IF(N59-N58&lt;=0,"",P59/SQRT(Таблица_pr2[[#This Row],[Удельное сопротивление грунта, Ом·м]])),P59/SQRT(Таблица_pr2[[#This Row],[Удельное сопротивление грунта, Ом·м]]))</f>
        <v/>
      </c>
      <c r="W59" s="61" t="str">
        <f>IFERROR(IF(T59-T58&lt;=0,"",V59/SQRT(Таблица_pr3[[#This Row],[Удельное сопротивление грунта, Ом·м]])),V59/SQRT(Таблица_pr3[[#This Row],[Удельное сопротивление грунта, Ом·м]]))</f>
        <v/>
      </c>
      <c r="AC59" s="61" t="str">
        <f>IFERROR(IF(Z59-Z58&lt;=0,"",AB59/SQRT(Таблица_pr4[[#This Row],[Удельное сопротивление грунта, Ом·м]])),AB59/SQRT(Таблица_pr4[[#This Row],[Удельное сопротивление грунта, Ом·м]]))</f>
        <v/>
      </c>
      <c r="AI59" s="61" t="str">
        <f>IFERROR(IF(AF59-AF58&lt;=0,"",AH59/SQRT(Таблица_pr5[[#This Row],[Удельное сопротивление грунта, Ом·м]])),AH59/SQRT(Таблица_pr5[[#This Row],[Удельное сопротивление грунта, Ом·м]]))</f>
        <v/>
      </c>
      <c r="AO59" s="61" t="str">
        <f>IFERROR(IF(AL59-AL58&lt;=0,"",AN59/SQRT(Таблица_pr6[[#This Row],[Удельное сопротивление грунта, Ом·м]])),AN59/SQRT(Таблица_pr6[[#This Row],[Удельное сопротивление грунта, Ом·м]]))</f>
        <v/>
      </c>
      <c r="AU59" s="61" t="str">
        <f>IFERROR(IF(AR59-AR58&lt;=0,"",AT59/SQRT(Таблица_pr7[[#This Row],[Удельное сопротивление грунта, Ом·м]])),AT59/SQRT(Таблица_pr7[[#This Row],[Удельное сопротивление грунта, Ом·м]]))</f>
        <v/>
      </c>
      <c r="BA59" s="61" t="str">
        <f>IFERROR(IF(AX59-AX58&lt;=0,"",AZ59/SQRT(Таблица_pr8[[#This Row],[Удельное сопротивление грунта, Ом·м]])),AZ59/SQRT(Таблица_pr8[[#This Row],[Удельное сопротивление грунта, Ом·м]]))</f>
        <v/>
      </c>
      <c r="BG59" s="61" t="str">
        <f>IFERROR(IF(BD59-AX78&lt;=0,"",BF59/SQRT(Таблица_pr9[[#This Row],[Удельное сопротивление грунта, Ом·м]])),BF59/SQRT(Таблица_pr9[[#This Row],[Удельное сопротивление грунта, Ом·м]]))</f>
        <v/>
      </c>
      <c r="BI59" s="51"/>
      <c r="BJ59" s="49"/>
      <c r="BK59" s="50"/>
      <c r="BM59" s="61" t="str">
        <f>IFERROR(IF(BJ59-BD88&lt;=0,"",BL59/SQRT(Таблица_pr10[[#This Row],[Удельное сопротивление грунта, Ом·м]])),BL59/SQRT(Таблица_pr10[[#This Row],[Удельное сопротивление грунта, Ом·м]]))</f>
        <v/>
      </c>
    </row>
    <row r="60" spans="1:65">
      <c r="A60" s="64">
        <v>55</v>
      </c>
      <c r="B60" s="49">
        <v>501.90000000000123</v>
      </c>
      <c r="C60" s="50">
        <v>75.3</v>
      </c>
      <c r="D60" s="61">
        <f t="shared" si="1"/>
        <v>100.00000000002274</v>
      </c>
      <c r="E60" s="61">
        <f>IFERROR(IF(B60-B59&lt;=0,"",D60/SQRT(Таблица_pr[[#This Row],[Удельное сопротивление грунта, Ом·м]])),D60/SQRT(Таблица_pr[[#This Row],[Удельное сопротивление грунта, Ом·м]]))</f>
        <v>11.523980424925137</v>
      </c>
      <c r="G60" s="188">
        <v>55</v>
      </c>
      <c r="H60" s="175">
        <v>501.90000000000123</v>
      </c>
      <c r="I60" s="182">
        <v>75.3</v>
      </c>
      <c r="J60" s="181">
        <f t="shared" si="2"/>
        <v>100.00000000002274</v>
      </c>
      <c r="K60" s="61">
        <f>IFERROR(IF(H60-H59&lt;=0,"",J60/SQRT(Таблица_pr1[[#This Row],[Удельное сопротивление грунта, Ом·м]])),J60/SQRT(Таблица_pr1[[#This Row],[Удельное сопротивление грунта, Ом·м]]))</f>
        <v>11.523980424925137</v>
      </c>
      <c r="Q60" s="61" t="str">
        <f>IFERROR(IF(N60-N59&lt;=0,"",P60/SQRT(Таблица_pr2[[#This Row],[Удельное сопротивление грунта, Ом·м]])),P60/SQRT(Таблица_pr2[[#This Row],[Удельное сопротивление грунта, Ом·м]]))</f>
        <v/>
      </c>
      <c r="W60" s="61" t="str">
        <f>IFERROR(IF(T60-T59&lt;=0,"",V60/SQRT(Таблица_pr3[[#This Row],[Удельное сопротивление грунта, Ом·м]])),V60/SQRT(Таблица_pr3[[#This Row],[Удельное сопротивление грунта, Ом·м]]))</f>
        <v/>
      </c>
      <c r="AC60" s="61" t="str">
        <f>IFERROR(IF(Z60-Z59&lt;=0,"",AB60/SQRT(Таблица_pr4[[#This Row],[Удельное сопротивление грунта, Ом·м]])),AB60/SQRT(Таблица_pr4[[#This Row],[Удельное сопротивление грунта, Ом·м]]))</f>
        <v/>
      </c>
      <c r="AI60" s="61" t="str">
        <f>IFERROR(IF(AF60-AF59&lt;=0,"",AH60/SQRT(Таблица_pr5[[#This Row],[Удельное сопротивление грунта, Ом·м]])),AH60/SQRT(Таблица_pr5[[#This Row],[Удельное сопротивление грунта, Ом·м]]))</f>
        <v/>
      </c>
      <c r="AO60" s="61" t="str">
        <f>IFERROR(IF(AL60-AL59&lt;=0,"",AN60/SQRT(Таблица_pr6[[#This Row],[Удельное сопротивление грунта, Ом·м]])),AN60/SQRT(Таблица_pr6[[#This Row],[Удельное сопротивление грунта, Ом·м]]))</f>
        <v/>
      </c>
      <c r="AU60" s="61" t="str">
        <f>IFERROR(IF(AR60-AR59&lt;=0,"",AT60/SQRT(Таблица_pr7[[#This Row],[Удельное сопротивление грунта, Ом·м]])),AT60/SQRT(Таблица_pr7[[#This Row],[Удельное сопротивление грунта, Ом·м]]))</f>
        <v/>
      </c>
      <c r="BA60" s="61" t="str">
        <f>IFERROR(IF(AX60-AX59&lt;=0,"",AZ60/SQRT(Таблица_pr8[[#This Row],[Удельное сопротивление грунта, Ом·м]])),AZ60/SQRT(Таблица_pr8[[#This Row],[Удельное сопротивление грунта, Ом·м]]))</f>
        <v/>
      </c>
      <c r="BG60" s="61" t="str">
        <f>IFERROR(IF(BD60-AX79&lt;=0,"",BF60/SQRT(Таблица_pr9[[#This Row],[Удельное сопротивление грунта, Ом·м]])),BF60/SQRT(Таблица_pr9[[#This Row],[Удельное сопротивление грунта, Ом·м]]))</f>
        <v/>
      </c>
      <c r="BI60" s="51"/>
      <c r="BJ60" s="49"/>
      <c r="BK60" s="50"/>
      <c r="BM60" s="61" t="str">
        <f>IFERROR(IF(BJ60-BD89&lt;=0,"",BL60/SQRT(Таблица_pr10[[#This Row],[Удельное сопротивление грунта, Ом·м]])),BL60/SQRT(Таблица_pr10[[#This Row],[Удельное сопротивление грунта, Ом·м]]))</f>
        <v/>
      </c>
    </row>
    <row r="61" spans="1:65">
      <c r="A61" s="64">
        <v>56</v>
      </c>
      <c r="B61" s="49">
        <v>502.00000000000125</v>
      </c>
      <c r="C61" s="50">
        <v>73.3</v>
      </c>
      <c r="D61" s="61">
        <f t="shared" si="1"/>
        <v>100.00000000002274</v>
      </c>
      <c r="E61" s="61">
        <f>IFERROR(IF(B61-B60&lt;=0,"",D61/SQRT(Таблица_pr[[#This Row],[Удельное сопротивление грунта, Ом·м]])),D61/SQRT(Таблица_pr[[#This Row],[Удельное сопротивление грунта, Ом·м]]))</f>
        <v>11.680139041205381</v>
      </c>
      <c r="G61" s="189">
        <v>56</v>
      </c>
      <c r="H61" s="178">
        <v>502.00000000000125</v>
      </c>
      <c r="I61" s="183">
        <v>73.3</v>
      </c>
      <c r="J61" s="180">
        <f t="shared" si="2"/>
        <v>100.00000000002274</v>
      </c>
      <c r="K61" s="61">
        <f>IFERROR(IF(H61-H60&lt;=0,"",J61/SQRT(Таблица_pr1[[#This Row],[Удельное сопротивление грунта, Ом·м]])),J61/SQRT(Таблица_pr1[[#This Row],[Удельное сопротивление грунта, Ом·м]]))</f>
        <v>11.680139041205381</v>
      </c>
      <c r="Q61" s="61" t="str">
        <f>IFERROR(IF(N61-N60&lt;=0,"",P61/SQRT(Таблица_pr2[[#This Row],[Удельное сопротивление грунта, Ом·м]])),P61/SQRT(Таблица_pr2[[#This Row],[Удельное сопротивление грунта, Ом·м]]))</f>
        <v/>
      </c>
      <c r="W61" s="61" t="str">
        <f>IFERROR(IF(T61-T60&lt;=0,"",V61/SQRT(Таблица_pr3[[#This Row],[Удельное сопротивление грунта, Ом·м]])),V61/SQRT(Таблица_pr3[[#This Row],[Удельное сопротивление грунта, Ом·м]]))</f>
        <v/>
      </c>
      <c r="AC61" s="61" t="str">
        <f>IFERROR(IF(Z61-Z60&lt;=0,"",AB61/SQRT(Таблица_pr4[[#This Row],[Удельное сопротивление грунта, Ом·м]])),AB61/SQRT(Таблица_pr4[[#This Row],[Удельное сопротивление грунта, Ом·м]]))</f>
        <v/>
      </c>
      <c r="AI61" s="61" t="str">
        <f>IFERROR(IF(AF61-AF60&lt;=0,"",AH61/SQRT(Таблица_pr5[[#This Row],[Удельное сопротивление грунта, Ом·м]])),AH61/SQRT(Таблица_pr5[[#This Row],[Удельное сопротивление грунта, Ом·м]]))</f>
        <v/>
      </c>
      <c r="AO61" s="61" t="str">
        <f>IFERROR(IF(AL61-AL60&lt;=0,"",AN61/SQRT(Таблица_pr6[[#This Row],[Удельное сопротивление грунта, Ом·м]])),AN61/SQRT(Таблица_pr6[[#This Row],[Удельное сопротивление грунта, Ом·м]]))</f>
        <v/>
      </c>
      <c r="AU61" s="61" t="str">
        <f>IFERROR(IF(AR61-AR60&lt;=0,"",AT61/SQRT(Таблица_pr7[[#This Row],[Удельное сопротивление грунта, Ом·м]])),AT61/SQRT(Таблица_pr7[[#This Row],[Удельное сопротивление грунта, Ом·м]]))</f>
        <v/>
      </c>
      <c r="BA61" s="61" t="str">
        <f>IFERROR(IF(AX61-AX60&lt;=0,"",AZ61/SQRT(Таблица_pr8[[#This Row],[Удельное сопротивление грунта, Ом·м]])),AZ61/SQRT(Таблица_pr8[[#This Row],[Удельное сопротивление грунта, Ом·м]]))</f>
        <v/>
      </c>
      <c r="BG61" s="61" t="str">
        <f>IFERROR(IF(BD61-AX80&lt;=0,"",BF61/SQRT(Таблица_pr9[[#This Row],[Удельное сопротивление грунта, Ом·м]])),BF61/SQRT(Таблица_pr9[[#This Row],[Удельное сопротивление грунта, Ом·м]]))</f>
        <v/>
      </c>
      <c r="BI61" s="51"/>
      <c r="BJ61" s="49"/>
      <c r="BK61" s="50"/>
      <c r="BM61" s="61" t="str">
        <f>IFERROR(IF(BJ61-BD90&lt;=0,"",BL61/SQRT(Таблица_pr10[[#This Row],[Удельное сопротивление грунта, Ом·м]])),BL61/SQRT(Таблица_pr10[[#This Row],[Удельное сопротивление грунта, Ом·м]]))</f>
        <v/>
      </c>
    </row>
    <row r="62" spans="1:65">
      <c r="A62" s="64">
        <v>57</v>
      </c>
      <c r="B62" s="49">
        <v>502.10000000000127</v>
      </c>
      <c r="C62" s="50">
        <v>47</v>
      </c>
      <c r="D62" s="61">
        <f t="shared" si="1"/>
        <v>100.00000000002274</v>
      </c>
      <c r="E62" s="61">
        <f>IFERROR(IF(B62-B61&lt;=0,"",D62/SQRT(Таблица_pr[[#This Row],[Удельное сопротивление грунта, Ом·м]])),D62/SQRT(Таблица_pr[[#This Row],[Удельное сопротивление грунта, Ом·м]]))</f>
        <v>14.586499149792772</v>
      </c>
      <c r="G62" s="188">
        <v>57</v>
      </c>
      <c r="H62" s="175">
        <v>502.10000000000127</v>
      </c>
      <c r="I62" s="182">
        <v>47</v>
      </c>
      <c r="J62" s="181">
        <f t="shared" si="2"/>
        <v>100.00000000002274</v>
      </c>
      <c r="K62" s="61">
        <f>IFERROR(IF(H62-H61&lt;=0,"",J62/SQRT(Таблица_pr1[[#This Row],[Удельное сопротивление грунта, Ом·м]])),J62/SQRT(Таблица_pr1[[#This Row],[Удельное сопротивление грунта, Ом·м]]))</f>
        <v>14.586499149792772</v>
      </c>
      <c r="Q62" s="61" t="str">
        <f>IFERROR(IF(N62-N61&lt;=0,"",P62/SQRT(Таблица_pr2[[#This Row],[Удельное сопротивление грунта, Ом·м]])),P62/SQRT(Таблица_pr2[[#This Row],[Удельное сопротивление грунта, Ом·м]]))</f>
        <v/>
      </c>
      <c r="W62" s="61" t="str">
        <f>IFERROR(IF(T62-T61&lt;=0,"",V62/SQRT(Таблица_pr3[[#This Row],[Удельное сопротивление грунта, Ом·м]])),V62/SQRT(Таблица_pr3[[#This Row],[Удельное сопротивление грунта, Ом·м]]))</f>
        <v/>
      </c>
      <c r="AC62" s="61" t="str">
        <f>IFERROR(IF(Z62-Z61&lt;=0,"",AB62/SQRT(Таблица_pr4[[#This Row],[Удельное сопротивление грунта, Ом·м]])),AB62/SQRT(Таблица_pr4[[#This Row],[Удельное сопротивление грунта, Ом·м]]))</f>
        <v/>
      </c>
      <c r="AI62" s="61" t="str">
        <f>IFERROR(IF(AF62-AF61&lt;=0,"",AH62/SQRT(Таблица_pr5[[#This Row],[Удельное сопротивление грунта, Ом·м]])),AH62/SQRT(Таблица_pr5[[#This Row],[Удельное сопротивление грунта, Ом·м]]))</f>
        <v/>
      </c>
      <c r="AO62" s="61" t="str">
        <f>IFERROR(IF(AL62-AL61&lt;=0,"",AN62/SQRT(Таблица_pr6[[#This Row],[Удельное сопротивление грунта, Ом·м]])),AN62/SQRT(Таблица_pr6[[#This Row],[Удельное сопротивление грунта, Ом·м]]))</f>
        <v/>
      </c>
      <c r="AU62" s="61" t="str">
        <f>IFERROR(IF(AR62-AR61&lt;=0,"",AT62/SQRT(Таблица_pr7[[#This Row],[Удельное сопротивление грунта, Ом·м]])),AT62/SQRT(Таблица_pr7[[#This Row],[Удельное сопротивление грунта, Ом·м]]))</f>
        <v/>
      </c>
      <c r="BA62" s="61" t="str">
        <f>IFERROR(IF(AX62-AX61&lt;=0,"",AZ62/SQRT(Таблица_pr8[[#This Row],[Удельное сопротивление грунта, Ом·м]])),AZ62/SQRT(Таблица_pr8[[#This Row],[Удельное сопротивление грунта, Ом·м]]))</f>
        <v/>
      </c>
      <c r="BG62" s="61" t="str">
        <f>IFERROR(IF(BD62-AX81&lt;=0,"",BF62/SQRT(Таблица_pr9[[#This Row],[Удельное сопротивление грунта, Ом·м]])),BF62/SQRT(Таблица_pr9[[#This Row],[Удельное сопротивление грунта, Ом·м]]))</f>
        <v/>
      </c>
      <c r="BI62" s="51"/>
      <c r="BJ62" s="49"/>
      <c r="BK62" s="50"/>
      <c r="BM62" s="61" t="str">
        <f>IFERROR(IF(BJ62-BD91&lt;=0,"",BL62/SQRT(Таблица_pr10[[#This Row],[Удельное сопротивление грунта, Ом·м]])),BL62/SQRT(Таблица_pr10[[#This Row],[Удельное сопротивление грунта, Ом·м]]))</f>
        <v/>
      </c>
    </row>
    <row r="63" spans="1:65">
      <c r="A63" s="64">
        <v>58</v>
      </c>
      <c r="B63" s="49">
        <v>502.2000000000013</v>
      </c>
      <c r="C63" s="50">
        <v>76.400000000000006</v>
      </c>
      <c r="D63" s="61">
        <f t="shared" si="1"/>
        <v>100.00000000002274</v>
      </c>
      <c r="E63" s="61">
        <f>IFERROR(IF(B63-B62&lt;=0,"",D63/SQRT(Таблица_pr[[#This Row],[Удельное сопротивление грунта, Ом·м]])),D63/SQRT(Таблица_pr[[#This Row],[Удельное сопротивление грунта, Ом·м]]))</f>
        <v>11.440719048909489</v>
      </c>
      <c r="G63" s="189">
        <v>58</v>
      </c>
      <c r="H63" s="178">
        <v>502.2000000000013</v>
      </c>
      <c r="I63" s="183">
        <v>76.400000000000006</v>
      </c>
      <c r="J63" s="180">
        <f t="shared" si="2"/>
        <v>100.00000000002274</v>
      </c>
      <c r="K63" s="61">
        <f>IFERROR(IF(H63-H62&lt;=0,"",J63/SQRT(Таблица_pr1[[#This Row],[Удельное сопротивление грунта, Ом·м]])),J63/SQRT(Таблица_pr1[[#This Row],[Удельное сопротивление грунта, Ом·м]]))</f>
        <v>11.440719048909489</v>
      </c>
      <c r="Q63" s="61" t="str">
        <f>IFERROR(IF(N63-N62&lt;=0,"",P63/SQRT(Таблица_pr2[[#This Row],[Удельное сопротивление грунта, Ом·м]])),P63/SQRT(Таблица_pr2[[#This Row],[Удельное сопротивление грунта, Ом·м]]))</f>
        <v/>
      </c>
      <c r="W63" s="61" t="str">
        <f>IFERROR(IF(T63-T62&lt;=0,"",V63/SQRT(Таблица_pr3[[#This Row],[Удельное сопротивление грунта, Ом·м]])),V63/SQRT(Таблица_pr3[[#This Row],[Удельное сопротивление грунта, Ом·м]]))</f>
        <v/>
      </c>
      <c r="AC63" s="61" t="str">
        <f>IFERROR(IF(Z63-Z62&lt;=0,"",AB63/SQRT(Таблица_pr4[[#This Row],[Удельное сопротивление грунта, Ом·м]])),AB63/SQRT(Таблица_pr4[[#This Row],[Удельное сопротивление грунта, Ом·м]]))</f>
        <v/>
      </c>
      <c r="AI63" s="61" t="str">
        <f>IFERROR(IF(AF63-AF62&lt;=0,"",AH63/SQRT(Таблица_pr5[[#This Row],[Удельное сопротивление грунта, Ом·м]])),AH63/SQRT(Таблица_pr5[[#This Row],[Удельное сопротивление грунта, Ом·м]]))</f>
        <v/>
      </c>
      <c r="AO63" s="61" t="str">
        <f>IFERROR(IF(AL63-AL62&lt;=0,"",AN63/SQRT(Таблица_pr6[[#This Row],[Удельное сопротивление грунта, Ом·м]])),AN63/SQRT(Таблица_pr6[[#This Row],[Удельное сопротивление грунта, Ом·м]]))</f>
        <v/>
      </c>
      <c r="AU63" s="61" t="str">
        <f>IFERROR(IF(AR63-AR62&lt;=0,"",AT63/SQRT(Таблица_pr7[[#This Row],[Удельное сопротивление грунта, Ом·м]])),AT63/SQRT(Таблица_pr7[[#This Row],[Удельное сопротивление грунта, Ом·м]]))</f>
        <v/>
      </c>
      <c r="BA63" s="61" t="str">
        <f>IFERROR(IF(AX63-AX62&lt;=0,"",AZ63/SQRT(Таблица_pr8[[#This Row],[Удельное сопротивление грунта, Ом·м]])),AZ63/SQRT(Таблица_pr8[[#This Row],[Удельное сопротивление грунта, Ом·м]]))</f>
        <v/>
      </c>
      <c r="BC63" s="55"/>
      <c r="BD63" s="52"/>
      <c r="BE63" s="67"/>
      <c r="BG63" s="61" t="str">
        <f>IFERROR(IF(BD63-AX82&lt;=0,"",BF63/SQRT(Таблица_pr9[[#This Row],[Удельное сопротивление грунта, Ом·м]])),BF63/SQRT(Таблица_pr9[[#This Row],[Удельное сопротивление грунта, Ом·м]]))</f>
        <v/>
      </c>
      <c r="BI63" s="51"/>
      <c r="BJ63" s="49"/>
      <c r="BK63" s="50"/>
      <c r="BM63" s="61" t="str">
        <f>IFERROR(IF(BJ63-BD92&lt;=0,"",BL63/SQRT(Таблица_pr10[[#This Row],[Удельное сопротивление грунта, Ом·м]])),BL63/SQRT(Таблица_pr10[[#This Row],[Удельное сопротивление грунта, Ом·м]]))</f>
        <v/>
      </c>
    </row>
    <row r="64" spans="1:65">
      <c r="A64" s="64">
        <v>59</v>
      </c>
      <c r="B64" s="49">
        <v>502.30000000000132</v>
      </c>
      <c r="C64" s="50">
        <v>71</v>
      </c>
      <c r="D64" s="61">
        <f t="shared" si="1"/>
        <v>100.00000000002274</v>
      </c>
      <c r="E64" s="61">
        <f>IFERROR(IF(B64-B63&lt;=0,"",D64/SQRT(Таблица_pr[[#This Row],[Удельное сопротивление грунта, Ом·м]])),D64/SQRT(Таблица_pr[[#This Row],[Удельное сопротивление грунта, Ом·м]]))</f>
        <v>11.867816581941231</v>
      </c>
      <c r="G64" s="188">
        <v>59</v>
      </c>
      <c r="H64" s="175">
        <v>502.30000000000132</v>
      </c>
      <c r="I64" s="182">
        <v>71</v>
      </c>
      <c r="J64" s="181">
        <f t="shared" si="2"/>
        <v>100.00000000002274</v>
      </c>
      <c r="K64" s="61">
        <f>IFERROR(IF(H64-H63&lt;=0,"",J64/SQRT(Таблица_pr1[[#This Row],[Удельное сопротивление грунта, Ом·м]])),J64/SQRT(Таблица_pr1[[#This Row],[Удельное сопротивление грунта, Ом·м]]))</f>
        <v>11.867816581941231</v>
      </c>
      <c r="Q64" s="61" t="str">
        <f>IFERROR(IF(N64-N63&lt;=0,"",P64/SQRT(Таблица_pr2[[#This Row],[Удельное сопротивление грунта, Ом·м]])),P64/SQRT(Таблица_pr2[[#This Row],[Удельное сопротивление грунта, Ом·м]]))</f>
        <v/>
      </c>
      <c r="W64" s="61" t="str">
        <f>IFERROR(IF(T64-T63&lt;=0,"",V64/SQRT(Таблица_pr3[[#This Row],[Удельное сопротивление грунта, Ом·м]])),V64/SQRT(Таблица_pr3[[#This Row],[Удельное сопротивление грунта, Ом·м]]))</f>
        <v/>
      </c>
      <c r="AC64" s="61" t="str">
        <f>IFERROR(IF(Z64-Z63&lt;=0,"",AB64/SQRT(Таблица_pr4[[#This Row],[Удельное сопротивление грунта, Ом·м]])),AB64/SQRT(Таблица_pr4[[#This Row],[Удельное сопротивление грунта, Ом·м]]))</f>
        <v/>
      </c>
      <c r="AI64" s="61" t="str">
        <f>IFERROR(IF(AF64-AF63&lt;=0,"",AH64/SQRT(Таблица_pr5[[#This Row],[Удельное сопротивление грунта, Ом·м]])),AH64/SQRT(Таблица_pr5[[#This Row],[Удельное сопротивление грунта, Ом·м]]))</f>
        <v/>
      </c>
      <c r="AO64" s="61" t="str">
        <f>IFERROR(IF(AL64-AL63&lt;=0,"",AN64/SQRT(Таблица_pr6[[#This Row],[Удельное сопротивление грунта, Ом·м]])),AN64/SQRT(Таблица_pr6[[#This Row],[Удельное сопротивление грунта, Ом·м]]))</f>
        <v/>
      </c>
      <c r="AU64" s="61" t="str">
        <f>IFERROR(IF(AR64-AR63&lt;=0,"",AT64/SQRT(Таблица_pr7[[#This Row],[Удельное сопротивление грунта, Ом·м]])),AT64/SQRT(Таблица_pr7[[#This Row],[Удельное сопротивление грунта, Ом·м]]))</f>
        <v/>
      </c>
      <c r="BA64" s="61" t="str">
        <f>IFERROR(IF(AX64-AX63&lt;=0,"",AZ64/SQRT(Таблица_pr8[[#This Row],[Удельное сопротивление грунта, Ом·м]])),AZ64/SQRT(Таблица_pr8[[#This Row],[Удельное сопротивление грунта, Ом·м]]))</f>
        <v/>
      </c>
      <c r="BC64" s="55"/>
      <c r="BD64" s="52"/>
      <c r="BE64" s="67"/>
      <c r="BG64" s="61" t="str">
        <f>IFERROR(IF(BD64-AX83&lt;=0,"",BF64/SQRT(Таблица_pr9[[#This Row],[Удельное сопротивление грунта, Ом·м]])),BF64/SQRT(Таблица_pr9[[#This Row],[Удельное сопротивление грунта, Ом·м]]))</f>
        <v/>
      </c>
      <c r="BI64" s="51"/>
      <c r="BJ64" s="49"/>
      <c r="BK64" s="50"/>
      <c r="BM64" s="61" t="str">
        <f>IFERROR(IF(BJ64-BD93&lt;=0,"",BL64/SQRT(Таблица_pr10[[#This Row],[Удельное сопротивление грунта, Ом·м]])),BL64/SQRT(Таблица_pr10[[#This Row],[Удельное сопротивление грунта, Ом·м]]))</f>
        <v/>
      </c>
    </row>
    <row r="65" spans="1:65">
      <c r="A65" s="64">
        <v>60</v>
      </c>
      <c r="B65" s="49">
        <v>502.40000000000134</v>
      </c>
      <c r="C65" s="50">
        <v>77.2</v>
      </c>
      <c r="D65" s="61">
        <f t="shared" si="1"/>
        <v>100.00000000002274</v>
      </c>
      <c r="E65" s="61">
        <f>IFERROR(IF(B65-B64&lt;=0,"",D65/SQRT(Таблица_pr[[#This Row],[Удельное сопротивление грунта, Ом·м]])),D65/SQRT(Таблица_pr[[#This Row],[Удельное сопротивление грунта, Ом·м]]))</f>
        <v>11.381286340152222</v>
      </c>
      <c r="G65" s="189">
        <v>60</v>
      </c>
      <c r="H65" s="178">
        <v>502.40000000000134</v>
      </c>
      <c r="I65" s="183">
        <v>77.2</v>
      </c>
      <c r="J65" s="180">
        <f t="shared" si="2"/>
        <v>100.00000000002274</v>
      </c>
      <c r="K65" s="61">
        <f>IFERROR(IF(H65-H64&lt;=0,"",J65/SQRT(Таблица_pr1[[#This Row],[Удельное сопротивление грунта, Ом·м]])),J65/SQRT(Таблица_pr1[[#This Row],[Удельное сопротивление грунта, Ом·м]]))</f>
        <v>11.381286340152222</v>
      </c>
      <c r="Q65" s="61" t="str">
        <f>IFERROR(IF(N65-N64&lt;=0,"",P65/SQRT(Таблица_pr2[[#This Row],[Удельное сопротивление грунта, Ом·м]])),P65/SQRT(Таблица_pr2[[#This Row],[Удельное сопротивление грунта, Ом·м]]))</f>
        <v/>
      </c>
      <c r="W65" s="61" t="str">
        <f>IFERROR(IF(T65-T64&lt;=0,"",V65/SQRT(Таблица_pr3[[#This Row],[Удельное сопротивление грунта, Ом·м]])),V65/SQRT(Таблица_pr3[[#This Row],[Удельное сопротивление грунта, Ом·м]]))</f>
        <v/>
      </c>
      <c r="AC65" s="61" t="str">
        <f>IFERROR(IF(Z65-Z64&lt;=0,"",AB65/SQRT(Таблица_pr4[[#This Row],[Удельное сопротивление грунта, Ом·м]])),AB65/SQRT(Таблица_pr4[[#This Row],[Удельное сопротивление грунта, Ом·м]]))</f>
        <v/>
      </c>
      <c r="AI65" s="61" t="str">
        <f>IFERROR(IF(AF65-AF64&lt;=0,"",AH65/SQRT(Таблица_pr5[[#This Row],[Удельное сопротивление грунта, Ом·м]])),AH65/SQRT(Таблица_pr5[[#This Row],[Удельное сопротивление грунта, Ом·м]]))</f>
        <v/>
      </c>
      <c r="AO65" s="61" t="str">
        <f>IFERROR(IF(AL65-AL64&lt;=0,"",AN65/SQRT(Таблица_pr6[[#This Row],[Удельное сопротивление грунта, Ом·м]])),AN65/SQRT(Таблица_pr6[[#This Row],[Удельное сопротивление грунта, Ом·м]]))</f>
        <v/>
      </c>
      <c r="AU65" s="61" t="str">
        <f>IFERROR(IF(AR65-AR64&lt;=0,"",AT65/SQRT(Таблица_pr7[[#This Row],[Удельное сопротивление грунта, Ом·м]])),AT65/SQRT(Таблица_pr7[[#This Row],[Удельное сопротивление грунта, Ом·м]]))</f>
        <v/>
      </c>
      <c r="BA65" s="61" t="str">
        <f>IFERROR(IF(AX65-AX64&lt;=0,"",AZ65/SQRT(Таблица_pr8[[#This Row],[Удельное сопротивление грунта, Ом·м]])),AZ65/SQRT(Таблица_pr8[[#This Row],[Удельное сопротивление грунта, Ом·м]]))</f>
        <v/>
      </c>
      <c r="BC65" s="55"/>
      <c r="BD65" s="52"/>
      <c r="BE65" s="67"/>
      <c r="BG65" s="61" t="str">
        <f>IFERROR(IF(BD65-AX84&lt;=0,"",BF65/SQRT(Таблица_pr9[[#This Row],[Удельное сопротивление грунта, Ом·м]])),BF65/SQRT(Таблица_pr9[[#This Row],[Удельное сопротивление грунта, Ом·м]]))</f>
        <v/>
      </c>
      <c r="BI65" s="51"/>
      <c r="BJ65" s="49"/>
      <c r="BK65" s="50"/>
      <c r="BM65" s="61" t="str">
        <f>IFERROR(IF(BJ65-BD94&lt;=0,"",BL65/SQRT(Таблица_pr10[[#This Row],[Удельное сопротивление грунта, Ом·м]])),BL65/SQRT(Таблица_pr10[[#This Row],[Удельное сопротивление грунта, Ом·м]]))</f>
        <v/>
      </c>
    </row>
    <row r="66" spans="1:65">
      <c r="A66" s="64">
        <v>61</v>
      </c>
      <c r="B66" s="49">
        <v>502.50000000000136</v>
      </c>
      <c r="C66" s="50">
        <v>69.400000000000006</v>
      </c>
      <c r="D66" s="61">
        <f t="shared" si="1"/>
        <v>100.00000000002274</v>
      </c>
      <c r="E66" s="61">
        <f>IFERROR(IF(B66-B65&lt;=0,"",D66/SQRT(Таблица_pr[[#This Row],[Удельное сопротивление грунта, Ом·м]])),D66/SQRT(Таблица_pr[[#This Row],[Удельное сопротивление грунта, Ом·м]]))</f>
        <v>12.00384184418632</v>
      </c>
      <c r="G66" s="188">
        <v>61</v>
      </c>
      <c r="H66" s="175">
        <v>502.50000000000136</v>
      </c>
      <c r="I66" s="182">
        <v>69.400000000000006</v>
      </c>
      <c r="J66" s="181">
        <f t="shared" si="2"/>
        <v>100.00000000002274</v>
      </c>
      <c r="K66" s="61">
        <f>IFERROR(IF(H66-H65&lt;=0,"",J66/SQRT(Таблица_pr1[[#This Row],[Удельное сопротивление грунта, Ом·м]])),J66/SQRT(Таблица_pr1[[#This Row],[Удельное сопротивление грунта, Ом·м]]))</f>
        <v>12.00384184418632</v>
      </c>
      <c r="Q66" s="61" t="str">
        <f>IFERROR(IF(N66-N65&lt;=0,"",P66/SQRT(Таблица_pr2[[#This Row],[Удельное сопротивление грунта, Ом·м]])),P66/SQRT(Таблица_pr2[[#This Row],[Удельное сопротивление грунта, Ом·м]]))</f>
        <v/>
      </c>
      <c r="W66" s="61" t="str">
        <f>IFERROR(IF(T66-T65&lt;=0,"",V66/SQRT(Таблица_pr3[[#This Row],[Удельное сопротивление грунта, Ом·м]])),V66/SQRT(Таблица_pr3[[#This Row],[Удельное сопротивление грунта, Ом·м]]))</f>
        <v/>
      </c>
      <c r="AC66" s="61" t="str">
        <f>IFERROR(IF(Z66-Z65&lt;=0,"",AB66/SQRT(Таблица_pr4[[#This Row],[Удельное сопротивление грунта, Ом·м]])),AB66/SQRT(Таблица_pr4[[#This Row],[Удельное сопротивление грунта, Ом·м]]))</f>
        <v/>
      </c>
      <c r="AI66" s="61" t="str">
        <f>IFERROR(IF(AF66-AF65&lt;=0,"",AH66/SQRT(Таблица_pr5[[#This Row],[Удельное сопротивление грунта, Ом·м]])),AH66/SQRT(Таблица_pr5[[#This Row],[Удельное сопротивление грунта, Ом·м]]))</f>
        <v/>
      </c>
      <c r="AO66" s="61" t="str">
        <f>IFERROR(IF(AL66-AL65&lt;=0,"",AN66/SQRT(Таблица_pr6[[#This Row],[Удельное сопротивление грунта, Ом·м]])),AN66/SQRT(Таблица_pr6[[#This Row],[Удельное сопротивление грунта, Ом·м]]))</f>
        <v/>
      </c>
      <c r="AU66" s="61" t="str">
        <f>IFERROR(IF(AR66-AR65&lt;=0,"",AT66/SQRT(Таблица_pr7[[#This Row],[Удельное сопротивление грунта, Ом·м]])),AT66/SQRT(Таблица_pr7[[#This Row],[Удельное сопротивление грунта, Ом·м]]))</f>
        <v/>
      </c>
      <c r="BA66" s="61" t="str">
        <f>IFERROR(IF(AX66-AX65&lt;=0,"",AZ66/SQRT(Таблица_pr8[[#This Row],[Удельное сопротивление грунта, Ом·м]])),AZ66/SQRT(Таблица_pr8[[#This Row],[Удельное сопротивление грунта, Ом·м]]))</f>
        <v/>
      </c>
      <c r="BC66" s="55"/>
      <c r="BD66" s="52"/>
      <c r="BE66" s="67"/>
      <c r="BG66" s="61" t="str">
        <f>IFERROR(IF(BD66-AX85&lt;=0,"",BF66/SQRT(Таблица_pr9[[#This Row],[Удельное сопротивление грунта, Ом·м]])),BF66/SQRT(Таблица_pr9[[#This Row],[Удельное сопротивление грунта, Ом·м]]))</f>
        <v/>
      </c>
      <c r="BI66" s="51"/>
      <c r="BJ66" s="49"/>
      <c r="BK66" s="50"/>
      <c r="BM66" s="61" t="str">
        <f>IFERROR(IF(BJ66-BD95&lt;=0,"",BL66/SQRT(Таблица_pr10[[#This Row],[Удельное сопротивление грунта, Ом·м]])),BL66/SQRT(Таблица_pr10[[#This Row],[Удельное сопротивление грунта, Ом·м]]))</f>
        <v/>
      </c>
    </row>
    <row r="67" spans="1:65">
      <c r="A67" s="64">
        <v>62</v>
      </c>
      <c r="B67" s="49">
        <v>502.60000000000139</v>
      </c>
      <c r="C67" s="50">
        <v>83</v>
      </c>
      <c r="D67" s="61">
        <f t="shared" si="1"/>
        <v>100.00000000002274</v>
      </c>
      <c r="E67" s="61">
        <f>IFERROR(IF(B67-B66&lt;=0,"",D67/SQRT(Таблица_pr[[#This Row],[Удельное сопротивление грунта, Ом·м]])),D67/SQRT(Таблица_pr[[#This Row],[Удельное сопротивление грунта, Ом·м]]))</f>
        <v>10.97642599897153</v>
      </c>
      <c r="G67" s="189">
        <v>62</v>
      </c>
      <c r="H67" s="178">
        <v>502.60000000000139</v>
      </c>
      <c r="I67" s="183">
        <v>83</v>
      </c>
      <c r="J67" s="180">
        <f t="shared" si="2"/>
        <v>100.00000000002274</v>
      </c>
      <c r="K67" s="61">
        <f>IFERROR(IF(H67-H66&lt;=0,"",J67/SQRT(Таблица_pr1[[#This Row],[Удельное сопротивление грунта, Ом·м]])),J67/SQRT(Таблица_pr1[[#This Row],[Удельное сопротивление грунта, Ом·м]]))</f>
        <v>10.97642599897153</v>
      </c>
      <c r="Q67" s="61" t="str">
        <f>IFERROR(IF(N67-N66&lt;=0,"",P67/SQRT(Таблица_pr2[[#This Row],[Удельное сопротивление грунта, Ом·м]])),P67/SQRT(Таблица_pr2[[#This Row],[Удельное сопротивление грунта, Ом·м]]))</f>
        <v/>
      </c>
      <c r="W67" s="61" t="str">
        <f>IFERROR(IF(T67-T66&lt;=0,"",V67/SQRT(Таблица_pr3[[#This Row],[Удельное сопротивление грунта, Ом·м]])),V67/SQRT(Таблица_pr3[[#This Row],[Удельное сопротивление грунта, Ом·м]]))</f>
        <v/>
      </c>
      <c r="AC67" s="61" t="str">
        <f>IFERROR(IF(Z67-Z66&lt;=0,"",AB67/SQRT(Таблица_pr4[[#This Row],[Удельное сопротивление грунта, Ом·м]])),AB67/SQRT(Таблица_pr4[[#This Row],[Удельное сопротивление грунта, Ом·м]]))</f>
        <v/>
      </c>
      <c r="AI67" s="61" t="str">
        <f>IFERROR(IF(AF67-AF66&lt;=0,"",AH67/SQRT(Таблица_pr5[[#This Row],[Удельное сопротивление грунта, Ом·м]])),AH67/SQRT(Таблица_pr5[[#This Row],[Удельное сопротивление грунта, Ом·м]]))</f>
        <v/>
      </c>
      <c r="AO67" s="61" t="str">
        <f>IFERROR(IF(AL67-AL66&lt;=0,"",AN67/SQRT(Таблица_pr6[[#This Row],[Удельное сопротивление грунта, Ом·м]])),AN67/SQRT(Таблица_pr6[[#This Row],[Удельное сопротивление грунта, Ом·м]]))</f>
        <v/>
      </c>
      <c r="AU67" s="61" t="str">
        <f>IFERROR(IF(AR67-AR66&lt;=0,"",AT67/SQRT(Таблица_pr7[[#This Row],[Удельное сопротивление грунта, Ом·м]])),AT67/SQRT(Таблица_pr7[[#This Row],[Удельное сопротивление грунта, Ом·м]]))</f>
        <v/>
      </c>
      <c r="BA67" s="61" t="str">
        <f>IFERROR(IF(AX67-AX66&lt;=0,"",AZ67/SQRT(Таблица_pr8[[#This Row],[Удельное сопротивление грунта, Ом·м]])),AZ67/SQRT(Таблица_pr8[[#This Row],[Удельное сопротивление грунта, Ом·м]]))</f>
        <v/>
      </c>
      <c r="BC67" s="55"/>
      <c r="BD67" s="52"/>
      <c r="BE67" s="67"/>
      <c r="BG67" s="61" t="str">
        <f>IFERROR(IF(BD67-AX86&lt;=0,"",BF67/SQRT(Таблица_pr9[[#This Row],[Удельное сопротивление грунта, Ом·м]])),BF67/SQRT(Таблица_pr9[[#This Row],[Удельное сопротивление грунта, Ом·м]]))</f>
        <v/>
      </c>
      <c r="BI67" s="51"/>
      <c r="BJ67" s="49"/>
      <c r="BK67" s="50"/>
      <c r="BM67" s="61" t="str">
        <f>IFERROR(IF(BJ67-BD96&lt;=0,"",BL67/SQRT(Таблица_pr10[[#This Row],[Удельное сопротивление грунта, Ом·м]])),BL67/SQRT(Таблица_pr10[[#This Row],[Удельное сопротивление грунта, Ом·м]]))</f>
        <v/>
      </c>
    </row>
    <row r="68" spans="1:65">
      <c r="A68" s="64">
        <v>63</v>
      </c>
      <c r="B68" s="49">
        <v>502.70000000000141</v>
      </c>
      <c r="C68" s="50">
        <v>66.5</v>
      </c>
      <c r="D68" s="61">
        <f t="shared" si="1"/>
        <v>100.00000000002274</v>
      </c>
      <c r="E68" s="61">
        <f>IFERROR(IF(B68-B67&lt;=0,"",D68/SQRT(Таблица_pr[[#This Row],[Удельное сопротивление грунта, Ом·м]])),D68/SQRT(Таблица_pr[[#This Row],[Удельное сопротивление грунта, Ом·м]]))</f>
        <v>12.262786789702105</v>
      </c>
      <c r="G68" s="188">
        <v>63</v>
      </c>
      <c r="H68" s="175">
        <v>502.70000000000141</v>
      </c>
      <c r="I68" s="182">
        <v>66.5</v>
      </c>
      <c r="J68" s="181">
        <f t="shared" si="2"/>
        <v>100.00000000002274</v>
      </c>
      <c r="K68" s="61">
        <f>IFERROR(IF(H68-H67&lt;=0,"",J68/SQRT(Таблица_pr1[[#This Row],[Удельное сопротивление грунта, Ом·м]])),J68/SQRT(Таблица_pr1[[#This Row],[Удельное сопротивление грунта, Ом·м]]))</f>
        <v>12.262786789702105</v>
      </c>
      <c r="Q68" s="61" t="str">
        <f>IFERROR(IF(N68-N67&lt;=0,"",P68/SQRT(Таблица_pr2[[#This Row],[Удельное сопротивление грунта, Ом·м]])),P68/SQRT(Таблица_pr2[[#This Row],[Удельное сопротивление грунта, Ом·м]]))</f>
        <v/>
      </c>
      <c r="W68" s="61" t="str">
        <f>IFERROR(IF(T68-T67&lt;=0,"",V68/SQRT(Таблица_pr3[[#This Row],[Удельное сопротивление грунта, Ом·м]])),V68/SQRT(Таблица_pr3[[#This Row],[Удельное сопротивление грунта, Ом·м]]))</f>
        <v/>
      </c>
      <c r="AC68" s="61" t="str">
        <f>IFERROR(IF(Z68-Z67&lt;=0,"",AB68/SQRT(Таблица_pr4[[#This Row],[Удельное сопротивление грунта, Ом·м]])),AB68/SQRT(Таблица_pr4[[#This Row],[Удельное сопротивление грунта, Ом·м]]))</f>
        <v/>
      </c>
      <c r="AI68" s="61" t="str">
        <f>IFERROR(IF(AF68-AF67&lt;=0,"",AH68/SQRT(Таблица_pr5[[#This Row],[Удельное сопротивление грунта, Ом·м]])),AH68/SQRT(Таблица_pr5[[#This Row],[Удельное сопротивление грунта, Ом·м]]))</f>
        <v/>
      </c>
      <c r="AO68" s="61" t="str">
        <f>IFERROR(IF(AL68-AL67&lt;=0,"",AN68/SQRT(Таблица_pr6[[#This Row],[Удельное сопротивление грунта, Ом·м]])),AN68/SQRT(Таблица_pr6[[#This Row],[Удельное сопротивление грунта, Ом·м]]))</f>
        <v/>
      </c>
      <c r="AU68" s="61" t="str">
        <f>IFERROR(IF(AR68-AR67&lt;=0,"",AT68/SQRT(Таблица_pr7[[#This Row],[Удельное сопротивление грунта, Ом·м]])),AT68/SQRT(Таблица_pr7[[#This Row],[Удельное сопротивление грунта, Ом·м]]))</f>
        <v/>
      </c>
      <c r="BA68" s="61" t="str">
        <f>IFERROR(IF(AX68-AX67&lt;=0,"",AZ68/SQRT(Таблица_pr8[[#This Row],[Удельное сопротивление грунта, Ом·м]])),AZ68/SQRT(Таблица_pr8[[#This Row],[Удельное сопротивление грунта, Ом·м]]))</f>
        <v/>
      </c>
      <c r="BC68" s="55"/>
      <c r="BD68" s="52"/>
      <c r="BE68" s="67"/>
      <c r="BG68" s="61" t="str">
        <f>IFERROR(IF(BD68-AX87&lt;=0,"",BF68/SQRT(Таблица_pr9[[#This Row],[Удельное сопротивление грунта, Ом·м]])),BF68/SQRT(Таблица_pr9[[#This Row],[Удельное сопротивление грунта, Ом·м]]))</f>
        <v/>
      </c>
      <c r="BI68" s="51"/>
      <c r="BJ68" s="49"/>
      <c r="BK68" s="50"/>
      <c r="BM68" s="61" t="str">
        <f>IFERROR(IF(BJ68-BD97&lt;=0,"",BL68/SQRT(Таблица_pr10[[#This Row],[Удельное сопротивление грунта, Ом·м]])),BL68/SQRT(Таблица_pr10[[#This Row],[Удельное сопротивление грунта, Ом·м]]))</f>
        <v/>
      </c>
    </row>
    <row r="69" spans="1:65">
      <c r="A69" s="64">
        <v>64</v>
      </c>
      <c r="B69" s="49">
        <v>502.80000000000143</v>
      </c>
      <c r="C69" s="50">
        <v>72.8</v>
      </c>
      <c r="D69" s="61">
        <f t="shared" si="1"/>
        <v>100.00000000002274</v>
      </c>
      <c r="E69" s="61">
        <f>IFERROR(IF(B69-B68&lt;=0,"",D69/SQRT(Таблица_pr[[#This Row],[Удельное сопротивление грунта, Ом·м]])),D69/SQRT(Таблица_pr[[#This Row],[Удельное сопротивление грунта, Ом·м]]))</f>
        <v>11.720180773465049</v>
      </c>
      <c r="G69" s="189">
        <v>64</v>
      </c>
      <c r="H69" s="178">
        <v>502.80000000000143</v>
      </c>
      <c r="I69" s="183">
        <v>72.8</v>
      </c>
      <c r="J69" s="180">
        <f t="shared" si="2"/>
        <v>100.00000000002274</v>
      </c>
      <c r="K69" s="61">
        <f>IFERROR(IF(H69-H68&lt;=0,"",J69/SQRT(Таблица_pr1[[#This Row],[Удельное сопротивление грунта, Ом·м]])),J69/SQRT(Таблица_pr1[[#This Row],[Удельное сопротивление грунта, Ом·м]]))</f>
        <v>11.720180773465049</v>
      </c>
      <c r="Q69" s="61" t="str">
        <f>IFERROR(IF(N69-N68&lt;=0,"",P69/SQRT(Таблица_pr2[[#This Row],[Удельное сопротивление грунта, Ом·м]])),P69/SQRT(Таблица_pr2[[#This Row],[Удельное сопротивление грунта, Ом·м]]))</f>
        <v/>
      </c>
      <c r="W69" s="61" t="str">
        <f>IFERROR(IF(T69-T68&lt;=0,"",V69/SQRT(Таблица_pr3[[#This Row],[Удельное сопротивление грунта, Ом·м]])),V69/SQRT(Таблица_pr3[[#This Row],[Удельное сопротивление грунта, Ом·м]]))</f>
        <v/>
      </c>
      <c r="AC69" s="61" t="str">
        <f>IFERROR(IF(Z69-Z68&lt;=0,"",AB69/SQRT(Таблица_pr4[[#This Row],[Удельное сопротивление грунта, Ом·м]])),AB69/SQRT(Таблица_pr4[[#This Row],[Удельное сопротивление грунта, Ом·м]]))</f>
        <v/>
      </c>
      <c r="AI69" s="61" t="str">
        <f>IFERROR(IF(AF69-AF68&lt;=0,"",AH69/SQRT(Таблица_pr5[[#This Row],[Удельное сопротивление грунта, Ом·м]])),AH69/SQRT(Таблица_pr5[[#This Row],[Удельное сопротивление грунта, Ом·м]]))</f>
        <v/>
      </c>
      <c r="AO69" s="61" t="str">
        <f>IFERROR(IF(AL69-AL68&lt;=0,"",AN69/SQRT(Таблица_pr6[[#This Row],[Удельное сопротивление грунта, Ом·м]])),AN69/SQRT(Таблица_pr6[[#This Row],[Удельное сопротивление грунта, Ом·м]]))</f>
        <v/>
      </c>
      <c r="AU69" s="61" t="str">
        <f>IFERROR(IF(AR69-AR68&lt;=0,"",AT69/SQRT(Таблица_pr7[[#This Row],[Удельное сопротивление грунта, Ом·м]])),AT69/SQRT(Таблица_pr7[[#This Row],[Удельное сопротивление грунта, Ом·м]]))</f>
        <v/>
      </c>
      <c r="BA69" s="61" t="str">
        <f>IFERROR(IF(AX69-AX68&lt;=0,"",AZ69/SQRT(Таблица_pr8[[#This Row],[Удельное сопротивление грунта, Ом·м]])),AZ69/SQRT(Таблица_pr8[[#This Row],[Удельное сопротивление грунта, Ом·м]]))</f>
        <v/>
      </c>
      <c r="BC69" s="55"/>
      <c r="BD69" s="52"/>
      <c r="BE69" s="67"/>
      <c r="BG69" s="61" t="str">
        <f>IFERROR(IF(BD69-AX88&lt;=0,"",BF69/SQRT(Таблица_pr9[[#This Row],[Удельное сопротивление грунта, Ом·м]])),BF69/SQRT(Таблица_pr9[[#This Row],[Удельное сопротивление грунта, Ом·м]]))</f>
        <v/>
      </c>
      <c r="BI69" s="51"/>
      <c r="BJ69" s="49"/>
      <c r="BK69" s="50"/>
      <c r="BM69" s="61" t="str">
        <f>IFERROR(IF(BJ69-BD98&lt;=0,"",BL69/SQRT(Таблица_pr10[[#This Row],[Удельное сопротивление грунта, Ом·м]])),BL69/SQRT(Таблица_pr10[[#This Row],[Удельное сопротивление грунта, Ом·м]]))</f>
        <v/>
      </c>
    </row>
    <row r="70" spans="1:65">
      <c r="A70" s="64">
        <v>65</v>
      </c>
      <c r="B70" s="49">
        <v>502.90000000000146</v>
      </c>
      <c r="C70" s="50">
        <v>61.2</v>
      </c>
      <c r="D70" s="61">
        <f t="shared" ref="D70:D133" si="13">IFERROR(IF(B70-B69&lt;=0,"",(B70-B69)*1000),100)</f>
        <v>100.00000000002274</v>
      </c>
      <c r="E70" s="61">
        <f>IFERROR(IF(B70-B69&lt;=0,"",D70/SQRT(Таблица_pr[[#This Row],[Удельное сопротивление грунта, Ом·м]])),D70/SQRT(Таблица_pr[[#This Row],[Удельное сопротивление грунта, Ом·м]]))</f>
        <v>12.782749814125747</v>
      </c>
      <c r="G70" s="188">
        <v>65</v>
      </c>
      <c r="H70" s="175">
        <v>502.90000000000146</v>
      </c>
      <c r="I70" s="182">
        <v>61.2</v>
      </c>
      <c r="J70" s="181">
        <f t="shared" ref="J70:J133" si="14">IFERROR(IF(H70-H69&lt;=0,"",(H70-H69)*1000),100)</f>
        <v>100.00000000002274</v>
      </c>
      <c r="K70" s="61">
        <f>IFERROR(IF(H70-H69&lt;=0,"",J70/SQRT(Таблица_pr1[[#This Row],[Удельное сопротивление грунта, Ом·м]])),J70/SQRT(Таблица_pr1[[#This Row],[Удельное сопротивление грунта, Ом·м]]))</f>
        <v>12.782749814125747</v>
      </c>
      <c r="Q70" s="61" t="str">
        <f>IFERROR(IF(N70-N69&lt;=0,"",P70/SQRT(Таблица_pr2[[#This Row],[Удельное сопротивление грунта, Ом·м]])),P70/SQRT(Таблица_pr2[[#This Row],[Удельное сопротивление грунта, Ом·м]]))</f>
        <v/>
      </c>
      <c r="W70" s="61" t="str">
        <f>IFERROR(IF(T70-T69&lt;=0,"",V70/SQRT(Таблица_pr3[[#This Row],[Удельное сопротивление грунта, Ом·м]])),V70/SQRT(Таблица_pr3[[#This Row],[Удельное сопротивление грунта, Ом·м]]))</f>
        <v/>
      </c>
      <c r="AC70" s="61" t="str">
        <f>IFERROR(IF(Z70-Z69&lt;=0,"",AB70/SQRT(Таблица_pr4[[#This Row],[Удельное сопротивление грунта, Ом·м]])),AB70/SQRT(Таблица_pr4[[#This Row],[Удельное сопротивление грунта, Ом·м]]))</f>
        <v/>
      </c>
      <c r="AI70" s="61" t="str">
        <f>IFERROR(IF(AF70-AF69&lt;=0,"",AH70/SQRT(Таблица_pr5[[#This Row],[Удельное сопротивление грунта, Ом·м]])),AH70/SQRT(Таблица_pr5[[#This Row],[Удельное сопротивление грунта, Ом·м]]))</f>
        <v/>
      </c>
      <c r="AO70" s="61" t="str">
        <f>IFERROR(IF(AL70-AL69&lt;=0,"",AN70/SQRT(Таблица_pr6[[#This Row],[Удельное сопротивление грунта, Ом·м]])),AN70/SQRT(Таблица_pr6[[#This Row],[Удельное сопротивление грунта, Ом·м]]))</f>
        <v/>
      </c>
      <c r="AU70" s="61" t="str">
        <f>IFERROR(IF(AR70-AR69&lt;=0,"",AT70/SQRT(Таблица_pr7[[#This Row],[Удельное сопротивление грунта, Ом·м]])),AT70/SQRT(Таблица_pr7[[#This Row],[Удельное сопротивление грунта, Ом·м]]))</f>
        <v/>
      </c>
      <c r="BA70" s="61" t="str">
        <f>IFERROR(IF(AX70-AX69&lt;=0,"",AZ70/SQRT(Таблица_pr8[[#This Row],[Удельное сопротивление грунта, Ом·м]])),AZ70/SQRT(Таблица_pr8[[#This Row],[Удельное сопротивление грунта, Ом·м]]))</f>
        <v/>
      </c>
      <c r="BC70" s="55"/>
      <c r="BD70" s="52"/>
      <c r="BE70" s="67"/>
      <c r="BG70" s="61" t="str">
        <f>IFERROR(IF(BD70-AX89&lt;=0,"",BF70/SQRT(Таблица_pr9[[#This Row],[Удельное сопротивление грунта, Ом·м]])),BF70/SQRT(Таблица_pr9[[#This Row],[Удельное сопротивление грунта, Ом·м]]))</f>
        <v/>
      </c>
      <c r="BI70" s="51"/>
      <c r="BJ70" s="49"/>
      <c r="BK70" s="50"/>
      <c r="BM70" s="61" t="str">
        <f>IFERROR(IF(BJ70-BD99&lt;=0,"",BL70/SQRT(Таблица_pr10[[#This Row],[Удельное сопротивление грунта, Ом·м]])),BL70/SQRT(Таблица_pr10[[#This Row],[Удельное сопротивление грунта, Ом·м]]))</f>
        <v/>
      </c>
    </row>
    <row r="71" spans="1:65">
      <c r="A71" s="64">
        <v>66</v>
      </c>
      <c r="B71" s="49">
        <v>503.00000000000148</v>
      </c>
      <c r="C71" s="50">
        <v>63.5</v>
      </c>
      <c r="D71" s="61">
        <f t="shared" si="13"/>
        <v>100.00000000002274</v>
      </c>
      <c r="E71" s="61">
        <f>IFERROR(IF(B71-B70&lt;=0,"",D71/SQRT(Таблица_pr[[#This Row],[Удельное сопротивление грунта, Ом·м]])),D71/SQRT(Таблица_pr[[#This Row],[Удельное сопротивление грунта, Ом·м]]))</f>
        <v>12.549116102766025</v>
      </c>
      <c r="G71" s="189">
        <v>66</v>
      </c>
      <c r="H71" s="178">
        <v>503.00000000000148</v>
      </c>
      <c r="I71" s="183">
        <v>63.5</v>
      </c>
      <c r="J71" s="180">
        <f t="shared" si="14"/>
        <v>100.00000000002274</v>
      </c>
      <c r="K71" s="61">
        <f>IFERROR(IF(H71-H70&lt;=0,"",J71/SQRT(Таблица_pr1[[#This Row],[Удельное сопротивление грунта, Ом·м]])),J71/SQRT(Таблица_pr1[[#This Row],[Удельное сопротивление грунта, Ом·м]]))</f>
        <v>12.549116102766025</v>
      </c>
      <c r="Q71" s="61" t="str">
        <f>IFERROR(IF(N71-N70&lt;=0,"",P71/SQRT(Таблица_pr2[[#This Row],[Удельное сопротивление грунта, Ом·м]])),P71/SQRT(Таблица_pr2[[#This Row],[Удельное сопротивление грунта, Ом·м]]))</f>
        <v/>
      </c>
      <c r="W71" s="61" t="str">
        <f>IFERROR(IF(T71-T70&lt;=0,"",V71/SQRT(Таблица_pr3[[#This Row],[Удельное сопротивление грунта, Ом·м]])),V71/SQRT(Таблица_pr3[[#This Row],[Удельное сопротивление грунта, Ом·м]]))</f>
        <v/>
      </c>
      <c r="AC71" s="61" t="str">
        <f>IFERROR(IF(Z71-Z70&lt;=0,"",AB71/SQRT(Таблица_pr4[[#This Row],[Удельное сопротивление грунта, Ом·м]])),AB71/SQRT(Таблица_pr4[[#This Row],[Удельное сопротивление грунта, Ом·м]]))</f>
        <v/>
      </c>
      <c r="AI71" s="61" t="str">
        <f>IFERROR(IF(AF71-AF70&lt;=0,"",AH71/SQRT(Таблица_pr5[[#This Row],[Удельное сопротивление грунта, Ом·м]])),AH71/SQRT(Таблица_pr5[[#This Row],[Удельное сопротивление грунта, Ом·м]]))</f>
        <v/>
      </c>
      <c r="AO71" s="61" t="str">
        <f>IFERROR(IF(AL71-AL70&lt;=0,"",AN71/SQRT(Таблица_pr6[[#This Row],[Удельное сопротивление грунта, Ом·м]])),AN71/SQRT(Таблица_pr6[[#This Row],[Удельное сопротивление грунта, Ом·м]]))</f>
        <v/>
      </c>
      <c r="AU71" s="61" t="str">
        <f>IFERROR(IF(AR71-AR70&lt;=0,"",AT71/SQRT(Таблица_pr7[[#This Row],[Удельное сопротивление грунта, Ом·м]])),AT71/SQRT(Таблица_pr7[[#This Row],[Удельное сопротивление грунта, Ом·м]]))</f>
        <v/>
      </c>
      <c r="BA71" s="61" t="str">
        <f>IFERROR(IF(AX71-AX70&lt;=0,"",AZ71/SQRT(Таблица_pr8[[#This Row],[Удельное сопротивление грунта, Ом·м]])),AZ71/SQRT(Таблица_pr8[[#This Row],[Удельное сопротивление грунта, Ом·м]]))</f>
        <v/>
      </c>
      <c r="BC71" s="55"/>
      <c r="BD71" s="52"/>
      <c r="BE71" s="67"/>
      <c r="BG71" s="61" t="str">
        <f>IFERROR(IF(BD71-AX90&lt;=0,"",BF71/SQRT(Таблица_pr9[[#This Row],[Удельное сопротивление грунта, Ом·м]])),BF71/SQRT(Таблица_pr9[[#This Row],[Удельное сопротивление грунта, Ом·м]]))</f>
        <v/>
      </c>
      <c r="BI71" s="51"/>
      <c r="BJ71" s="49"/>
      <c r="BK71" s="50"/>
      <c r="BM71" s="61" t="str">
        <f>IFERROR(IF(BJ71-BD100&lt;=0,"",BL71/SQRT(Таблица_pr10[[#This Row],[Удельное сопротивление грунта, Ом·м]])),BL71/SQRT(Таблица_pr10[[#This Row],[Удельное сопротивление грунта, Ом·м]]))</f>
        <v/>
      </c>
    </row>
    <row r="72" spans="1:65">
      <c r="A72" s="64">
        <v>67</v>
      </c>
      <c r="B72" s="49">
        <v>503.1000000000015</v>
      </c>
      <c r="C72" s="50">
        <v>101</v>
      </c>
      <c r="D72" s="61">
        <f t="shared" si="13"/>
        <v>100.00000000002274</v>
      </c>
      <c r="E72" s="61">
        <f>IFERROR(IF(B72-B71&lt;=0,"",D72/SQRT(Таблица_pr[[#This Row],[Удельное сопротивление грунта, Ом·м]])),D72/SQRT(Таблица_pr[[#This Row],[Удельное сопротивление грунта, Ом·м]]))</f>
        <v>9.9503719021021535</v>
      </c>
      <c r="G72" s="188">
        <v>67</v>
      </c>
      <c r="H72" s="175">
        <v>503.1000000000015</v>
      </c>
      <c r="I72" s="182">
        <v>101</v>
      </c>
      <c r="J72" s="181">
        <f t="shared" si="14"/>
        <v>100.00000000002274</v>
      </c>
      <c r="K72" s="61">
        <f>IFERROR(IF(H72-H71&lt;=0,"",J72/SQRT(Таблица_pr1[[#This Row],[Удельное сопротивление грунта, Ом·м]])),J72/SQRT(Таблица_pr1[[#This Row],[Удельное сопротивление грунта, Ом·м]]))</f>
        <v>9.9503719021021535</v>
      </c>
      <c r="Q72" s="61" t="str">
        <f>IFERROR(IF(N72-N71&lt;=0,"",P72/SQRT(Таблица_pr2[[#This Row],[Удельное сопротивление грунта, Ом·м]])),P72/SQRT(Таблица_pr2[[#This Row],[Удельное сопротивление грунта, Ом·м]]))</f>
        <v/>
      </c>
      <c r="W72" s="61" t="str">
        <f>IFERROR(IF(T72-T71&lt;=0,"",V72/SQRT(Таблица_pr3[[#This Row],[Удельное сопротивление грунта, Ом·м]])),V72/SQRT(Таблица_pr3[[#This Row],[Удельное сопротивление грунта, Ом·м]]))</f>
        <v/>
      </c>
      <c r="AC72" s="61" t="str">
        <f>IFERROR(IF(Z72-Z71&lt;=0,"",AB72/SQRT(Таблица_pr4[[#This Row],[Удельное сопротивление грунта, Ом·м]])),AB72/SQRT(Таблица_pr4[[#This Row],[Удельное сопротивление грунта, Ом·м]]))</f>
        <v/>
      </c>
      <c r="AI72" s="61" t="str">
        <f>IFERROR(IF(AF72-AF71&lt;=0,"",AH72/SQRT(Таблица_pr5[[#This Row],[Удельное сопротивление грунта, Ом·м]])),AH72/SQRT(Таблица_pr5[[#This Row],[Удельное сопротивление грунта, Ом·м]]))</f>
        <v/>
      </c>
      <c r="AO72" s="61" t="str">
        <f>IFERROR(IF(AL72-AL71&lt;=0,"",AN72/SQRT(Таблица_pr6[[#This Row],[Удельное сопротивление грунта, Ом·м]])),AN72/SQRT(Таблица_pr6[[#This Row],[Удельное сопротивление грунта, Ом·м]]))</f>
        <v/>
      </c>
      <c r="AU72" s="61" t="str">
        <f>IFERROR(IF(AR72-AR71&lt;=0,"",AT72/SQRT(Таблица_pr7[[#This Row],[Удельное сопротивление грунта, Ом·м]])),AT72/SQRT(Таблица_pr7[[#This Row],[Удельное сопротивление грунта, Ом·м]]))</f>
        <v/>
      </c>
      <c r="BA72" s="61" t="str">
        <f>IFERROR(IF(AX72-AX71&lt;=0,"",AZ72/SQRT(Таблица_pr8[[#This Row],[Удельное сопротивление грунта, Ом·м]])),AZ72/SQRT(Таблица_pr8[[#This Row],[Удельное сопротивление грунта, Ом·м]]))</f>
        <v/>
      </c>
      <c r="BC72" s="55"/>
      <c r="BD72" s="52"/>
      <c r="BE72" s="67"/>
      <c r="BG72" s="61" t="str">
        <f>IFERROR(IF(BD72-AX91&lt;=0,"",BF72/SQRT(Таблица_pr9[[#This Row],[Удельное сопротивление грунта, Ом·м]])),BF72/SQRT(Таблица_pr9[[#This Row],[Удельное сопротивление грунта, Ом·м]]))</f>
        <v/>
      </c>
      <c r="BI72" s="51"/>
      <c r="BJ72" s="49"/>
      <c r="BK72" s="50"/>
      <c r="BM72" s="61" t="str">
        <f>IFERROR(IF(BJ72-BD101&lt;=0,"",BL72/SQRT(Таблица_pr10[[#This Row],[Удельное сопротивление грунта, Ом·м]])),BL72/SQRT(Таблица_pr10[[#This Row],[Удельное сопротивление грунта, Ом·м]]))</f>
        <v/>
      </c>
    </row>
    <row r="73" spans="1:65">
      <c r="A73" s="64">
        <v>68</v>
      </c>
      <c r="B73" s="49">
        <v>503.20000000000152</v>
      </c>
      <c r="C73" s="50">
        <v>65.5</v>
      </c>
      <c r="D73" s="61">
        <f t="shared" si="13"/>
        <v>100.00000000002274</v>
      </c>
      <c r="E73" s="61">
        <f>IFERROR(IF(B73-B72&lt;=0,"",D73/SQRT(Таблица_pr[[#This Row],[Удельное сопротивление грунта, Ом·м]])),D73/SQRT(Таблица_pr[[#This Row],[Удельное сопротивление грунта, Ом·м]]))</f>
        <v>12.356041264307118</v>
      </c>
      <c r="G73" s="189">
        <v>68</v>
      </c>
      <c r="H73" s="178">
        <v>503.20000000000152</v>
      </c>
      <c r="I73" s="183">
        <v>65.5</v>
      </c>
      <c r="J73" s="180">
        <f t="shared" si="14"/>
        <v>100.00000000002274</v>
      </c>
      <c r="K73" s="61">
        <f>IFERROR(IF(H73-H72&lt;=0,"",J73/SQRT(Таблица_pr1[[#This Row],[Удельное сопротивление грунта, Ом·м]])),J73/SQRT(Таблица_pr1[[#This Row],[Удельное сопротивление грунта, Ом·м]]))</f>
        <v>12.356041264307118</v>
      </c>
      <c r="Q73" s="61" t="str">
        <f>IFERROR(IF(N73-N72&lt;=0,"",P73/SQRT(Таблица_pr2[[#This Row],[Удельное сопротивление грунта, Ом·м]])),P73/SQRT(Таблица_pr2[[#This Row],[Удельное сопротивление грунта, Ом·м]]))</f>
        <v/>
      </c>
      <c r="W73" s="61" t="str">
        <f>IFERROR(IF(T73-T72&lt;=0,"",V73/SQRT(Таблица_pr3[[#This Row],[Удельное сопротивление грунта, Ом·м]])),V73/SQRT(Таблица_pr3[[#This Row],[Удельное сопротивление грунта, Ом·м]]))</f>
        <v/>
      </c>
      <c r="AC73" s="61" t="str">
        <f>IFERROR(IF(Z73-Z72&lt;=0,"",AB73/SQRT(Таблица_pr4[[#This Row],[Удельное сопротивление грунта, Ом·м]])),AB73/SQRT(Таблица_pr4[[#This Row],[Удельное сопротивление грунта, Ом·м]]))</f>
        <v/>
      </c>
      <c r="AI73" s="61" t="str">
        <f>IFERROR(IF(AF73-AF72&lt;=0,"",AH73/SQRT(Таблица_pr5[[#This Row],[Удельное сопротивление грунта, Ом·м]])),AH73/SQRT(Таблица_pr5[[#This Row],[Удельное сопротивление грунта, Ом·м]]))</f>
        <v/>
      </c>
      <c r="AO73" s="61" t="str">
        <f>IFERROR(IF(AL73-AL72&lt;=0,"",AN73/SQRT(Таблица_pr6[[#This Row],[Удельное сопротивление грунта, Ом·м]])),AN73/SQRT(Таблица_pr6[[#This Row],[Удельное сопротивление грунта, Ом·м]]))</f>
        <v/>
      </c>
      <c r="AU73" s="61" t="str">
        <f>IFERROR(IF(AR73-AR72&lt;=0,"",AT73/SQRT(Таблица_pr7[[#This Row],[Удельное сопротивление грунта, Ом·м]])),AT73/SQRT(Таблица_pr7[[#This Row],[Удельное сопротивление грунта, Ом·м]]))</f>
        <v/>
      </c>
      <c r="BA73" s="61" t="str">
        <f>IFERROR(IF(AX73-AX72&lt;=0,"",AZ73/SQRT(Таблица_pr8[[#This Row],[Удельное сопротивление грунта, Ом·м]])),AZ73/SQRT(Таблица_pr8[[#This Row],[Удельное сопротивление грунта, Ом·м]]))</f>
        <v/>
      </c>
      <c r="BC73" s="55"/>
      <c r="BD73" s="52"/>
      <c r="BE73" s="67"/>
      <c r="BG73" s="61" t="str">
        <f>IFERROR(IF(BD73-AX92&lt;=0,"",BF73/SQRT(Таблица_pr9[[#This Row],[Удельное сопротивление грунта, Ом·м]])),BF73/SQRT(Таблица_pr9[[#This Row],[Удельное сопротивление грунта, Ом·м]]))</f>
        <v/>
      </c>
      <c r="BI73" s="51"/>
      <c r="BJ73" s="49"/>
      <c r="BK73" s="50"/>
      <c r="BM73" s="61" t="str">
        <f>IFERROR(IF(BJ73-BD102&lt;=0,"",BL73/SQRT(Таблица_pr10[[#This Row],[Удельное сопротивление грунта, Ом·м]])),BL73/SQRT(Таблица_pr10[[#This Row],[Удельное сопротивление грунта, Ом·м]]))</f>
        <v/>
      </c>
    </row>
    <row r="74" spans="1:65">
      <c r="A74" s="64">
        <v>69</v>
      </c>
      <c r="B74" s="49">
        <v>503.30000000000155</v>
      </c>
      <c r="C74" s="50">
        <v>53.6</v>
      </c>
      <c r="D74" s="61">
        <f t="shared" si="13"/>
        <v>100.00000000002274</v>
      </c>
      <c r="E74" s="61">
        <f>IFERROR(IF(B74-B73&lt;=0,"",D74/SQRT(Таблица_pr[[#This Row],[Удельное сопротивление грунта, Ом·м]])),D74/SQRT(Таблица_pr[[#This Row],[Удельное сопротивление грунта, Ом·м]]))</f>
        <v>13.658959117706932</v>
      </c>
      <c r="G74" s="188">
        <v>69</v>
      </c>
      <c r="H74" s="175">
        <v>503.30000000000155</v>
      </c>
      <c r="I74" s="182">
        <v>53.6</v>
      </c>
      <c r="J74" s="181">
        <f t="shared" si="14"/>
        <v>100.00000000002274</v>
      </c>
      <c r="K74" s="61">
        <f>IFERROR(IF(H74-H73&lt;=0,"",J74/SQRT(Таблица_pr1[[#This Row],[Удельное сопротивление грунта, Ом·м]])),J74/SQRT(Таблица_pr1[[#This Row],[Удельное сопротивление грунта, Ом·м]]))</f>
        <v>13.658959117706932</v>
      </c>
      <c r="Q74" s="61" t="str">
        <f>IFERROR(IF(N74-N73&lt;=0,"",P74/SQRT(Таблица_pr2[[#This Row],[Удельное сопротивление грунта, Ом·м]])),P74/SQRT(Таблица_pr2[[#This Row],[Удельное сопротивление грунта, Ом·м]]))</f>
        <v/>
      </c>
      <c r="W74" s="61" t="str">
        <f>IFERROR(IF(T74-T73&lt;=0,"",V74/SQRT(Таблица_pr3[[#This Row],[Удельное сопротивление грунта, Ом·м]])),V74/SQRT(Таблица_pr3[[#This Row],[Удельное сопротивление грунта, Ом·м]]))</f>
        <v/>
      </c>
      <c r="AC74" s="61" t="str">
        <f>IFERROR(IF(Z74-Z73&lt;=0,"",AB74/SQRT(Таблица_pr4[[#This Row],[Удельное сопротивление грунта, Ом·м]])),AB74/SQRT(Таблица_pr4[[#This Row],[Удельное сопротивление грунта, Ом·м]]))</f>
        <v/>
      </c>
      <c r="AI74" s="61" t="str">
        <f>IFERROR(IF(AF74-AF73&lt;=0,"",AH74/SQRT(Таблица_pr5[[#This Row],[Удельное сопротивление грунта, Ом·м]])),AH74/SQRT(Таблица_pr5[[#This Row],[Удельное сопротивление грунта, Ом·м]]))</f>
        <v/>
      </c>
      <c r="AO74" s="61" t="str">
        <f>IFERROR(IF(AL74-AL73&lt;=0,"",AN74/SQRT(Таблица_pr6[[#This Row],[Удельное сопротивление грунта, Ом·м]])),AN74/SQRT(Таблица_pr6[[#This Row],[Удельное сопротивление грунта, Ом·м]]))</f>
        <v/>
      </c>
      <c r="AU74" s="61" t="str">
        <f>IFERROR(IF(AR74-AR73&lt;=0,"",AT74/SQRT(Таблица_pr7[[#This Row],[Удельное сопротивление грунта, Ом·м]])),AT74/SQRT(Таблица_pr7[[#This Row],[Удельное сопротивление грунта, Ом·м]]))</f>
        <v/>
      </c>
      <c r="BA74" s="61" t="str">
        <f>IFERROR(IF(AX74-AX73&lt;=0,"",AZ74/SQRT(Таблица_pr8[[#This Row],[Удельное сопротивление грунта, Ом·м]])),AZ74/SQRT(Таблица_pr8[[#This Row],[Удельное сопротивление грунта, Ом·м]]))</f>
        <v/>
      </c>
      <c r="BC74" s="55"/>
      <c r="BD74" s="52"/>
      <c r="BE74" s="67"/>
      <c r="BG74" s="61" t="str">
        <f>IFERROR(IF(BD74-AX93&lt;=0,"",BF74/SQRT(Таблица_pr9[[#This Row],[Удельное сопротивление грунта, Ом·м]])),BF74/SQRT(Таблица_pr9[[#This Row],[Удельное сопротивление грунта, Ом·м]]))</f>
        <v/>
      </c>
      <c r="BI74" s="51"/>
      <c r="BJ74" s="49"/>
      <c r="BK74" s="50"/>
      <c r="BM74" s="61" t="str">
        <f>IFERROR(IF(BJ74-BD103&lt;=0,"",BL74/SQRT(Таблица_pr10[[#This Row],[Удельное сопротивление грунта, Ом·м]])),BL74/SQRT(Таблица_pr10[[#This Row],[Удельное сопротивление грунта, Ом·м]]))</f>
        <v/>
      </c>
    </row>
    <row r="75" spans="1:65">
      <c r="A75" s="64">
        <v>70</v>
      </c>
      <c r="B75" s="49">
        <v>503.40000000000157</v>
      </c>
      <c r="C75" s="50">
        <v>41.2</v>
      </c>
      <c r="D75" s="61">
        <f t="shared" si="13"/>
        <v>100.00000000002274</v>
      </c>
      <c r="E75" s="61">
        <f>IFERROR(IF(B75-B74&lt;=0,"",D75/SQRT(Таблица_pr[[#This Row],[Удельное сопротивление грунта, Ом·м]])),D75/SQRT(Таблица_pr[[#This Row],[Удельное сопротивление грунта, Ом·м]]))</f>
        <v>15.579423821247438</v>
      </c>
      <c r="G75" s="189">
        <v>70</v>
      </c>
      <c r="H75" s="178">
        <v>503.40000000000157</v>
      </c>
      <c r="I75" s="183">
        <v>41.2</v>
      </c>
      <c r="J75" s="180">
        <f t="shared" si="14"/>
        <v>100.00000000002274</v>
      </c>
      <c r="K75" s="61">
        <f>IFERROR(IF(H75-H74&lt;=0,"",J75/SQRT(Таблица_pr1[[#This Row],[Удельное сопротивление грунта, Ом·м]])),J75/SQRT(Таблица_pr1[[#This Row],[Удельное сопротивление грунта, Ом·м]]))</f>
        <v>15.579423821247438</v>
      </c>
      <c r="Q75" s="61" t="str">
        <f>IFERROR(IF(N75-N74&lt;=0,"",P75/SQRT(Таблица_pr2[[#This Row],[Удельное сопротивление грунта, Ом·м]])),P75/SQRT(Таблица_pr2[[#This Row],[Удельное сопротивление грунта, Ом·м]]))</f>
        <v/>
      </c>
      <c r="W75" s="61" t="str">
        <f>IFERROR(IF(T75-T74&lt;=0,"",V75/SQRT(Таблица_pr3[[#This Row],[Удельное сопротивление грунта, Ом·м]])),V75/SQRT(Таблица_pr3[[#This Row],[Удельное сопротивление грунта, Ом·м]]))</f>
        <v/>
      </c>
      <c r="AC75" s="61" t="str">
        <f>IFERROR(IF(Z75-Z74&lt;=0,"",AB75/SQRT(Таблица_pr4[[#This Row],[Удельное сопротивление грунта, Ом·м]])),AB75/SQRT(Таблица_pr4[[#This Row],[Удельное сопротивление грунта, Ом·м]]))</f>
        <v/>
      </c>
      <c r="AI75" s="61" t="str">
        <f>IFERROR(IF(AF75-AF74&lt;=0,"",AH75/SQRT(Таблица_pr5[[#This Row],[Удельное сопротивление грунта, Ом·м]])),AH75/SQRT(Таблица_pr5[[#This Row],[Удельное сопротивление грунта, Ом·м]]))</f>
        <v/>
      </c>
      <c r="AO75" s="61" t="str">
        <f>IFERROR(IF(AL75-AL74&lt;=0,"",AN75/SQRT(Таблица_pr6[[#This Row],[Удельное сопротивление грунта, Ом·м]])),AN75/SQRT(Таблица_pr6[[#This Row],[Удельное сопротивление грунта, Ом·м]]))</f>
        <v/>
      </c>
      <c r="AU75" s="61" t="str">
        <f>IFERROR(IF(AR75-AR74&lt;=0,"",AT75/SQRT(Таблица_pr7[[#This Row],[Удельное сопротивление грунта, Ом·м]])),AT75/SQRT(Таблица_pr7[[#This Row],[Удельное сопротивление грунта, Ом·м]]))</f>
        <v/>
      </c>
      <c r="BA75" s="61" t="str">
        <f>IFERROR(IF(AX75-AX74&lt;=0,"",AZ75/SQRT(Таблица_pr8[[#This Row],[Удельное сопротивление грунта, Ом·м]])),AZ75/SQRT(Таблица_pr8[[#This Row],[Удельное сопротивление грунта, Ом·м]]))</f>
        <v/>
      </c>
      <c r="BC75" s="55"/>
      <c r="BD75" s="52"/>
      <c r="BE75" s="67"/>
      <c r="BG75" s="61" t="str">
        <f>IFERROR(IF(BD75-AX94&lt;=0,"",BF75/SQRT(Таблица_pr9[[#This Row],[Удельное сопротивление грунта, Ом·м]])),BF75/SQRT(Таблица_pr9[[#This Row],[Удельное сопротивление грунта, Ом·м]]))</f>
        <v/>
      </c>
      <c r="BI75" s="51"/>
      <c r="BJ75" s="49"/>
      <c r="BK75" s="50"/>
      <c r="BM75" s="61" t="str">
        <f>IFERROR(IF(BJ75-BD104&lt;=0,"",BL75/SQRT(Таблица_pr10[[#This Row],[Удельное сопротивление грунта, Ом·м]])),BL75/SQRT(Таблица_pr10[[#This Row],[Удельное сопротивление грунта, Ом·м]]))</f>
        <v/>
      </c>
    </row>
    <row r="76" spans="1:65">
      <c r="A76" s="64">
        <v>71</v>
      </c>
      <c r="B76" s="49">
        <v>503.50000000000159</v>
      </c>
      <c r="C76" s="50">
        <v>49.4</v>
      </c>
      <c r="D76" s="61">
        <f t="shared" si="13"/>
        <v>100.00000000002274</v>
      </c>
      <c r="E76" s="61">
        <f>IFERROR(IF(B76-B75&lt;=0,"",D76/SQRT(Таблица_pr[[#This Row],[Удельное сопротивление грунта, Ом·м]])),D76/SQRT(Таблица_pr[[#This Row],[Удельное сопротивление грунта, Ом·м]]))</f>
        <v>14.227759830615041</v>
      </c>
      <c r="G76" s="188">
        <v>71</v>
      </c>
      <c r="H76" s="175">
        <v>503.50000000000159</v>
      </c>
      <c r="I76" s="182">
        <v>49.4</v>
      </c>
      <c r="J76" s="181">
        <f t="shared" si="14"/>
        <v>100.00000000002274</v>
      </c>
      <c r="K76" s="61">
        <f>IFERROR(IF(H76-H75&lt;=0,"",J76/SQRT(Таблица_pr1[[#This Row],[Удельное сопротивление грунта, Ом·м]])),J76/SQRT(Таблица_pr1[[#This Row],[Удельное сопротивление грунта, Ом·м]]))</f>
        <v>14.227759830615041</v>
      </c>
      <c r="Q76" s="61" t="str">
        <f>IFERROR(IF(N76-N75&lt;=0,"",P76/SQRT(Таблица_pr2[[#This Row],[Удельное сопротивление грунта, Ом·м]])),P76/SQRT(Таблица_pr2[[#This Row],[Удельное сопротивление грунта, Ом·м]]))</f>
        <v/>
      </c>
      <c r="W76" s="61" t="str">
        <f>IFERROR(IF(T76-T75&lt;=0,"",V76/SQRT(Таблица_pr3[[#This Row],[Удельное сопротивление грунта, Ом·м]])),V76/SQRT(Таблица_pr3[[#This Row],[Удельное сопротивление грунта, Ом·м]]))</f>
        <v/>
      </c>
      <c r="AC76" s="61" t="str">
        <f>IFERROR(IF(Z76-Z75&lt;=0,"",AB76/SQRT(Таблица_pr4[[#This Row],[Удельное сопротивление грунта, Ом·м]])),AB76/SQRT(Таблица_pr4[[#This Row],[Удельное сопротивление грунта, Ом·м]]))</f>
        <v/>
      </c>
      <c r="AI76" s="61" t="str">
        <f>IFERROR(IF(AF76-AF75&lt;=0,"",AH76/SQRT(Таблица_pr5[[#This Row],[Удельное сопротивление грунта, Ом·м]])),AH76/SQRT(Таблица_pr5[[#This Row],[Удельное сопротивление грунта, Ом·м]]))</f>
        <v/>
      </c>
      <c r="AO76" s="61" t="str">
        <f>IFERROR(IF(AL76-AL75&lt;=0,"",AN76/SQRT(Таблица_pr6[[#This Row],[Удельное сопротивление грунта, Ом·м]])),AN76/SQRT(Таблица_pr6[[#This Row],[Удельное сопротивление грунта, Ом·м]]))</f>
        <v/>
      </c>
      <c r="AU76" s="61" t="str">
        <f>IFERROR(IF(AR76-AR75&lt;=0,"",AT76/SQRT(Таблица_pr7[[#This Row],[Удельное сопротивление грунта, Ом·м]])),AT76/SQRT(Таблица_pr7[[#This Row],[Удельное сопротивление грунта, Ом·м]]))</f>
        <v/>
      </c>
      <c r="BA76" s="61" t="str">
        <f>IFERROR(IF(AX76-AX75&lt;=0,"",AZ76/SQRT(Таблица_pr8[[#This Row],[Удельное сопротивление грунта, Ом·м]])),AZ76/SQRT(Таблица_pr8[[#This Row],[Удельное сопротивление грунта, Ом·м]]))</f>
        <v/>
      </c>
      <c r="BC76" s="55"/>
      <c r="BD76" s="52"/>
      <c r="BE76" s="67"/>
      <c r="BG76" s="61" t="str">
        <f>IFERROR(IF(BD76-AX95&lt;=0,"",BF76/SQRT(Таблица_pr9[[#This Row],[Удельное сопротивление грунта, Ом·м]])),BF76/SQRT(Таблица_pr9[[#This Row],[Удельное сопротивление грунта, Ом·м]]))</f>
        <v/>
      </c>
      <c r="BI76" s="51"/>
      <c r="BJ76" s="49"/>
      <c r="BK76" s="50"/>
      <c r="BM76" s="61" t="str">
        <f>IFERROR(IF(BJ76-BD105&lt;=0,"",BL76/SQRT(Таблица_pr10[[#This Row],[Удельное сопротивление грунта, Ом·м]])),BL76/SQRT(Таблица_pr10[[#This Row],[Удельное сопротивление грунта, Ом·м]]))</f>
        <v/>
      </c>
    </row>
    <row r="77" spans="1:65">
      <c r="A77" s="64">
        <v>72</v>
      </c>
      <c r="B77" s="49">
        <v>503.60000000000161</v>
      </c>
      <c r="C77" s="50">
        <v>42.4</v>
      </c>
      <c r="D77" s="61">
        <f t="shared" si="13"/>
        <v>100.00000000002274</v>
      </c>
      <c r="E77" s="61">
        <f>IFERROR(IF(B77-B76&lt;=0,"",D77/SQRT(Таблица_pr[[#This Row],[Удельное сопротивление грунта, Ом·м]])),D77/SQRT(Таблица_pr[[#This Row],[Удельное сопротивление грунта, Ом·м]]))</f>
        <v>15.357377920852272</v>
      </c>
      <c r="G77" s="189">
        <v>72</v>
      </c>
      <c r="H77" s="178">
        <v>503.60000000000161</v>
      </c>
      <c r="I77" s="183">
        <v>42.4</v>
      </c>
      <c r="J77" s="180">
        <f t="shared" si="14"/>
        <v>100.00000000002274</v>
      </c>
      <c r="K77" s="61">
        <f>IFERROR(IF(H77-H76&lt;=0,"",J77/SQRT(Таблица_pr1[[#This Row],[Удельное сопротивление грунта, Ом·м]])),J77/SQRT(Таблица_pr1[[#This Row],[Удельное сопротивление грунта, Ом·м]]))</f>
        <v>15.357377920852272</v>
      </c>
      <c r="Q77" s="61" t="str">
        <f>IFERROR(IF(N77-N76&lt;=0,"",P77/SQRT(Таблица_pr2[[#This Row],[Удельное сопротивление грунта, Ом·м]])),P77/SQRT(Таблица_pr2[[#This Row],[Удельное сопротивление грунта, Ом·м]]))</f>
        <v/>
      </c>
      <c r="W77" s="61" t="str">
        <f>IFERROR(IF(T77-T76&lt;=0,"",V77/SQRT(Таблица_pr3[[#This Row],[Удельное сопротивление грунта, Ом·м]])),V77/SQRT(Таблица_pr3[[#This Row],[Удельное сопротивление грунта, Ом·м]]))</f>
        <v/>
      </c>
      <c r="AC77" s="61" t="str">
        <f>IFERROR(IF(Z77-Z76&lt;=0,"",AB77/SQRT(Таблица_pr4[[#This Row],[Удельное сопротивление грунта, Ом·м]])),AB77/SQRT(Таблица_pr4[[#This Row],[Удельное сопротивление грунта, Ом·м]]))</f>
        <v/>
      </c>
      <c r="AI77" s="61" t="str">
        <f>IFERROR(IF(AF77-AF76&lt;=0,"",AH77/SQRT(Таблица_pr5[[#This Row],[Удельное сопротивление грунта, Ом·м]])),AH77/SQRT(Таблица_pr5[[#This Row],[Удельное сопротивление грунта, Ом·м]]))</f>
        <v/>
      </c>
      <c r="AO77" s="61" t="str">
        <f>IFERROR(IF(AL77-AL76&lt;=0,"",AN77/SQRT(Таблица_pr6[[#This Row],[Удельное сопротивление грунта, Ом·м]])),AN77/SQRT(Таблица_pr6[[#This Row],[Удельное сопротивление грунта, Ом·м]]))</f>
        <v/>
      </c>
      <c r="AU77" s="61" t="str">
        <f>IFERROR(IF(AR77-AR76&lt;=0,"",AT77/SQRT(Таблица_pr7[[#This Row],[Удельное сопротивление грунта, Ом·м]])),AT77/SQRT(Таблица_pr7[[#This Row],[Удельное сопротивление грунта, Ом·м]]))</f>
        <v/>
      </c>
      <c r="BA77" s="61" t="str">
        <f>IFERROR(IF(AX77-AX76&lt;=0,"",AZ77/SQRT(Таблица_pr8[[#This Row],[Удельное сопротивление грунта, Ом·м]])),AZ77/SQRT(Таблица_pr8[[#This Row],[Удельное сопротивление грунта, Ом·м]]))</f>
        <v/>
      </c>
      <c r="BC77" s="55"/>
      <c r="BD77" s="52"/>
      <c r="BE77" s="67"/>
      <c r="BG77" s="61" t="str">
        <f>IFERROR(IF(BD77-AX96&lt;=0,"",BF77/SQRT(Таблица_pr9[[#This Row],[Удельное сопротивление грунта, Ом·м]])),BF77/SQRT(Таблица_pr9[[#This Row],[Удельное сопротивление грунта, Ом·м]]))</f>
        <v/>
      </c>
      <c r="BI77" s="51"/>
      <c r="BJ77" s="49"/>
      <c r="BK77" s="50"/>
      <c r="BM77" s="61" t="str">
        <f>IFERROR(IF(BJ77-BD106&lt;=0,"",BL77/SQRT(Таблица_pr10[[#This Row],[Удельное сопротивление грунта, Ом·м]])),BL77/SQRT(Таблица_pr10[[#This Row],[Удельное сопротивление грунта, Ом·м]]))</f>
        <v/>
      </c>
    </row>
    <row r="78" spans="1:65">
      <c r="A78" s="64">
        <v>73</v>
      </c>
      <c r="B78" s="49">
        <v>503.70000000000164</v>
      </c>
      <c r="C78" s="50">
        <v>43.4</v>
      </c>
      <c r="D78" s="61">
        <f t="shared" si="13"/>
        <v>100.00000000002274</v>
      </c>
      <c r="E78" s="61">
        <f>IFERROR(IF(B78-B77&lt;=0,"",D78/SQRT(Таблица_pr[[#This Row],[Удельное сопротивление грунта, Ом·м]])),D78/SQRT(Таблица_pr[[#This Row],[Удельное сопротивление грунта, Ом·м]]))</f>
        <v>15.179418517976359</v>
      </c>
      <c r="G78" s="188">
        <v>73</v>
      </c>
      <c r="H78" s="175">
        <v>503.70000000000164</v>
      </c>
      <c r="I78" s="182">
        <v>43.4</v>
      </c>
      <c r="J78" s="181">
        <f t="shared" si="14"/>
        <v>100.00000000002274</v>
      </c>
      <c r="K78" s="61">
        <f>IFERROR(IF(H78-H77&lt;=0,"",J78/SQRT(Таблица_pr1[[#This Row],[Удельное сопротивление грунта, Ом·м]])),J78/SQRT(Таблица_pr1[[#This Row],[Удельное сопротивление грунта, Ом·м]]))</f>
        <v>15.179418517976359</v>
      </c>
      <c r="Q78" s="61" t="str">
        <f>IFERROR(IF(N78-N77&lt;=0,"",P78/SQRT(Таблица_pr2[[#This Row],[Удельное сопротивление грунта, Ом·м]])),P78/SQRT(Таблица_pr2[[#This Row],[Удельное сопротивление грунта, Ом·м]]))</f>
        <v/>
      </c>
      <c r="W78" s="61" t="str">
        <f>IFERROR(IF(T78-T77&lt;=0,"",V78/SQRT(Таблица_pr3[[#This Row],[Удельное сопротивление грунта, Ом·м]])),V78/SQRT(Таблица_pr3[[#This Row],[Удельное сопротивление грунта, Ом·м]]))</f>
        <v/>
      </c>
      <c r="AC78" s="61" t="str">
        <f>IFERROR(IF(Z78-Z77&lt;=0,"",AB78/SQRT(Таблица_pr4[[#This Row],[Удельное сопротивление грунта, Ом·м]])),AB78/SQRT(Таблица_pr4[[#This Row],[Удельное сопротивление грунта, Ом·м]]))</f>
        <v/>
      </c>
      <c r="AI78" s="61" t="str">
        <f>IFERROR(IF(AF78-AF77&lt;=0,"",AH78/SQRT(Таблица_pr5[[#This Row],[Удельное сопротивление грунта, Ом·м]])),AH78/SQRT(Таблица_pr5[[#This Row],[Удельное сопротивление грунта, Ом·м]]))</f>
        <v/>
      </c>
      <c r="AO78" s="61" t="str">
        <f>IFERROR(IF(AL78-AL77&lt;=0,"",AN78/SQRT(Таблица_pr6[[#This Row],[Удельное сопротивление грунта, Ом·м]])),AN78/SQRT(Таблица_pr6[[#This Row],[Удельное сопротивление грунта, Ом·м]]))</f>
        <v/>
      </c>
      <c r="AU78" s="61" t="str">
        <f>IFERROR(IF(AR78-AR77&lt;=0,"",AT78/SQRT(Таблица_pr7[[#This Row],[Удельное сопротивление грунта, Ом·м]])),AT78/SQRT(Таблица_pr7[[#This Row],[Удельное сопротивление грунта, Ом·м]]))</f>
        <v/>
      </c>
      <c r="BA78" s="61" t="str">
        <f>IFERROR(IF(AX78-AX77&lt;=0,"",AZ78/SQRT(Таблица_pr8[[#This Row],[Удельное сопротивление грунта, Ом·м]])),AZ78/SQRT(Таблица_pr8[[#This Row],[Удельное сопротивление грунта, Ом·м]]))</f>
        <v/>
      </c>
      <c r="BC78" s="55"/>
      <c r="BD78" s="52"/>
      <c r="BE78" s="67"/>
      <c r="BG78" s="61" t="str">
        <f>IFERROR(IF(BD78-AX97&lt;=0,"",BF78/SQRT(Таблица_pr9[[#This Row],[Удельное сопротивление грунта, Ом·м]])),BF78/SQRT(Таблица_pr9[[#This Row],[Удельное сопротивление грунта, Ом·м]]))</f>
        <v/>
      </c>
      <c r="BI78" s="51"/>
      <c r="BJ78" s="49"/>
      <c r="BK78" s="50"/>
      <c r="BM78" s="61" t="str">
        <f>IFERROR(IF(BJ78-BD107&lt;=0,"",BL78/SQRT(Таблица_pr10[[#This Row],[Удельное сопротивление грунта, Ом·м]])),BL78/SQRT(Таблица_pr10[[#This Row],[Удельное сопротивление грунта, Ом·м]]))</f>
        <v/>
      </c>
    </row>
    <row r="79" spans="1:65">
      <c r="A79" s="64">
        <v>74</v>
      </c>
      <c r="B79" s="49">
        <v>503.80000000000166</v>
      </c>
      <c r="C79" s="50">
        <v>41.6</v>
      </c>
      <c r="D79" s="61">
        <f t="shared" si="13"/>
        <v>100.00000000002274</v>
      </c>
      <c r="E79" s="61">
        <f>IFERROR(IF(B79-B78&lt;=0,"",D79/SQRT(Таблица_pr[[#This Row],[Удельное сопротивление грунта, Ом·м]])),D79/SQRT(Таблица_pr[[#This Row],[Удельное сопротивление грунта, Ом·м]]))</f>
        <v>15.504341823654581</v>
      </c>
      <c r="G79" s="189">
        <v>74</v>
      </c>
      <c r="H79" s="178">
        <v>503.80000000000166</v>
      </c>
      <c r="I79" s="183">
        <v>41.6</v>
      </c>
      <c r="J79" s="180">
        <f t="shared" si="14"/>
        <v>100.00000000002274</v>
      </c>
      <c r="K79" s="61">
        <f>IFERROR(IF(H79-H78&lt;=0,"",J79/SQRT(Таблица_pr1[[#This Row],[Удельное сопротивление грунта, Ом·м]])),J79/SQRT(Таблица_pr1[[#This Row],[Удельное сопротивление грунта, Ом·м]]))</f>
        <v>15.504341823654581</v>
      </c>
      <c r="Q79" s="61" t="str">
        <f>IFERROR(IF(N79-N78&lt;=0,"",P79/SQRT(Таблица_pr2[[#This Row],[Удельное сопротивление грунта, Ом·м]])),P79/SQRT(Таблица_pr2[[#This Row],[Удельное сопротивление грунта, Ом·м]]))</f>
        <v/>
      </c>
      <c r="W79" s="61" t="str">
        <f>IFERROR(IF(T79-T78&lt;=0,"",V79/SQRT(Таблица_pr3[[#This Row],[Удельное сопротивление грунта, Ом·м]])),V79/SQRT(Таблица_pr3[[#This Row],[Удельное сопротивление грунта, Ом·м]]))</f>
        <v/>
      </c>
      <c r="AC79" s="61" t="str">
        <f>IFERROR(IF(Z79-Z78&lt;=0,"",AB79/SQRT(Таблица_pr4[[#This Row],[Удельное сопротивление грунта, Ом·м]])),AB79/SQRT(Таблица_pr4[[#This Row],[Удельное сопротивление грунта, Ом·м]]))</f>
        <v/>
      </c>
      <c r="AI79" s="61" t="str">
        <f>IFERROR(IF(AF79-AF78&lt;=0,"",AH79/SQRT(Таблица_pr5[[#This Row],[Удельное сопротивление грунта, Ом·м]])),AH79/SQRT(Таблица_pr5[[#This Row],[Удельное сопротивление грунта, Ом·м]]))</f>
        <v/>
      </c>
      <c r="AO79" s="61" t="str">
        <f>IFERROR(IF(AL79-AL78&lt;=0,"",AN79/SQRT(Таблица_pr6[[#This Row],[Удельное сопротивление грунта, Ом·м]])),AN79/SQRT(Таблица_pr6[[#This Row],[Удельное сопротивление грунта, Ом·м]]))</f>
        <v/>
      </c>
      <c r="AU79" s="61" t="str">
        <f>IFERROR(IF(AR79-AR78&lt;=0,"",AT79/SQRT(Таблица_pr7[[#This Row],[Удельное сопротивление грунта, Ом·м]])),AT79/SQRT(Таблица_pr7[[#This Row],[Удельное сопротивление грунта, Ом·м]]))</f>
        <v/>
      </c>
      <c r="BA79" s="61" t="str">
        <f>IFERROR(IF(AX79-AX78&lt;=0,"",AZ79/SQRT(Таблица_pr8[[#This Row],[Удельное сопротивление грунта, Ом·м]])),AZ79/SQRT(Таблица_pr8[[#This Row],[Удельное сопротивление грунта, Ом·м]]))</f>
        <v/>
      </c>
      <c r="BC79" s="55"/>
      <c r="BD79" s="52"/>
      <c r="BE79" s="67"/>
      <c r="BG79" s="61" t="str">
        <f>IFERROR(IF(BD79-AX98&lt;=0,"",BF79/SQRT(Таблица_pr9[[#This Row],[Удельное сопротивление грунта, Ом·м]])),BF79/SQRT(Таблица_pr9[[#This Row],[Удельное сопротивление грунта, Ом·м]]))</f>
        <v/>
      </c>
      <c r="BI79" s="51"/>
      <c r="BJ79" s="49"/>
      <c r="BK79" s="50"/>
      <c r="BM79" s="61" t="str">
        <f>IFERROR(IF(BJ79-BD108&lt;=0,"",BL79/SQRT(Таблица_pr10[[#This Row],[Удельное сопротивление грунта, Ом·м]])),BL79/SQRT(Таблица_pr10[[#This Row],[Удельное сопротивление грунта, Ом·м]]))</f>
        <v/>
      </c>
    </row>
    <row r="80" spans="1:65">
      <c r="A80" s="64">
        <v>75</v>
      </c>
      <c r="B80" s="49">
        <v>503.90000000000168</v>
      </c>
      <c r="C80" s="50">
        <v>50</v>
      </c>
      <c r="D80" s="61">
        <f t="shared" si="13"/>
        <v>100.00000000002274</v>
      </c>
      <c r="E80" s="61">
        <f>IFERROR(IF(B80-B79&lt;=0,"",D80/SQRT(Таблица_pr[[#This Row],[Удельное сопротивление грунта, Ом·м]])),D80/SQRT(Таблица_pr[[#This Row],[Удельное сопротивление грунта, Ом·м]]))</f>
        <v>14.142135623734166</v>
      </c>
      <c r="G80" s="188">
        <v>75</v>
      </c>
      <c r="H80" s="175">
        <v>503.90000000000168</v>
      </c>
      <c r="I80" s="182">
        <v>50</v>
      </c>
      <c r="J80" s="181">
        <f t="shared" si="14"/>
        <v>100.00000000002274</v>
      </c>
      <c r="K80" s="61">
        <f>IFERROR(IF(H80-H79&lt;=0,"",J80/SQRT(Таблица_pr1[[#This Row],[Удельное сопротивление грунта, Ом·м]])),J80/SQRT(Таблица_pr1[[#This Row],[Удельное сопротивление грунта, Ом·м]]))</f>
        <v>14.142135623734166</v>
      </c>
      <c r="Q80" s="61" t="str">
        <f>IFERROR(IF(N80-N79&lt;=0,"",P80/SQRT(Таблица_pr2[[#This Row],[Удельное сопротивление грунта, Ом·м]])),P80/SQRT(Таблица_pr2[[#This Row],[Удельное сопротивление грунта, Ом·м]]))</f>
        <v/>
      </c>
      <c r="W80" s="61" t="str">
        <f>IFERROR(IF(T80-T79&lt;=0,"",V80/SQRT(Таблица_pr3[[#This Row],[Удельное сопротивление грунта, Ом·м]])),V80/SQRT(Таблица_pr3[[#This Row],[Удельное сопротивление грунта, Ом·м]]))</f>
        <v/>
      </c>
      <c r="AC80" s="61" t="str">
        <f>IFERROR(IF(Z80-Z79&lt;=0,"",AB80/SQRT(Таблица_pr4[[#This Row],[Удельное сопротивление грунта, Ом·м]])),AB80/SQRT(Таблица_pr4[[#This Row],[Удельное сопротивление грунта, Ом·м]]))</f>
        <v/>
      </c>
      <c r="AI80" s="61" t="str">
        <f>IFERROR(IF(AF80-AF79&lt;=0,"",AH80/SQRT(Таблица_pr5[[#This Row],[Удельное сопротивление грунта, Ом·м]])),AH80/SQRT(Таблица_pr5[[#This Row],[Удельное сопротивление грунта, Ом·м]]))</f>
        <v/>
      </c>
      <c r="AO80" s="61" t="str">
        <f>IFERROR(IF(AL80-AL79&lt;=0,"",AN80/SQRT(Таблица_pr6[[#This Row],[Удельное сопротивление грунта, Ом·м]])),AN80/SQRT(Таблица_pr6[[#This Row],[Удельное сопротивление грунта, Ом·м]]))</f>
        <v/>
      </c>
      <c r="AU80" s="61" t="str">
        <f>IFERROR(IF(AR80-AR79&lt;=0,"",AT80/SQRT(Таблица_pr7[[#This Row],[Удельное сопротивление грунта, Ом·м]])),AT80/SQRT(Таблица_pr7[[#This Row],[Удельное сопротивление грунта, Ом·м]]))</f>
        <v/>
      </c>
      <c r="BA80" s="61" t="str">
        <f>IFERROR(IF(AX80-AX79&lt;=0,"",AZ80/SQRT(Таблица_pr8[[#This Row],[Удельное сопротивление грунта, Ом·м]])),AZ80/SQRT(Таблица_pr8[[#This Row],[Удельное сопротивление грунта, Ом·м]]))</f>
        <v/>
      </c>
      <c r="BC80" s="55"/>
      <c r="BD80" s="52"/>
      <c r="BE80" s="67"/>
      <c r="BG80" s="61" t="str">
        <f>IFERROR(IF(BD80-AX99&lt;=0,"",BF80/SQRT(Таблица_pr9[[#This Row],[Удельное сопротивление грунта, Ом·м]])),BF80/SQRT(Таблица_pr9[[#This Row],[Удельное сопротивление грунта, Ом·м]]))</f>
        <v/>
      </c>
      <c r="BI80" s="51"/>
      <c r="BJ80" s="49"/>
      <c r="BK80" s="50"/>
      <c r="BM80" s="61" t="str">
        <f>IFERROR(IF(BJ80-BD109&lt;=0,"",BL80/SQRT(Таблица_pr10[[#This Row],[Удельное сопротивление грунта, Ом·м]])),BL80/SQRT(Таблица_pr10[[#This Row],[Удельное сопротивление грунта, Ом·м]]))</f>
        <v/>
      </c>
    </row>
    <row r="81" spans="1:65">
      <c r="A81" s="64">
        <v>76</v>
      </c>
      <c r="B81" s="49">
        <v>504.00000000000171</v>
      </c>
      <c r="C81" s="50">
        <v>46.3</v>
      </c>
      <c r="D81" s="61">
        <f t="shared" si="13"/>
        <v>100.00000000002274</v>
      </c>
      <c r="E81" s="61">
        <f>IFERROR(IF(B81-B80&lt;=0,"",D81/SQRT(Таблица_pr[[#This Row],[Удельное сопротивление грунта, Ом·м]])),D81/SQRT(Таблица_pr[[#This Row],[Удельное сопротивление грунта, Ом·м]]))</f>
        <v>14.696350614434444</v>
      </c>
      <c r="G81" s="189">
        <v>76</v>
      </c>
      <c r="H81" s="178">
        <v>504.00000000000171</v>
      </c>
      <c r="I81" s="183">
        <v>46.3</v>
      </c>
      <c r="J81" s="180">
        <f t="shared" si="14"/>
        <v>100.00000000002274</v>
      </c>
      <c r="K81" s="61">
        <f>IFERROR(IF(H81-H80&lt;=0,"",J81/SQRT(Таблица_pr1[[#This Row],[Удельное сопротивление грунта, Ом·м]])),J81/SQRT(Таблица_pr1[[#This Row],[Удельное сопротивление грунта, Ом·м]]))</f>
        <v>14.696350614434444</v>
      </c>
      <c r="Q81" s="61" t="str">
        <f>IFERROR(IF(N81-N80&lt;=0,"",P81/SQRT(Таблица_pr2[[#This Row],[Удельное сопротивление грунта, Ом·м]])),P81/SQRT(Таблица_pr2[[#This Row],[Удельное сопротивление грунта, Ом·м]]))</f>
        <v/>
      </c>
      <c r="W81" s="61" t="str">
        <f>IFERROR(IF(T81-T80&lt;=0,"",V81/SQRT(Таблица_pr3[[#This Row],[Удельное сопротивление грунта, Ом·м]])),V81/SQRT(Таблица_pr3[[#This Row],[Удельное сопротивление грунта, Ом·м]]))</f>
        <v/>
      </c>
      <c r="AC81" s="61" t="str">
        <f>IFERROR(IF(Z81-Z80&lt;=0,"",AB81/SQRT(Таблица_pr4[[#This Row],[Удельное сопротивление грунта, Ом·м]])),AB81/SQRT(Таблица_pr4[[#This Row],[Удельное сопротивление грунта, Ом·м]]))</f>
        <v/>
      </c>
      <c r="AI81" s="61" t="str">
        <f>IFERROR(IF(AF81-AF80&lt;=0,"",AH81/SQRT(Таблица_pr5[[#This Row],[Удельное сопротивление грунта, Ом·м]])),AH81/SQRT(Таблица_pr5[[#This Row],[Удельное сопротивление грунта, Ом·м]]))</f>
        <v/>
      </c>
      <c r="AO81" s="61" t="str">
        <f>IFERROR(IF(AL81-AL80&lt;=0,"",AN81/SQRT(Таблица_pr6[[#This Row],[Удельное сопротивление грунта, Ом·м]])),AN81/SQRT(Таблица_pr6[[#This Row],[Удельное сопротивление грунта, Ом·м]]))</f>
        <v/>
      </c>
      <c r="AU81" s="61" t="str">
        <f>IFERROR(IF(AR81-AR80&lt;=0,"",AT81/SQRT(Таблица_pr7[[#This Row],[Удельное сопротивление грунта, Ом·м]])),AT81/SQRT(Таблица_pr7[[#This Row],[Удельное сопротивление грунта, Ом·м]]))</f>
        <v/>
      </c>
      <c r="BA81" s="61" t="str">
        <f>IFERROR(IF(AX81-AX80&lt;=0,"",AZ81/SQRT(Таблица_pr8[[#This Row],[Удельное сопротивление грунта, Ом·м]])),AZ81/SQRT(Таблица_pr8[[#This Row],[Удельное сопротивление грунта, Ом·м]]))</f>
        <v/>
      </c>
      <c r="BC81" s="55"/>
      <c r="BD81" s="52"/>
      <c r="BE81" s="67"/>
      <c r="BG81" s="61" t="str">
        <f>IFERROR(IF(BD81-AX100&lt;=0,"",BF81/SQRT(Таблица_pr9[[#This Row],[Удельное сопротивление грунта, Ом·м]])),BF81/SQRT(Таблица_pr9[[#This Row],[Удельное сопротивление грунта, Ом·м]]))</f>
        <v/>
      </c>
      <c r="BI81" s="51"/>
      <c r="BJ81" s="49"/>
      <c r="BK81" s="50"/>
      <c r="BM81" s="61" t="str">
        <f>IFERROR(IF(BJ81-BD110&lt;=0,"",BL81/SQRT(Таблица_pr10[[#This Row],[Удельное сопротивление грунта, Ом·м]])),BL81/SQRT(Таблица_pr10[[#This Row],[Удельное сопротивление грунта, Ом·м]]))</f>
        <v/>
      </c>
    </row>
    <row r="82" spans="1:65">
      <c r="A82" s="64">
        <v>77</v>
      </c>
      <c r="B82" s="49">
        <v>504.10000000000173</v>
      </c>
      <c r="C82" s="50">
        <v>50.5</v>
      </c>
      <c r="D82" s="61">
        <f t="shared" si="13"/>
        <v>100.00000000002274</v>
      </c>
      <c r="E82" s="61">
        <f>IFERROR(IF(B82-B81&lt;=0,"",D82/SQRT(Таблица_pr[[#This Row],[Удельное сопротивление грунта, Ом·м]])),D82/SQRT(Таблица_pr[[#This Row],[Удельное сопротивление грунта, Ом·м]]))</f>
        <v>14.071950894609037</v>
      </c>
      <c r="G82" s="188">
        <v>77</v>
      </c>
      <c r="H82" s="175">
        <v>504.10000000000173</v>
      </c>
      <c r="I82" s="182">
        <v>50.5</v>
      </c>
      <c r="J82" s="181">
        <f t="shared" si="14"/>
        <v>100.00000000002274</v>
      </c>
      <c r="K82" s="61">
        <f>IFERROR(IF(H82-H81&lt;=0,"",J82/SQRT(Таблица_pr1[[#This Row],[Удельное сопротивление грунта, Ом·м]])),J82/SQRT(Таблица_pr1[[#This Row],[Удельное сопротивление грунта, Ом·м]]))</f>
        <v>14.071950894609037</v>
      </c>
      <c r="Q82" s="61" t="str">
        <f>IFERROR(IF(N82-N81&lt;=0,"",P82/SQRT(Таблица_pr2[[#This Row],[Удельное сопротивление грунта, Ом·м]])),P82/SQRT(Таблица_pr2[[#This Row],[Удельное сопротивление грунта, Ом·м]]))</f>
        <v/>
      </c>
      <c r="W82" s="61" t="str">
        <f>IFERROR(IF(T82-T81&lt;=0,"",V82/SQRT(Таблица_pr3[[#This Row],[Удельное сопротивление грунта, Ом·м]])),V82/SQRT(Таблица_pr3[[#This Row],[Удельное сопротивление грунта, Ом·м]]))</f>
        <v/>
      </c>
      <c r="AC82" s="61" t="str">
        <f>IFERROR(IF(Z82-Z81&lt;=0,"",AB82/SQRT(Таблица_pr4[[#This Row],[Удельное сопротивление грунта, Ом·м]])),AB82/SQRT(Таблица_pr4[[#This Row],[Удельное сопротивление грунта, Ом·м]]))</f>
        <v/>
      </c>
      <c r="AI82" s="61" t="str">
        <f>IFERROR(IF(AF82-AF81&lt;=0,"",AH82/SQRT(Таблица_pr5[[#This Row],[Удельное сопротивление грунта, Ом·м]])),AH82/SQRT(Таблица_pr5[[#This Row],[Удельное сопротивление грунта, Ом·м]]))</f>
        <v/>
      </c>
      <c r="AO82" s="61" t="str">
        <f>IFERROR(IF(AL82-AL81&lt;=0,"",AN82/SQRT(Таблица_pr6[[#This Row],[Удельное сопротивление грунта, Ом·м]])),AN82/SQRT(Таблица_pr6[[#This Row],[Удельное сопротивление грунта, Ом·м]]))</f>
        <v/>
      </c>
      <c r="AU82" s="61" t="str">
        <f>IFERROR(IF(AR82-AR81&lt;=0,"",AT82/SQRT(Таблица_pr7[[#This Row],[Удельное сопротивление грунта, Ом·м]])),AT82/SQRT(Таблица_pr7[[#This Row],[Удельное сопротивление грунта, Ом·м]]))</f>
        <v/>
      </c>
      <c r="BA82" s="61" t="str">
        <f>IFERROR(IF(AX82-AX81&lt;=0,"",AZ82/SQRT(Таблица_pr8[[#This Row],[Удельное сопротивление грунта, Ом·м]])),AZ82/SQRT(Таблица_pr8[[#This Row],[Удельное сопротивление грунта, Ом·м]]))</f>
        <v/>
      </c>
      <c r="BC82" s="55"/>
      <c r="BD82" s="52"/>
      <c r="BE82" s="67"/>
      <c r="BG82" s="61" t="str">
        <f>IFERROR(IF(BD82-AX101&lt;=0,"",BF82/SQRT(Таблица_pr9[[#This Row],[Удельное сопротивление грунта, Ом·м]])),BF82/SQRT(Таблица_pr9[[#This Row],[Удельное сопротивление грунта, Ом·м]]))</f>
        <v/>
      </c>
      <c r="BI82" s="51"/>
      <c r="BJ82" s="49"/>
      <c r="BK82" s="50"/>
      <c r="BM82" s="61" t="str">
        <f>IFERROR(IF(BJ82-BD111&lt;=0,"",BL82/SQRT(Таблица_pr10[[#This Row],[Удельное сопротивление грунта, Ом·м]])),BL82/SQRT(Таблица_pr10[[#This Row],[Удельное сопротивление грунта, Ом·м]]))</f>
        <v/>
      </c>
    </row>
    <row r="83" spans="1:65">
      <c r="A83" s="64">
        <v>78</v>
      </c>
      <c r="B83" s="49">
        <v>504.20000000000175</v>
      </c>
      <c r="C83" s="50">
        <v>42</v>
      </c>
      <c r="D83" s="61">
        <f t="shared" si="13"/>
        <v>100.00000000002274</v>
      </c>
      <c r="E83" s="61">
        <f>IFERROR(IF(B83-B82&lt;=0,"",D83/SQRT(Таблица_pr[[#This Row],[Удельное сопротивление грунта, Ом·м]])),D83/SQRT(Таблица_pr[[#This Row],[Удельное сопротивление грунта, Ом·м]]))</f>
        <v>15.430334996212698</v>
      </c>
      <c r="G83" s="189">
        <v>78</v>
      </c>
      <c r="H83" s="178">
        <v>504.20000000000175</v>
      </c>
      <c r="I83" s="183">
        <v>42</v>
      </c>
      <c r="J83" s="180">
        <f t="shared" si="14"/>
        <v>100.00000000002274</v>
      </c>
      <c r="K83" s="61">
        <f>IFERROR(IF(H83-H82&lt;=0,"",J83/SQRT(Таблица_pr1[[#This Row],[Удельное сопротивление грунта, Ом·м]])),J83/SQRT(Таблица_pr1[[#This Row],[Удельное сопротивление грунта, Ом·м]]))</f>
        <v>15.430334996212698</v>
      </c>
      <c r="Q83" s="61" t="str">
        <f>IFERROR(IF(N83-N82&lt;=0,"",P83/SQRT(Таблица_pr2[[#This Row],[Удельное сопротивление грунта, Ом·м]])),P83/SQRT(Таблица_pr2[[#This Row],[Удельное сопротивление грунта, Ом·м]]))</f>
        <v/>
      </c>
      <c r="W83" s="61" t="str">
        <f>IFERROR(IF(T83-T82&lt;=0,"",V83/SQRT(Таблица_pr3[[#This Row],[Удельное сопротивление грунта, Ом·м]])),V83/SQRT(Таблица_pr3[[#This Row],[Удельное сопротивление грунта, Ом·м]]))</f>
        <v/>
      </c>
      <c r="AC83" s="61" t="str">
        <f>IFERROR(IF(Z83-Z82&lt;=0,"",AB83/SQRT(Таблица_pr4[[#This Row],[Удельное сопротивление грунта, Ом·м]])),AB83/SQRT(Таблица_pr4[[#This Row],[Удельное сопротивление грунта, Ом·м]]))</f>
        <v/>
      </c>
      <c r="AI83" s="61" t="str">
        <f>IFERROR(IF(AF83-AF82&lt;=0,"",AH83/SQRT(Таблица_pr5[[#This Row],[Удельное сопротивление грунта, Ом·м]])),AH83/SQRT(Таблица_pr5[[#This Row],[Удельное сопротивление грунта, Ом·м]]))</f>
        <v/>
      </c>
      <c r="AO83" s="61" t="str">
        <f>IFERROR(IF(AL83-AL82&lt;=0,"",AN83/SQRT(Таблица_pr6[[#This Row],[Удельное сопротивление грунта, Ом·м]])),AN83/SQRT(Таблица_pr6[[#This Row],[Удельное сопротивление грунта, Ом·м]]))</f>
        <v/>
      </c>
      <c r="AU83" s="61" t="str">
        <f>IFERROR(IF(AR83-AR82&lt;=0,"",AT83/SQRT(Таблица_pr7[[#This Row],[Удельное сопротивление грунта, Ом·м]])),AT83/SQRT(Таблица_pr7[[#This Row],[Удельное сопротивление грунта, Ом·м]]))</f>
        <v/>
      </c>
      <c r="BA83" s="61" t="str">
        <f>IFERROR(IF(AX83-AX82&lt;=0,"",AZ83/SQRT(Таблица_pr8[[#This Row],[Удельное сопротивление грунта, Ом·м]])),AZ83/SQRT(Таблица_pr8[[#This Row],[Удельное сопротивление грунта, Ом·м]]))</f>
        <v/>
      </c>
      <c r="BC83" s="55"/>
      <c r="BD83" s="52"/>
      <c r="BE83" s="67"/>
      <c r="BG83" s="61" t="str">
        <f>IFERROR(IF(BD83-AX102&lt;=0,"",BF83/SQRT(Таблица_pr9[[#This Row],[Удельное сопротивление грунта, Ом·м]])),BF83/SQRT(Таблица_pr9[[#This Row],[Удельное сопротивление грунта, Ом·м]]))</f>
        <v/>
      </c>
      <c r="BI83" s="51"/>
      <c r="BJ83" s="49"/>
      <c r="BK83" s="50"/>
      <c r="BM83" s="61" t="str">
        <f>IFERROR(IF(BJ83-BD112&lt;=0,"",BL83/SQRT(Таблица_pr10[[#This Row],[Удельное сопротивление грунта, Ом·м]])),BL83/SQRT(Таблица_pr10[[#This Row],[Удельное сопротивление грунта, Ом·м]]))</f>
        <v/>
      </c>
    </row>
    <row r="84" spans="1:65">
      <c r="A84" s="64">
        <v>79</v>
      </c>
      <c r="B84" s="49">
        <v>504.30000000000177</v>
      </c>
      <c r="C84" s="50">
        <v>39.9</v>
      </c>
      <c r="D84" s="61">
        <f t="shared" si="13"/>
        <v>100.00000000002274</v>
      </c>
      <c r="E84" s="61">
        <f>IFERROR(IF(B84-B83&lt;=0,"",D84/SQRT(Таблица_pr[[#This Row],[Удельное сопротивление грунта, Ом·м]])),D84/SQRT(Таблица_pr[[#This Row],[Удельное сопротивление грунта, Ом·м]]))</f>
        <v>15.831189671536189</v>
      </c>
      <c r="G84" s="188">
        <v>79</v>
      </c>
      <c r="H84" s="175">
        <v>504.30000000000177</v>
      </c>
      <c r="I84" s="182">
        <v>39.9</v>
      </c>
      <c r="J84" s="181">
        <f t="shared" si="14"/>
        <v>100.00000000002274</v>
      </c>
      <c r="K84" s="61">
        <f>IFERROR(IF(H84-H83&lt;=0,"",J84/SQRT(Таблица_pr1[[#This Row],[Удельное сопротивление грунта, Ом·м]])),J84/SQRT(Таблица_pr1[[#This Row],[Удельное сопротивление грунта, Ом·м]]))</f>
        <v>15.831189671536189</v>
      </c>
      <c r="Q84" s="61" t="str">
        <f>IFERROR(IF(N84-N83&lt;=0,"",P84/SQRT(Таблица_pr2[[#This Row],[Удельное сопротивление грунта, Ом·м]])),P84/SQRT(Таблица_pr2[[#This Row],[Удельное сопротивление грунта, Ом·м]]))</f>
        <v/>
      </c>
      <c r="W84" s="61" t="str">
        <f>IFERROR(IF(T84-T83&lt;=0,"",V84/SQRT(Таблица_pr3[[#This Row],[Удельное сопротивление грунта, Ом·м]])),V84/SQRT(Таблица_pr3[[#This Row],[Удельное сопротивление грунта, Ом·м]]))</f>
        <v/>
      </c>
      <c r="AC84" s="61" t="str">
        <f>IFERROR(IF(Z84-Z83&lt;=0,"",AB84/SQRT(Таблица_pr4[[#This Row],[Удельное сопротивление грунта, Ом·м]])),AB84/SQRT(Таблица_pr4[[#This Row],[Удельное сопротивление грунта, Ом·м]]))</f>
        <v/>
      </c>
      <c r="AI84" s="61" t="str">
        <f>IFERROR(IF(AF84-AF83&lt;=0,"",AH84/SQRT(Таблица_pr5[[#This Row],[Удельное сопротивление грунта, Ом·м]])),AH84/SQRT(Таблица_pr5[[#This Row],[Удельное сопротивление грунта, Ом·м]]))</f>
        <v/>
      </c>
      <c r="AO84" s="61" t="str">
        <f>IFERROR(IF(AL84-AL83&lt;=0,"",AN84/SQRT(Таблица_pr6[[#This Row],[Удельное сопротивление грунта, Ом·м]])),AN84/SQRT(Таблица_pr6[[#This Row],[Удельное сопротивление грунта, Ом·м]]))</f>
        <v/>
      </c>
      <c r="AU84" s="61" t="str">
        <f>IFERROR(IF(AR84-AR83&lt;=0,"",AT84/SQRT(Таблица_pr7[[#This Row],[Удельное сопротивление грунта, Ом·м]])),AT84/SQRT(Таблица_pr7[[#This Row],[Удельное сопротивление грунта, Ом·м]]))</f>
        <v/>
      </c>
      <c r="BA84" s="61" t="str">
        <f>IFERROR(IF(AX84-AX83&lt;=0,"",AZ84/SQRT(Таблица_pr8[[#This Row],[Удельное сопротивление грунта, Ом·м]])),AZ84/SQRT(Таблица_pr8[[#This Row],[Удельное сопротивление грунта, Ом·м]]))</f>
        <v/>
      </c>
      <c r="BC84" s="55"/>
      <c r="BD84" s="52"/>
      <c r="BE84" s="67"/>
      <c r="BG84" s="61" t="str">
        <f>IFERROR(IF(BD84-AX103&lt;=0,"",BF84/SQRT(Таблица_pr9[[#This Row],[Удельное сопротивление грунта, Ом·м]])),BF84/SQRT(Таблица_pr9[[#This Row],[Удельное сопротивление грунта, Ом·м]]))</f>
        <v/>
      </c>
      <c r="BI84" s="51"/>
      <c r="BJ84" s="49"/>
      <c r="BK84" s="50"/>
      <c r="BM84" s="61" t="str">
        <f>IFERROR(IF(BJ84-BD113&lt;=0,"",BL84/SQRT(Таблица_pr10[[#This Row],[Удельное сопротивление грунта, Ом·м]])),BL84/SQRT(Таблица_pr10[[#This Row],[Удельное сопротивление грунта, Ом·м]]))</f>
        <v/>
      </c>
    </row>
    <row r="85" spans="1:65">
      <c r="A85" s="64">
        <v>80</v>
      </c>
      <c r="B85" s="49">
        <v>504.4000000000018</v>
      </c>
      <c r="C85" s="50">
        <v>48.6</v>
      </c>
      <c r="D85" s="61">
        <f t="shared" si="13"/>
        <v>100.00000000002274</v>
      </c>
      <c r="E85" s="61">
        <f>IFERROR(IF(B85-B84&lt;=0,"",D85/SQRT(Таблица_pr[[#This Row],[Удельное сопротивление грунта, Ом·м]])),D85/SQRT(Таблица_pr[[#This Row],[Удельное сопротивление грунта, Ом·м]]))</f>
        <v>14.344382763734435</v>
      </c>
      <c r="G85" s="189">
        <v>80</v>
      </c>
      <c r="H85" s="178">
        <v>504.4000000000018</v>
      </c>
      <c r="I85" s="183">
        <v>48.6</v>
      </c>
      <c r="J85" s="180">
        <f t="shared" si="14"/>
        <v>100.00000000002274</v>
      </c>
      <c r="K85" s="61">
        <f>IFERROR(IF(H85-H84&lt;=0,"",J85/SQRT(Таблица_pr1[[#This Row],[Удельное сопротивление грунта, Ом·м]])),J85/SQRT(Таблица_pr1[[#This Row],[Удельное сопротивление грунта, Ом·м]]))</f>
        <v>14.344382763734435</v>
      </c>
      <c r="Q85" s="61" t="str">
        <f>IFERROR(IF(N85-N84&lt;=0,"",P85/SQRT(Таблица_pr2[[#This Row],[Удельное сопротивление грунта, Ом·м]])),P85/SQRT(Таблица_pr2[[#This Row],[Удельное сопротивление грунта, Ом·м]]))</f>
        <v/>
      </c>
      <c r="W85" s="61" t="str">
        <f>IFERROR(IF(T85-T84&lt;=0,"",V85/SQRT(Таблица_pr3[[#This Row],[Удельное сопротивление грунта, Ом·м]])),V85/SQRT(Таблица_pr3[[#This Row],[Удельное сопротивление грунта, Ом·м]]))</f>
        <v/>
      </c>
      <c r="AC85" s="61" t="str">
        <f>IFERROR(IF(Z85-Z84&lt;=0,"",AB85/SQRT(Таблица_pr4[[#This Row],[Удельное сопротивление грунта, Ом·м]])),AB85/SQRT(Таблица_pr4[[#This Row],[Удельное сопротивление грунта, Ом·м]]))</f>
        <v/>
      </c>
      <c r="AI85" s="61" t="str">
        <f>IFERROR(IF(AF85-AF84&lt;=0,"",AH85/SQRT(Таблица_pr5[[#This Row],[Удельное сопротивление грунта, Ом·м]])),AH85/SQRT(Таблица_pr5[[#This Row],[Удельное сопротивление грунта, Ом·м]]))</f>
        <v/>
      </c>
      <c r="AO85" s="61" t="str">
        <f>IFERROR(IF(AL85-AL84&lt;=0,"",AN85/SQRT(Таблица_pr6[[#This Row],[Удельное сопротивление грунта, Ом·м]])),AN85/SQRT(Таблица_pr6[[#This Row],[Удельное сопротивление грунта, Ом·м]]))</f>
        <v/>
      </c>
      <c r="AU85" s="61" t="str">
        <f>IFERROR(IF(AR85-AR84&lt;=0,"",AT85/SQRT(Таблица_pr7[[#This Row],[Удельное сопротивление грунта, Ом·м]])),AT85/SQRT(Таблица_pr7[[#This Row],[Удельное сопротивление грунта, Ом·м]]))</f>
        <v/>
      </c>
      <c r="BA85" s="61" t="str">
        <f>IFERROR(IF(AX85-AX84&lt;=0,"",AZ85/SQRT(Таблица_pr8[[#This Row],[Удельное сопротивление грунта, Ом·м]])),AZ85/SQRT(Таблица_pr8[[#This Row],[Удельное сопротивление грунта, Ом·м]]))</f>
        <v/>
      </c>
      <c r="BC85" s="55"/>
      <c r="BD85" s="52"/>
      <c r="BE85" s="67"/>
      <c r="BG85" s="61" t="str">
        <f>IFERROR(IF(BD85-AX104&lt;=0,"",BF85/SQRT(Таблица_pr9[[#This Row],[Удельное сопротивление грунта, Ом·м]])),BF85/SQRT(Таблица_pr9[[#This Row],[Удельное сопротивление грунта, Ом·м]]))</f>
        <v/>
      </c>
      <c r="BI85" s="51"/>
      <c r="BJ85" s="49"/>
      <c r="BK85" s="50"/>
      <c r="BM85" s="61" t="str">
        <f>IFERROR(IF(BJ85-BD114&lt;=0,"",BL85/SQRT(Таблица_pr10[[#This Row],[Удельное сопротивление грунта, Ом·м]])),BL85/SQRT(Таблица_pr10[[#This Row],[Удельное сопротивление грунта, Ом·м]]))</f>
        <v/>
      </c>
    </row>
    <row r="86" spans="1:65">
      <c r="A86" s="64">
        <v>81</v>
      </c>
      <c r="B86" s="52">
        <v>504.50000000000182</v>
      </c>
      <c r="C86" s="50">
        <v>45.9</v>
      </c>
      <c r="D86" s="61">
        <f t="shared" si="13"/>
        <v>100.00000000002274</v>
      </c>
      <c r="E86" s="61">
        <f>IFERROR(IF(B86-B85&lt;=0,"",D86/SQRT(Таблица_pr[[#This Row],[Удельное сопротивление грунта, Ом·м]])),D86/SQRT(Таблица_pr[[#This Row],[Удельное сопротивление грунта, Ом·м]]))</f>
        <v>14.760248092338278</v>
      </c>
      <c r="G86" s="188">
        <v>81</v>
      </c>
      <c r="H86" s="184">
        <v>504.50000000000182</v>
      </c>
      <c r="I86" s="182">
        <v>45.9</v>
      </c>
      <c r="J86" s="181">
        <f t="shared" si="14"/>
        <v>100.00000000002274</v>
      </c>
      <c r="K86" s="61">
        <f>IFERROR(IF(H86-H85&lt;=0,"",J86/SQRT(Таблица_pr1[[#This Row],[Удельное сопротивление грунта, Ом·м]])),J86/SQRT(Таблица_pr1[[#This Row],[Удельное сопротивление грунта, Ом·м]]))</f>
        <v>14.760248092338278</v>
      </c>
      <c r="Q86" s="61" t="str">
        <f>IFERROR(IF(N86-N85&lt;=0,"",P86/SQRT(Таблица_pr2[[#This Row],[Удельное сопротивление грунта, Ом·м]])),P86/SQRT(Таблица_pr2[[#This Row],[Удельное сопротивление грунта, Ом·м]]))</f>
        <v/>
      </c>
      <c r="W86" s="61" t="str">
        <f>IFERROR(IF(T86-T85&lt;=0,"",V86/SQRT(Таблица_pr3[[#This Row],[Удельное сопротивление грунта, Ом·м]])),V86/SQRT(Таблица_pr3[[#This Row],[Удельное сопротивление грунта, Ом·м]]))</f>
        <v/>
      </c>
      <c r="AC86" s="61" t="str">
        <f>IFERROR(IF(Z86-Z85&lt;=0,"",AB86/SQRT(Таблица_pr4[[#This Row],[Удельное сопротивление грунта, Ом·м]])),AB86/SQRT(Таблица_pr4[[#This Row],[Удельное сопротивление грунта, Ом·м]]))</f>
        <v/>
      </c>
      <c r="AI86" s="61" t="str">
        <f>IFERROR(IF(AF86-AF85&lt;=0,"",AH86/SQRT(Таблица_pr5[[#This Row],[Удельное сопротивление грунта, Ом·м]])),AH86/SQRT(Таблица_pr5[[#This Row],[Удельное сопротивление грунта, Ом·м]]))</f>
        <v/>
      </c>
      <c r="AO86" s="61" t="str">
        <f>IFERROR(IF(AL86-AL85&lt;=0,"",AN86/SQRT(Таблица_pr6[[#This Row],[Удельное сопротивление грунта, Ом·м]])),AN86/SQRT(Таблица_pr6[[#This Row],[Удельное сопротивление грунта, Ом·м]]))</f>
        <v/>
      </c>
      <c r="AU86" s="61" t="str">
        <f>IFERROR(IF(AR86-AR85&lt;=0,"",AT86/SQRT(Таблица_pr7[[#This Row],[Удельное сопротивление грунта, Ом·м]])),AT86/SQRT(Таблица_pr7[[#This Row],[Удельное сопротивление грунта, Ом·м]]))</f>
        <v/>
      </c>
      <c r="BA86" s="61" t="str">
        <f>IFERROR(IF(AX86-AX85&lt;=0,"",AZ86/SQRT(Таблица_pr8[[#This Row],[Удельное сопротивление грунта, Ом·м]])),AZ86/SQRT(Таблица_pr8[[#This Row],[Удельное сопротивление грунта, Ом·м]]))</f>
        <v/>
      </c>
      <c r="BC86" s="55"/>
      <c r="BD86" s="52"/>
      <c r="BE86" s="67"/>
      <c r="BG86" s="61" t="str">
        <f>IFERROR(IF(BD86-AX105&lt;=0,"",BF86/SQRT(Таблица_pr9[[#This Row],[Удельное сопротивление грунта, Ом·м]])),BF86/SQRT(Таблица_pr9[[#This Row],[Удельное сопротивление грунта, Ом·м]]))</f>
        <v/>
      </c>
      <c r="BI86" s="51"/>
      <c r="BJ86" s="52"/>
      <c r="BK86" s="50"/>
      <c r="BM86" s="61" t="str">
        <f>IFERROR(IF(BJ86-BD115&lt;=0,"",BL86/SQRT(Таблица_pr10[[#This Row],[Удельное сопротивление грунта, Ом·м]])),BL86/SQRT(Таблица_pr10[[#This Row],[Удельное сопротивление грунта, Ом·м]]))</f>
        <v/>
      </c>
    </row>
    <row r="87" spans="1:65">
      <c r="A87" s="64">
        <v>82</v>
      </c>
      <c r="B87" s="52">
        <v>504.60000000000184</v>
      </c>
      <c r="C87" s="50">
        <v>45.2</v>
      </c>
      <c r="D87" s="61">
        <f t="shared" si="13"/>
        <v>100.00000000002274</v>
      </c>
      <c r="E87" s="61">
        <f>IFERROR(IF(B87-B86&lt;=0,"",D87/SQRT(Таблица_pr[[#This Row],[Удельное сопротивление грунта, Ом·м]])),D87/SQRT(Таблица_pr[[#This Row],[Удельное сопротивление грунта, Ом·м]]))</f>
        <v>14.874102932721621</v>
      </c>
      <c r="G87" s="189">
        <v>82</v>
      </c>
      <c r="H87" s="185">
        <v>504.60000000000184</v>
      </c>
      <c r="I87" s="183">
        <v>45.2</v>
      </c>
      <c r="J87" s="180">
        <f t="shared" si="14"/>
        <v>100.00000000002274</v>
      </c>
      <c r="K87" s="61">
        <f>IFERROR(IF(H87-H86&lt;=0,"",J87/SQRT(Таблица_pr1[[#This Row],[Удельное сопротивление грунта, Ом·м]])),J87/SQRT(Таблица_pr1[[#This Row],[Удельное сопротивление грунта, Ом·м]]))</f>
        <v>14.874102932721621</v>
      </c>
      <c r="Q87" s="61" t="str">
        <f>IFERROR(IF(N87-N86&lt;=0,"",P87/SQRT(Таблица_pr2[[#This Row],[Удельное сопротивление грунта, Ом·м]])),P87/SQRT(Таблица_pr2[[#This Row],[Удельное сопротивление грунта, Ом·м]]))</f>
        <v/>
      </c>
      <c r="W87" s="61" t="str">
        <f>IFERROR(IF(T87-T86&lt;=0,"",V87/SQRT(Таблица_pr3[[#This Row],[Удельное сопротивление грунта, Ом·м]])),V87/SQRT(Таблица_pr3[[#This Row],[Удельное сопротивление грунта, Ом·м]]))</f>
        <v/>
      </c>
      <c r="AC87" s="61" t="str">
        <f>IFERROR(IF(Z87-Z86&lt;=0,"",AB87/SQRT(Таблица_pr4[[#This Row],[Удельное сопротивление грунта, Ом·м]])),AB87/SQRT(Таблица_pr4[[#This Row],[Удельное сопротивление грунта, Ом·м]]))</f>
        <v/>
      </c>
      <c r="AI87" s="61" t="str">
        <f>IFERROR(IF(AF87-AF86&lt;=0,"",AH87/SQRT(Таблица_pr5[[#This Row],[Удельное сопротивление грунта, Ом·м]])),AH87/SQRT(Таблица_pr5[[#This Row],[Удельное сопротивление грунта, Ом·м]]))</f>
        <v/>
      </c>
      <c r="AO87" s="61" t="str">
        <f>IFERROR(IF(AL87-AL86&lt;=0,"",AN87/SQRT(Таблица_pr6[[#This Row],[Удельное сопротивление грунта, Ом·м]])),AN87/SQRT(Таблица_pr6[[#This Row],[Удельное сопротивление грунта, Ом·м]]))</f>
        <v/>
      </c>
      <c r="AU87" s="61" t="str">
        <f>IFERROR(IF(AR87-AR86&lt;=0,"",AT87/SQRT(Таблица_pr7[[#This Row],[Удельное сопротивление грунта, Ом·м]])),AT87/SQRT(Таблица_pr7[[#This Row],[Удельное сопротивление грунта, Ом·м]]))</f>
        <v/>
      </c>
      <c r="BA87" s="61" t="str">
        <f>IFERROR(IF(AX87-AX86&lt;=0,"",AZ87/SQRT(Таблица_pr8[[#This Row],[Удельное сопротивление грунта, Ом·м]])),AZ87/SQRT(Таблица_pr8[[#This Row],[Удельное сопротивление грунта, Ом·м]]))</f>
        <v/>
      </c>
      <c r="BC87" s="55"/>
      <c r="BD87" s="52"/>
      <c r="BE87" s="67"/>
      <c r="BG87" s="61" t="str">
        <f>IFERROR(IF(BD87-AX106&lt;=0,"",BF87/SQRT(Таблица_pr9[[#This Row],[Удельное сопротивление грунта, Ом·м]])),BF87/SQRT(Таблица_pr9[[#This Row],[Удельное сопротивление грунта, Ом·м]]))</f>
        <v/>
      </c>
      <c r="BI87" s="51"/>
      <c r="BJ87" s="52"/>
      <c r="BK87" s="50"/>
      <c r="BM87" s="61" t="str">
        <f>IFERROR(IF(BJ87-BD116&lt;=0,"",BL87/SQRT(Таблица_pr10[[#This Row],[Удельное сопротивление грунта, Ом·м]])),BL87/SQRT(Таблица_pr10[[#This Row],[Удельное сопротивление грунта, Ом·м]]))</f>
        <v/>
      </c>
    </row>
    <row r="88" spans="1:65">
      <c r="A88" s="64">
        <v>83</v>
      </c>
      <c r="B88" s="52">
        <v>504.70000000000186</v>
      </c>
      <c r="C88" s="50">
        <v>46.1</v>
      </c>
      <c r="D88" s="61">
        <f t="shared" si="13"/>
        <v>100.00000000002274</v>
      </c>
      <c r="E88" s="61">
        <f>IFERROR(IF(B88-B87&lt;=0,"",D88/SQRT(Таблица_pr[[#This Row],[Удельное сопротивление грунта, Ом·м]])),D88/SQRT(Таблица_pr[[#This Row],[Удельное сопротивление грунта, Ом·м]]))</f>
        <v>14.728195398500489</v>
      </c>
      <c r="G88" s="188">
        <v>83</v>
      </c>
      <c r="H88" s="184">
        <v>504.70000000000186</v>
      </c>
      <c r="I88" s="182">
        <v>46.1</v>
      </c>
      <c r="J88" s="181">
        <f t="shared" si="14"/>
        <v>100.00000000002274</v>
      </c>
      <c r="K88" s="61">
        <f>IFERROR(IF(H88-H87&lt;=0,"",J88/SQRT(Таблица_pr1[[#This Row],[Удельное сопротивление грунта, Ом·м]])),J88/SQRT(Таблица_pr1[[#This Row],[Удельное сопротивление грунта, Ом·м]]))</f>
        <v>14.728195398500489</v>
      </c>
      <c r="Q88" s="61" t="str">
        <f>IFERROR(IF(N88-N87&lt;=0,"",P88/SQRT(Таблица_pr2[[#This Row],[Удельное сопротивление грунта, Ом·м]])),P88/SQRT(Таблица_pr2[[#This Row],[Удельное сопротивление грунта, Ом·м]]))</f>
        <v/>
      </c>
      <c r="W88" s="61" t="str">
        <f>IFERROR(IF(T88-T87&lt;=0,"",V88/SQRT(Таблица_pr3[[#This Row],[Удельное сопротивление грунта, Ом·м]])),V88/SQRT(Таблица_pr3[[#This Row],[Удельное сопротивление грунта, Ом·м]]))</f>
        <v/>
      </c>
      <c r="AC88" s="61" t="str">
        <f>IFERROR(IF(Z88-Z87&lt;=0,"",AB88/SQRT(Таблица_pr4[[#This Row],[Удельное сопротивление грунта, Ом·м]])),AB88/SQRT(Таблица_pr4[[#This Row],[Удельное сопротивление грунта, Ом·м]]))</f>
        <v/>
      </c>
      <c r="AI88" s="61" t="str">
        <f>IFERROR(IF(AF88-AF87&lt;=0,"",AH88/SQRT(Таблица_pr5[[#This Row],[Удельное сопротивление грунта, Ом·м]])),AH88/SQRT(Таблица_pr5[[#This Row],[Удельное сопротивление грунта, Ом·м]]))</f>
        <v/>
      </c>
      <c r="AO88" s="61" t="str">
        <f>IFERROR(IF(AL88-AL87&lt;=0,"",AN88/SQRT(Таблица_pr6[[#This Row],[Удельное сопротивление грунта, Ом·м]])),AN88/SQRT(Таблица_pr6[[#This Row],[Удельное сопротивление грунта, Ом·м]]))</f>
        <v/>
      </c>
      <c r="AU88" s="61" t="str">
        <f>IFERROR(IF(AR88-AR87&lt;=0,"",AT88/SQRT(Таблица_pr7[[#This Row],[Удельное сопротивление грунта, Ом·м]])),AT88/SQRT(Таблица_pr7[[#This Row],[Удельное сопротивление грунта, Ом·м]]))</f>
        <v/>
      </c>
      <c r="BA88" s="61" t="str">
        <f>IFERROR(IF(AX88-AX87&lt;=0,"",AZ88/SQRT(Таблица_pr8[[#This Row],[Удельное сопротивление грунта, Ом·м]])),AZ88/SQRT(Таблица_pr8[[#This Row],[Удельное сопротивление грунта, Ом·м]]))</f>
        <v/>
      </c>
      <c r="BC88" s="51"/>
      <c r="BD88" s="52"/>
      <c r="BE88" s="50"/>
      <c r="BG88" s="61" t="str">
        <f>IFERROR(IF(BD88-AX107&lt;=0,"",BF88/SQRT(Таблица_pr9[[#This Row],[Удельное сопротивление грунта, Ом·м]])),BF88/SQRT(Таблица_pr9[[#This Row],[Удельное сопротивление грунта, Ом·м]]))</f>
        <v/>
      </c>
      <c r="BI88" s="51"/>
      <c r="BJ88" s="52"/>
      <c r="BK88" s="50"/>
      <c r="BM88" s="61" t="str">
        <f>IFERROR(IF(BJ88-BD117&lt;=0,"",BL88/SQRT(Таблица_pr10[[#This Row],[Удельное сопротивление грунта, Ом·м]])),BL88/SQRT(Таблица_pr10[[#This Row],[Удельное сопротивление грунта, Ом·м]]))</f>
        <v/>
      </c>
    </row>
    <row r="89" spans="1:65">
      <c r="A89" s="64">
        <v>84</v>
      </c>
      <c r="B89" s="52">
        <v>504.80000000000189</v>
      </c>
      <c r="C89" s="50">
        <v>53.1</v>
      </c>
      <c r="D89" s="61">
        <f t="shared" si="13"/>
        <v>100.00000000002274</v>
      </c>
      <c r="E89" s="61">
        <f>IFERROR(IF(B89-B88&lt;=0,"",D89/SQRT(Таблица_pr[[#This Row],[Удельное сопротивление грунта, Ом·м]])),D89/SQRT(Таблица_pr[[#This Row],[Удельное сопротивление грунта, Ом·м]]))</f>
        <v>13.723116159880091</v>
      </c>
      <c r="G89" s="189">
        <v>84</v>
      </c>
      <c r="H89" s="185">
        <v>504.80000000000189</v>
      </c>
      <c r="I89" s="183">
        <v>53.1</v>
      </c>
      <c r="J89" s="180">
        <f t="shared" si="14"/>
        <v>100.00000000002274</v>
      </c>
      <c r="K89" s="61">
        <f>IFERROR(IF(H89-H88&lt;=0,"",J89/SQRT(Таблица_pr1[[#This Row],[Удельное сопротивление грунта, Ом·м]])),J89/SQRT(Таблица_pr1[[#This Row],[Удельное сопротивление грунта, Ом·м]]))</f>
        <v>13.723116159880091</v>
      </c>
      <c r="Q89" s="61" t="str">
        <f>IFERROR(IF(N89-N88&lt;=0,"",P89/SQRT(Таблица_pr2[[#This Row],[Удельное сопротивление грунта, Ом·м]])),P89/SQRT(Таблица_pr2[[#This Row],[Удельное сопротивление грунта, Ом·м]]))</f>
        <v/>
      </c>
      <c r="W89" s="61" t="str">
        <f>IFERROR(IF(T89-T88&lt;=0,"",V89/SQRT(Таблица_pr3[[#This Row],[Удельное сопротивление грунта, Ом·м]])),V89/SQRT(Таблица_pr3[[#This Row],[Удельное сопротивление грунта, Ом·м]]))</f>
        <v/>
      </c>
      <c r="AC89" s="61" t="str">
        <f>IFERROR(IF(Z89-Z88&lt;=0,"",AB89/SQRT(Таблица_pr4[[#This Row],[Удельное сопротивление грунта, Ом·м]])),AB89/SQRT(Таблица_pr4[[#This Row],[Удельное сопротивление грунта, Ом·м]]))</f>
        <v/>
      </c>
      <c r="AI89" s="61" t="str">
        <f>IFERROR(IF(AF89-AF88&lt;=0,"",AH89/SQRT(Таблица_pr5[[#This Row],[Удельное сопротивление грунта, Ом·м]])),AH89/SQRT(Таблица_pr5[[#This Row],[Удельное сопротивление грунта, Ом·м]]))</f>
        <v/>
      </c>
      <c r="AO89" s="61" t="str">
        <f>IFERROR(IF(AL89-AL88&lt;=0,"",AN89/SQRT(Таблица_pr6[[#This Row],[Удельное сопротивление грунта, Ом·м]])),AN89/SQRT(Таблица_pr6[[#This Row],[Удельное сопротивление грунта, Ом·м]]))</f>
        <v/>
      </c>
      <c r="AU89" s="61" t="str">
        <f>IFERROR(IF(AR89-AR88&lt;=0,"",AT89/SQRT(Таблица_pr7[[#This Row],[Удельное сопротивление грунта, Ом·м]])),AT89/SQRT(Таблица_pr7[[#This Row],[Удельное сопротивление грунта, Ом·м]]))</f>
        <v/>
      </c>
      <c r="BA89" s="61" t="str">
        <f>IFERROR(IF(AX89-AX88&lt;=0,"",AZ89/SQRT(Таблица_pr8[[#This Row],[Удельное сопротивление грунта, Ом·м]])),AZ89/SQRT(Таблица_pr8[[#This Row],[Удельное сопротивление грунта, Ом·м]]))</f>
        <v/>
      </c>
      <c r="BC89" s="51"/>
      <c r="BD89" s="52"/>
      <c r="BE89" s="50"/>
      <c r="BG89" s="61" t="str">
        <f>IFERROR(IF(BD89-AX108&lt;=0,"",BF89/SQRT(Таблица_pr9[[#This Row],[Удельное сопротивление грунта, Ом·м]])),BF89/SQRT(Таблица_pr9[[#This Row],[Удельное сопротивление грунта, Ом·м]]))</f>
        <v/>
      </c>
      <c r="BI89" s="51"/>
      <c r="BJ89" s="52"/>
      <c r="BK89" s="50"/>
      <c r="BM89" s="61" t="str">
        <f>IFERROR(IF(BJ89-BD118&lt;=0,"",BL89/SQRT(Таблица_pr10[[#This Row],[Удельное сопротивление грунта, Ом·м]])),BL89/SQRT(Таблица_pr10[[#This Row],[Удельное сопротивление грунта, Ом·м]]))</f>
        <v/>
      </c>
    </row>
    <row r="90" spans="1:65">
      <c r="A90" s="64">
        <v>85</v>
      </c>
      <c r="B90" s="52">
        <v>504.90000000000191</v>
      </c>
      <c r="C90" s="50">
        <v>54.5</v>
      </c>
      <c r="D90" s="61">
        <f t="shared" si="13"/>
        <v>100.00000000002274</v>
      </c>
      <c r="E90" s="61">
        <f>IFERROR(IF(B90-B89&lt;=0,"",D90/SQRT(Таблица_pr[[#This Row],[Удельное сопротивление грунта, Ом·м]])),D90/SQRT(Таблица_pr[[#This Row],[Удельное сопротивление грунта, Ом·м]]))</f>
        <v>13.545709229575007</v>
      </c>
      <c r="G90" s="188">
        <v>85</v>
      </c>
      <c r="H90" s="184">
        <v>504.90000000000191</v>
      </c>
      <c r="I90" s="182">
        <v>54.5</v>
      </c>
      <c r="J90" s="181">
        <f t="shared" si="14"/>
        <v>100.00000000002274</v>
      </c>
      <c r="K90" s="61">
        <f>IFERROR(IF(H90-H89&lt;=0,"",J90/SQRT(Таблица_pr1[[#This Row],[Удельное сопротивление грунта, Ом·м]])),J90/SQRT(Таблица_pr1[[#This Row],[Удельное сопротивление грунта, Ом·м]]))</f>
        <v>13.545709229575007</v>
      </c>
      <c r="Q90" s="61" t="str">
        <f>IFERROR(IF(N90-N89&lt;=0,"",P90/SQRT(Таблица_pr2[[#This Row],[Удельное сопротивление грунта, Ом·м]])),P90/SQRT(Таблица_pr2[[#This Row],[Удельное сопротивление грунта, Ом·м]]))</f>
        <v/>
      </c>
      <c r="W90" s="61" t="str">
        <f>IFERROR(IF(T90-T89&lt;=0,"",V90/SQRT(Таблица_pr3[[#This Row],[Удельное сопротивление грунта, Ом·м]])),V90/SQRT(Таблица_pr3[[#This Row],[Удельное сопротивление грунта, Ом·м]]))</f>
        <v/>
      </c>
      <c r="AC90" s="61" t="str">
        <f>IFERROR(IF(Z90-Z89&lt;=0,"",AB90/SQRT(Таблица_pr4[[#This Row],[Удельное сопротивление грунта, Ом·м]])),AB90/SQRT(Таблица_pr4[[#This Row],[Удельное сопротивление грунта, Ом·м]]))</f>
        <v/>
      </c>
      <c r="AI90" s="61" t="str">
        <f>IFERROR(IF(AF90-AF89&lt;=0,"",AH90/SQRT(Таблица_pr5[[#This Row],[Удельное сопротивление грунта, Ом·м]])),AH90/SQRT(Таблица_pr5[[#This Row],[Удельное сопротивление грунта, Ом·м]]))</f>
        <v/>
      </c>
      <c r="AO90" s="61" t="str">
        <f>IFERROR(IF(AL90-AL89&lt;=0,"",AN90/SQRT(Таблица_pr6[[#This Row],[Удельное сопротивление грунта, Ом·м]])),AN90/SQRT(Таблица_pr6[[#This Row],[Удельное сопротивление грунта, Ом·м]]))</f>
        <v/>
      </c>
      <c r="AU90" s="61" t="str">
        <f>IFERROR(IF(AR90-AR89&lt;=0,"",AT90/SQRT(Таблица_pr7[[#This Row],[Удельное сопротивление грунта, Ом·м]])),AT90/SQRT(Таблица_pr7[[#This Row],[Удельное сопротивление грунта, Ом·м]]))</f>
        <v/>
      </c>
      <c r="BA90" s="61" t="str">
        <f>IFERROR(IF(AX90-AX89&lt;=0,"",AZ90/SQRT(Таблица_pr8[[#This Row],[Удельное сопротивление грунта, Ом·м]])),AZ90/SQRT(Таблица_pr8[[#This Row],[Удельное сопротивление грунта, Ом·м]]))</f>
        <v/>
      </c>
      <c r="BC90" s="51"/>
      <c r="BD90" s="52"/>
      <c r="BE90" s="50"/>
      <c r="BG90" s="61" t="str">
        <f>IFERROR(IF(BD90-AX109&lt;=0,"",BF90/SQRT(Таблица_pr9[[#This Row],[Удельное сопротивление грунта, Ом·м]])),BF90/SQRT(Таблица_pr9[[#This Row],[Удельное сопротивление грунта, Ом·м]]))</f>
        <v/>
      </c>
      <c r="BI90" s="51"/>
      <c r="BJ90" s="52"/>
      <c r="BK90" s="50"/>
      <c r="BM90" s="61" t="str">
        <f>IFERROR(IF(BJ90-BD119&lt;=0,"",BL90/SQRT(Таблица_pr10[[#This Row],[Удельное сопротивление грунта, Ом·м]])),BL90/SQRT(Таблица_pr10[[#This Row],[Удельное сопротивление грунта, Ом·м]]))</f>
        <v/>
      </c>
    </row>
    <row r="91" spans="1:65">
      <c r="A91" s="64">
        <v>86</v>
      </c>
      <c r="B91" s="52">
        <v>505.00000000000193</v>
      </c>
      <c r="C91" s="50">
        <v>57.9</v>
      </c>
      <c r="D91" s="61">
        <f t="shared" si="13"/>
        <v>100.00000000002274</v>
      </c>
      <c r="E91" s="61">
        <f>IFERROR(IF(B91-B90&lt;=0,"",D91/SQRT(Таблица_pr[[#This Row],[Удельное сопротивление грунта, Ом·м]])),D91/SQRT(Таблица_pr[[#This Row],[Удельное сопротивление грунта, Ом·м]]))</f>
        <v>13.141977464422194</v>
      </c>
      <c r="G91" s="189">
        <v>86</v>
      </c>
      <c r="H91" s="185">
        <v>505.00000000000193</v>
      </c>
      <c r="I91" s="183">
        <v>57.9</v>
      </c>
      <c r="J91" s="180">
        <f t="shared" si="14"/>
        <v>100.00000000002274</v>
      </c>
      <c r="K91" s="61">
        <f>IFERROR(IF(H91-H90&lt;=0,"",J91/SQRT(Таблица_pr1[[#This Row],[Удельное сопротивление грунта, Ом·м]])),J91/SQRT(Таблица_pr1[[#This Row],[Удельное сопротивление грунта, Ом·м]]))</f>
        <v>13.141977464422194</v>
      </c>
      <c r="Q91" s="61" t="str">
        <f>IFERROR(IF(N91-N90&lt;=0,"",P91/SQRT(Таблица_pr2[[#This Row],[Удельное сопротивление грунта, Ом·м]])),P91/SQRT(Таблица_pr2[[#This Row],[Удельное сопротивление грунта, Ом·м]]))</f>
        <v/>
      </c>
      <c r="W91" s="61" t="str">
        <f>IFERROR(IF(T91-T90&lt;=0,"",V91/SQRT(Таблица_pr3[[#This Row],[Удельное сопротивление грунта, Ом·м]])),V91/SQRT(Таблица_pr3[[#This Row],[Удельное сопротивление грунта, Ом·м]]))</f>
        <v/>
      </c>
      <c r="AC91" s="61" t="str">
        <f>IFERROR(IF(Z91-Z90&lt;=0,"",AB91/SQRT(Таблица_pr4[[#This Row],[Удельное сопротивление грунта, Ом·м]])),AB91/SQRT(Таблица_pr4[[#This Row],[Удельное сопротивление грунта, Ом·м]]))</f>
        <v/>
      </c>
      <c r="AI91" s="61" t="str">
        <f>IFERROR(IF(AF91-AF90&lt;=0,"",AH91/SQRT(Таблица_pr5[[#This Row],[Удельное сопротивление грунта, Ом·м]])),AH91/SQRT(Таблица_pr5[[#This Row],[Удельное сопротивление грунта, Ом·м]]))</f>
        <v/>
      </c>
      <c r="AO91" s="61" t="str">
        <f>IFERROR(IF(AL91-AL90&lt;=0,"",AN91/SQRT(Таблица_pr6[[#This Row],[Удельное сопротивление грунта, Ом·м]])),AN91/SQRT(Таблица_pr6[[#This Row],[Удельное сопротивление грунта, Ом·м]]))</f>
        <v/>
      </c>
      <c r="AU91" s="61" t="str">
        <f>IFERROR(IF(AR91-AR90&lt;=0,"",AT91/SQRT(Таблица_pr7[[#This Row],[Удельное сопротивление грунта, Ом·м]])),AT91/SQRT(Таблица_pr7[[#This Row],[Удельное сопротивление грунта, Ом·м]]))</f>
        <v/>
      </c>
      <c r="BA91" s="61" t="str">
        <f>IFERROR(IF(AX91-AX90&lt;=0,"",AZ91/SQRT(Таблица_pr8[[#This Row],[Удельное сопротивление грунта, Ом·м]])),AZ91/SQRT(Таблица_pr8[[#This Row],[Удельное сопротивление грунта, Ом·м]]))</f>
        <v/>
      </c>
      <c r="BC91" s="55"/>
      <c r="BD91" s="52"/>
      <c r="BE91" s="67"/>
      <c r="BG91" s="61" t="str">
        <f>IFERROR(IF(BD91-AX110&lt;=0,"",BF91/SQRT(Таблица_pr9[[#This Row],[Удельное сопротивление грунта, Ом·м]])),BF91/SQRT(Таблица_pr9[[#This Row],[Удельное сопротивление грунта, Ом·м]]))</f>
        <v/>
      </c>
      <c r="BI91" s="51"/>
      <c r="BJ91" s="52"/>
      <c r="BK91" s="50"/>
      <c r="BM91" s="61" t="str">
        <f>IFERROR(IF(BJ91-BD120&lt;=0,"",BL91/SQRT(Таблица_pr10[[#This Row],[Удельное сопротивление грунта, Ом·м]])),BL91/SQRT(Таблица_pr10[[#This Row],[Удельное сопротивление грунта, Ом·м]]))</f>
        <v/>
      </c>
    </row>
    <row r="92" spans="1:65">
      <c r="A92" s="64">
        <v>87</v>
      </c>
      <c r="B92" s="52">
        <v>505.10000000000196</v>
      </c>
      <c r="C92" s="50">
        <v>44.3</v>
      </c>
      <c r="D92" s="61">
        <f t="shared" si="13"/>
        <v>100.00000000002274</v>
      </c>
      <c r="E92" s="61">
        <f>IFERROR(IF(B92-B91&lt;=0,"",D92/SQRT(Таблица_pr[[#This Row],[Удельное сопротивление грунта, Ом·м]])),D92/SQRT(Таблица_pr[[#This Row],[Удельное сопротивление грунта, Ом·м]]))</f>
        <v>15.024434575437942</v>
      </c>
      <c r="G92" s="188">
        <v>87</v>
      </c>
      <c r="H92" s="184">
        <v>505.10000000000196</v>
      </c>
      <c r="I92" s="182">
        <v>44.3</v>
      </c>
      <c r="J92" s="181">
        <f t="shared" si="14"/>
        <v>100.00000000002274</v>
      </c>
      <c r="K92" s="61">
        <f>IFERROR(IF(H92-H91&lt;=0,"",J92/SQRT(Таблица_pr1[[#This Row],[Удельное сопротивление грунта, Ом·м]])),J92/SQRT(Таблица_pr1[[#This Row],[Удельное сопротивление грунта, Ом·м]]))</f>
        <v>15.024434575437942</v>
      </c>
      <c r="Q92" s="61" t="str">
        <f>IFERROR(IF(N92-N91&lt;=0,"",P92/SQRT(Таблица_pr2[[#This Row],[Удельное сопротивление грунта, Ом·м]])),P92/SQRT(Таблица_pr2[[#This Row],[Удельное сопротивление грунта, Ом·м]]))</f>
        <v/>
      </c>
      <c r="W92" s="61" t="str">
        <f>IFERROR(IF(T92-T91&lt;=0,"",V92/SQRT(Таблица_pr3[[#This Row],[Удельное сопротивление грунта, Ом·м]])),V92/SQRT(Таблица_pr3[[#This Row],[Удельное сопротивление грунта, Ом·м]]))</f>
        <v/>
      </c>
      <c r="AC92" s="61" t="str">
        <f>IFERROR(IF(Z92-Z91&lt;=0,"",AB92/SQRT(Таблица_pr4[[#This Row],[Удельное сопротивление грунта, Ом·м]])),AB92/SQRT(Таблица_pr4[[#This Row],[Удельное сопротивление грунта, Ом·м]]))</f>
        <v/>
      </c>
      <c r="AI92" s="61" t="str">
        <f>IFERROR(IF(AF92-AF91&lt;=0,"",AH92/SQRT(Таблица_pr5[[#This Row],[Удельное сопротивление грунта, Ом·м]])),AH92/SQRT(Таблица_pr5[[#This Row],[Удельное сопротивление грунта, Ом·м]]))</f>
        <v/>
      </c>
      <c r="AO92" s="61" t="str">
        <f>IFERROR(IF(AL92-AL91&lt;=0,"",AN92/SQRT(Таблица_pr6[[#This Row],[Удельное сопротивление грунта, Ом·м]])),AN92/SQRT(Таблица_pr6[[#This Row],[Удельное сопротивление грунта, Ом·м]]))</f>
        <v/>
      </c>
      <c r="AU92" s="61" t="str">
        <f>IFERROR(IF(AR92-AR91&lt;=0,"",AT92/SQRT(Таблица_pr7[[#This Row],[Удельное сопротивление грунта, Ом·м]])),AT92/SQRT(Таблица_pr7[[#This Row],[Удельное сопротивление грунта, Ом·м]]))</f>
        <v/>
      </c>
      <c r="BA92" s="61" t="str">
        <f>IFERROR(IF(AX92-AX91&lt;=0,"",AZ92/SQRT(Таблица_pr8[[#This Row],[Удельное сопротивление грунта, Ом·м]])),AZ92/SQRT(Таблица_pr8[[#This Row],[Удельное сопротивление грунта, Ом·м]]))</f>
        <v/>
      </c>
      <c r="BC92" s="55"/>
      <c r="BD92" s="52"/>
      <c r="BE92" s="67"/>
      <c r="BG92" s="61" t="str">
        <f>IFERROR(IF(BD92-AX111&lt;=0,"",BF92/SQRT(Таблица_pr9[[#This Row],[Удельное сопротивление грунта, Ом·м]])),BF92/SQRT(Таблица_pr9[[#This Row],[Удельное сопротивление грунта, Ом·м]]))</f>
        <v/>
      </c>
      <c r="BI92" s="51"/>
      <c r="BJ92" s="52"/>
      <c r="BK92" s="50"/>
      <c r="BM92" s="61" t="str">
        <f>IFERROR(IF(BJ92-BD121&lt;=0,"",BL92/SQRT(Таблица_pr10[[#This Row],[Удельное сопротивление грунта, Ом·м]])),BL92/SQRT(Таблица_pr10[[#This Row],[Удельное сопротивление грунта, Ом·м]]))</f>
        <v/>
      </c>
    </row>
    <row r="93" spans="1:65">
      <c r="A93" s="64">
        <v>88</v>
      </c>
      <c r="B93" s="52">
        <v>505.20000000000198</v>
      </c>
      <c r="C93" s="50">
        <v>58.3</v>
      </c>
      <c r="D93" s="61">
        <f t="shared" si="13"/>
        <v>100.00000000002274</v>
      </c>
      <c r="E93" s="61">
        <f>IFERROR(IF(B93-B92&lt;=0,"",D93/SQRT(Таблица_pr[[#This Row],[Удельное сопротивление грунта, Ом·м]])),D93/SQRT(Таблица_pr[[#This Row],[Удельное сопротивление грунта, Ом·м]]))</f>
        <v>13.096815896278159</v>
      </c>
      <c r="G93" s="189">
        <v>88</v>
      </c>
      <c r="H93" s="185">
        <v>505.20000000000198</v>
      </c>
      <c r="I93" s="183">
        <v>58.3</v>
      </c>
      <c r="J93" s="180">
        <f t="shared" si="14"/>
        <v>100.00000000002274</v>
      </c>
      <c r="K93" s="61">
        <f>IFERROR(IF(H93-H92&lt;=0,"",J93/SQRT(Таблица_pr1[[#This Row],[Удельное сопротивление грунта, Ом·м]])),J93/SQRT(Таблица_pr1[[#This Row],[Удельное сопротивление грунта, Ом·м]]))</f>
        <v>13.096815896278159</v>
      </c>
      <c r="Q93" s="61" t="str">
        <f>IFERROR(IF(N93-N92&lt;=0,"",P93/SQRT(Таблица_pr2[[#This Row],[Удельное сопротивление грунта, Ом·м]])),P93/SQRT(Таблица_pr2[[#This Row],[Удельное сопротивление грунта, Ом·м]]))</f>
        <v/>
      </c>
      <c r="W93" s="61" t="str">
        <f>IFERROR(IF(T93-T92&lt;=0,"",V93/SQRT(Таблица_pr3[[#This Row],[Удельное сопротивление грунта, Ом·м]])),V93/SQRT(Таблица_pr3[[#This Row],[Удельное сопротивление грунта, Ом·м]]))</f>
        <v/>
      </c>
      <c r="AC93" s="61" t="str">
        <f>IFERROR(IF(Z93-Z92&lt;=0,"",AB93/SQRT(Таблица_pr4[[#This Row],[Удельное сопротивление грунта, Ом·м]])),AB93/SQRT(Таблица_pr4[[#This Row],[Удельное сопротивление грунта, Ом·м]]))</f>
        <v/>
      </c>
      <c r="AI93" s="61" t="str">
        <f>IFERROR(IF(AF93-AF92&lt;=0,"",AH93/SQRT(Таблица_pr5[[#This Row],[Удельное сопротивление грунта, Ом·м]])),AH93/SQRT(Таблица_pr5[[#This Row],[Удельное сопротивление грунта, Ом·м]]))</f>
        <v/>
      </c>
      <c r="AO93" s="61" t="str">
        <f>IFERROR(IF(AL93-AL92&lt;=0,"",AN93/SQRT(Таблица_pr6[[#This Row],[Удельное сопротивление грунта, Ом·м]])),AN93/SQRT(Таблица_pr6[[#This Row],[Удельное сопротивление грунта, Ом·м]]))</f>
        <v/>
      </c>
      <c r="AU93" s="61" t="str">
        <f>IFERROR(IF(AR93-AR92&lt;=0,"",AT93/SQRT(Таблица_pr7[[#This Row],[Удельное сопротивление грунта, Ом·м]])),AT93/SQRT(Таблица_pr7[[#This Row],[Удельное сопротивление грунта, Ом·м]]))</f>
        <v/>
      </c>
      <c r="BA93" s="61" t="str">
        <f>IFERROR(IF(AX93-AX92&lt;=0,"",AZ93/SQRT(Таблица_pr8[[#This Row],[Удельное сопротивление грунта, Ом·м]])),AZ93/SQRT(Таблица_pr8[[#This Row],[Удельное сопротивление грунта, Ом·м]]))</f>
        <v/>
      </c>
      <c r="BC93" s="55"/>
      <c r="BD93" s="52"/>
      <c r="BE93" s="67"/>
      <c r="BG93" s="61" t="str">
        <f>IFERROR(IF(BD93-AX112&lt;=0,"",BF93/SQRT(Таблица_pr9[[#This Row],[Удельное сопротивление грунта, Ом·м]])),BF93/SQRT(Таблица_pr9[[#This Row],[Удельное сопротивление грунта, Ом·м]]))</f>
        <v/>
      </c>
      <c r="BI93" s="51"/>
      <c r="BJ93" s="52"/>
      <c r="BK93" s="50"/>
      <c r="BM93" s="61" t="str">
        <f>IFERROR(IF(BJ93-BD122&lt;=0,"",BL93/SQRT(Таблица_pr10[[#This Row],[Удельное сопротивление грунта, Ом·м]])),BL93/SQRT(Таблица_pr10[[#This Row],[Удельное сопротивление грунта, Ом·м]]))</f>
        <v/>
      </c>
    </row>
    <row r="94" spans="1:65">
      <c r="A94" s="64">
        <v>89</v>
      </c>
      <c r="B94" s="52">
        <v>505.300000000002</v>
      </c>
      <c r="C94" s="50">
        <v>60.7</v>
      </c>
      <c r="D94" s="61">
        <f t="shared" si="13"/>
        <v>100.00000000002274</v>
      </c>
      <c r="E94" s="61">
        <f>IFERROR(IF(B94-B93&lt;=0,"",D94/SQRT(Таблица_pr[[#This Row],[Удельное сопротивление грунта, Ом·м]])),D94/SQRT(Таблица_pr[[#This Row],[Удельное сопротивление грунта, Ом·м]]))</f>
        <v>12.835289081243415</v>
      </c>
      <c r="G94" s="188">
        <v>89</v>
      </c>
      <c r="H94" s="184">
        <v>505.300000000002</v>
      </c>
      <c r="I94" s="182">
        <v>60.7</v>
      </c>
      <c r="J94" s="181">
        <f t="shared" si="14"/>
        <v>100.00000000002274</v>
      </c>
      <c r="K94" s="61">
        <f>IFERROR(IF(H94-H93&lt;=0,"",J94/SQRT(Таблица_pr1[[#This Row],[Удельное сопротивление грунта, Ом·м]])),J94/SQRT(Таблица_pr1[[#This Row],[Удельное сопротивление грунта, Ом·м]]))</f>
        <v>12.835289081243415</v>
      </c>
      <c r="Q94" s="61" t="str">
        <f>IFERROR(IF(N94-N93&lt;=0,"",P94/SQRT(Таблица_pr2[[#This Row],[Удельное сопротивление грунта, Ом·м]])),P94/SQRT(Таблица_pr2[[#This Row],[Удельное сопротивление грунта, Ом·м]]))</f>
        <v/>
      </c>
      <c r="W94" s="61" t="str">
        <f>IFERROR(IF(T94-T93&lt;=0,"",V94/SQRT(Таблица_pr3[[#This Row],[Удельное сопротивление грунта, Ом·м]])),V94/SQRT(Таблица_pr3[[#This Row],[Удельное сопротивление грунта, Ом·м]]))</f>
        <v/>
      </c>
      <c r="AC94" s="61" t="str">
        <f>IFERROR(IF(Z94-Z93&lt;=0,"",AB94/SQRT(Таблица_pr4[[#This Row],[Удельное сопротивление грунта, Ом·м]])),AB94/SQRT(Таблица_pr4[[#This Row],[Удельное сопротивление грунта, Ом·м]]))</f>
        <v/>
      </c>
      <c r="AI94" s="61" t="str">
        <f>IFERROR(IF(AF94-AF93&lt;=0,"",AH94/SQRT(Таблица_pr5[[#This Row],[Удельное сопротивление грунта, Ом·м]])),AH94/SQRT(Таблица_pr5[[#This Row],[Удельное сопротивление грунта, Ом·м]]))</f>
        <v/>
      </c>
      <c r="AO94" s="61" t="str">
        <f>IFERROR(IF(AL94-AL93&lt;=0,"",AN94/SQRT(Таблица_pr6[[#This Row],[Удельное сопротивление грунта, Ом·м]])),AN94/SQRT(Таблица_pr6[[#This Row],[Удельное сопротивление грунта, Ом·м]]))</f>
        <v/>
      </c>
      <c r="AU94" s="61" t="str">
        <f>IFERROR(IF(AR94-AR93&lt;=0,"",AT94/SQRT(Таблица_pr7[[#This Row],[Удельное сопротивление грунта, Ом·м]])),AT94/SQRT(Таблица_pr7[[#This Row],[Удельное сопротивление грунта, Ом·м]]))</f>
        <v/>
      </c>
      <c r="BA94" s="61" t="str">
        <f>IFERROR(IF(AX94-AX93&lt;=0,"",AZ94/SQRT(Таблица_pr8[[#This Row],[Удельное сопротивление грунта, Ом·м]])),AZ94/SQRT(Таблица_pr8[[#This Row],[Удельное сопротивление грунта, Ом·м]]))</f>
        <v/>
      </c>
      <c r="BC94" s="55"/>
      <c r="BD94" s="52"/>
      <c r="BE94" s="67"/>
      <c r="BG94" s="61" t="str">
        <f>IFERROR(IF(BD94-AX113&lt;=0,"",BF94/SQRT(Таблица_pr9[[#This Row],[Удельное сопротивление грунта, Ом·м]])),BF94/SQRT(Таблица_pr9[[#This Row],[Удельное сопротивление грунта, Ом·м]]))</f>
        <v/>
      </c>
      <c r="BI94" s="51"/>
      <c r="BJ94" s="52"/>
      <c r="BK94" s="50"/>
      <c r="BM94" s="61" t="str">
        <f>IFERROR(IF(BJ94-BD123&lt;=0,"",BL94/SQRT(Таблица_pr10[[#This Row],[Удельное сопротивление грунта, Ом·м]])),BL94/SQRT(Таблица_pr10[[#This Row],[Удельное сопротивление грунта, Ом·м]]))</f>
        <v/>
      </c>
    </row>
    <row r="95" spans="1:65">
      <c r="A95" s="64">
        <v>90</v>
      </c>
      <c r="B95" s="52">
        <v>505.40000000000202</v>
      </c>
      <c r="C95" s="50">
        <v>62</v>
      </c>
      <c r="D95" s="61">
        <f t="shared" si="13"/>
        <v>100.00000000002274</v>
      </c>
      <c r="E95" s="61">
        <f>IFERROR(IF(B95-B94&lt;=0,"",D95/SQRT(Таблица_pr[[#This Row],[Удельное сопротивление грунта, Ом·м]])),D95/SQRT(Таблица_pr[[#This Row],[Удельное сопротивление грунта, Ом·м]]))</f>
        <v>12.700012700021938</v>
      </c>
      <c r="G95" s="189">
        <v>90</v>
      </c>
      <c r="H95" s="185">
        <v>505.40000000000202</v>
      </c>
      <c r="I95" s="183">
        <v>62</v>
      </c>
      <c r="J95" s="180">
        <f t="shared" si="14"/>
        <v>100.00000000002274</v>
      </c>
      <c r="K95" s="61">
        <f>IFERROR(IF(H95-H94&lt;=0,"",J95/SQRT(Таблица_pr1[[#This Row],[Удельное сопротивление грунта, Ом·м]])),J95/SQRT(Таблица_pr1[[#This Row],[Удельное сопротивление грунта, Ом·м]]))</f>
        <v>12.700012700021938</v>
      </c>
      <c r="Q95" s="61" t="str">
        <f>IFERROR(IF(N95-N94&lt;=0,"",P95/SQRT(Таблица_pr2[[#This Row],[Удельное сопротивление грунта, Ом·м]])),P95/SQRT(Таблица_pr2[[#This Row],[Удельное сопротивление грунта, Ом·м]]))</f>
        <v/>
      </c>
      <c r="W95" s="61" t="str">
        <f>IFERROR(IF(T95-T94&lt;=0,"",V95/SQRT(Таблица_pr3[[#This Row],[Удельное сопротивление грунта, Ом·м]])),V95/SQRT(Таблица_pr3[[#This Row],[Удельное сопротивление грунта, Ом·м]]))</f>
        <v/>
      </c>
      <c r="AC95" s="61" t="str">
        <f>IFERROR(IF(Z95-Z94&lt;=0,"",AB95/SQRT(Таблица_pr4[[#This Row],[Удельное сопротивление грунта, Ом·м]])),AB95/SQRT(Таблица_pr4[[#This Row],[Удельное сопротивление грунта, Ом·м]]))</f>
        <v/>
      </c>
      <c r="AI95" s="61" t="str">
        <f>IFERROR(IF(AF95-AF94&lt;=0,"",AH95/SQRT(Таблица_pr5[[#This Row],[Удельное сопротивление грунта, Ом·м]])),AH95/SQRT(Таблица_pr5[[#This Row],[Удельное сопротивление грунта, Ом·м]]))</f>
        <v/>
      </c>
      <c r="AO95" s="61" t="str">
        <f>IFERROR(IF(AL95-AL94&lt;=0,"",AN95/SQRT(Таблица_pr6[[#This Row],[Удельное сопротивление грунта, Ом·м]])),AN95/SQRT(Таблица_pr6[[#This Row],[Удельное сопротивление грунта, Ом·м]]))</f>
        <v/>
      </c>
      <c r="AU95" s="61" t="str">
        <f>IFERROR(IF(AR95-AR94&lt;=0,"",AT95/SQRT(Таблица_pr7[[#This Row],[Удельное сопротивление грунта, Ом·м]])),AT95/SQRT(Таблица_pr7[[#This Row],[Удельное сопротивление грунта, Ом·м]]))</f>
        <v/>
      </c>
      <c r="BA95" s="61" t="str">
        <f>IFERROR(IF(AX95-AX94&lt;=0,"",AZ95/SQRT(Таблица_pr8[[#This Row],[Удельное сопротивление грунта, Ом·м]])),AZ95/SQRT(Таблица_pr8[[#This Row],[Удельное сопротивление грунта, Ом·м]]))</f>
        <v/>
      </c>
      <c r="BC95" s="55"/>
      <c r="BD95" s="52"/>
      <c r="BE95" s="67"/>
      <c r="BG95" s="61" t="str">
        <f>IFERROR(IF(BD95-AX114&lt;=0,"",BF95/SQRT(Таблица_pr9[[#This Row],[Удельное сопротивление грунта, Ом·м]])),BF95/SQRT(Таблица_pr9[[#This Row],[Удельное сопротивление грунта, Ом·м]]))</f>
        <v/>
      </c>
      <c r="BI95" s="51"/>
      <c r="BJ95" s="52"/>
      <c r="BK95" s="50"/>
      <c r="BM95" s="61" t="str">
        <f>IFERROR(IF(BJ95-BD124&lt;=0,"",BL95/SQRT(Таблица_pr10[[#This Row],[Удельное сопротивление грунта, Ом·м]])),BL95/SQRT(Таблица_pr10[[#This Row],[Удельное сопротивление грунта, Ом·м]]))</f>
        <v/>
      </c>
    </row>
    <row r="96" spans="1:65">
      <c r="A96" s="64">
        <v>91</v>
      </c>
      <c r="B96" s="52">
        <v>505.50000000000205</v>
      </c>
      <c r="C96" s="50">
        <v>67.5</v>
      </c>
      <c r="D96" s="61">
        <f t="shared" si="13"/>
        <v>100.00000000002274</v>
      </c>
      <c r="E96" s="61">
        <f>IFERROR(IF(B96-B95&lt;=0,"",D96/SQRT(Таблица_pr[[#This Row],[Удельное сопротивление грунта, Ом·м]])),D96/SQRT(Таблица_pr[[#This Row],[Удельное сопротивление грунта, Ом·м]]))</f>
        <v>12.171612389006459</v>
      </c>
      <c r="G96" s="188">
        <v>91</v>
      </c>
      <c r="H96" s="184">
        <v>505.50000000000205</v>
      </c>
      <c r="I96" s="182">
        <v>67.5</v>
      </c>
      <c r="J96" s="181">
        <f t="shared" si="14"/>
        <v>100.00000000002274</v>
      </c>
      <c r="K96" s="61">
        <f>IFERROR(IF(H96-H95&lt;=0,"",J96/SQRT(Таблица_pr1[[#This Row],[Удельное сопротивление грунта, Ом·м]])),J96/SQRT(Таблица_pr1[[#This Row],[Удельное сопротивление грунта, Ом·м]]))</f>
        <v>12.171612389006459</v>
      </c>
      <c r="Q96" s="61" t="str">
        <f>IFERROR(IF(N96-N95&lt;=0,"",P96/SQRT(Таблица_pr2[[#This Row],[Удельное сопротивление грунта, Ом·м]])),P96/SQRT(Таблица_pr2[[#This Row],[Удельное сопротивление грунта, Ом·м]]))</f>
        <v/>
      </c>
      <c r="W96" s="61" t="str">
        <f>IFERROR(IF(T96-T95&lt;=0,"",V96/SQRT(Таблица_pr3[[#This Row],[Удельное сопротивление грунта, Ом·м]])),V96/SQRT(Таблица_pr3[[#This Row],[Удельное сопротивление грунта, Ом·м]]))</f>
        <v/>
      </c>
      <c r="AC96" s="61" t="str">
        <f>IFERROR(IF(Z96-Z95&lt;=0,"",AB96/SQRT(Таблица_pr4[[#This Row],[Удельное сопротивление грунта, Ом·м]])),AB96/SQRT(Таблица_pr4[[#This Row],[Удельное сопротивление грунта, Ом·м]]))</f>
        <v/>
      </c>
      <c r="AI96" s="61" t="str">
        <f>IFERROR(IF(AF96-AF95&lt;=0,"",AH96/SQRT(Таблица_pr5[[#This Row],[Удельное сопротивление грунта, Ом·м]])),AH96/SQRT(Таблица_pr5[[#This Row],[Удельное сопротивление грунта, Ом·м]]))</f>
        <v/>
      </c>
      <c r="AO96" s="61" t="str">
        <f>IFERROR(IF(AL96-AL95&lt;=0,"",AN96/SQRT(Таблица_pr6[[#This Row],[Удельное сопротивление грунта, Ом·м]])),AN96/SQRT(Таблица_pr6[[#This Row],[Удельное сопротивление грунта, Ом·м]]))</f>
        <v/>
      </c>
      <c r="AU96" s="61" t="str">
        <f>IFERROR(IF(AR96-AR95&lt;=0,"",AT96/SQRT(Таблица_pr7[[#This Row],[Удельное сопротивление грунта, Ом·м]])),AT96/SQRT(Таблица_pr7[[#This Row],[Удельное сопротивление грунта, Ом·м]]))</f>
        <v/>
      </c>
      <c r="BA96" s="61" t="str">
        <f>IFERROR(IF(AX96-AX95&lt;=0,"",AZ96/SQRT(Таблица_pr8[[#This Row],[Удельное сопротивление грунта, Ом·м]])),AZ96/SQRT(Таблица_pr8[[#This Row],[Удельное сопротивление грунта, Ом·м]]))</f>
        <v/>
      </c>
      <c r="BC96" s="55"/>
      <c r="BD96" s="52"/>
      <c r="BE96" s="67"/>
      <c r="BG96" s="61" t="str">
        <f>IFERROR(IF(BD96-AX115&lt;=0,"",BF96/SQRT(Таблица_pr9[[#This Row],[Удельное сопротивление грунта, Ом·м]])),BF96/SQRT(Таблица_pr9[[#This Row],[Удельное сопротивление грунта, Ом·м]]))</f>
        <v/>
      </c>
      <c r="BI96" s="51"/>
      <c r="BJ96" s="52"/>
      <c r="BK96" s="50"/>
      <c r="BM96" s="61" t="str">
        <f>IFERROR(IF(BJ96-BD125&lt;=0,"",BL96/SQRT(Таблица_pr10[[#This Row],[Удельное сопротивление грунта, Ом·м]])),BL96/SQRT(Таблица_pr10[[#This Row],[Удельное сопротивление грунта, Ом·м]]))</f>
        <v/>
      </c>
    </row>
    <row r="97" spans="1:65">
      <c r="A97" s="64">
        <v>92</v>
      </c>
      <c r="B97" s="52">
        <v>505.60000000000207</v>
      </c>
      <c r="C97" s="50">
        <v>64.2</v>
      </c>
      <c r="D97" s="61">
        <f t="shared" si="13"/>
        <v>100.00000000002274</v>
      </c>
      <c r="E97" s="61">
        <f>IFERROR(IF(B97-B96&lt;=0,"",D97/SQRT(Таблица_pr[[#This Row],[Удельное сопротивление грунта, Ом·м]])),D97/SQRT(Таблица_pr[[#This Row],[Удельное сопротивление грунта, Ом·м]]))</f>
        <v>12.480514407485783</v>
      </c>
      <c r="G97" s="189">
        <v>92</v>
      </c>
      <c r="H97" s="185">
        <v>505.60000000000207</v>
      </c>
      <c r="I97" s="183">
        <v>64.2</v>
      </c>
      <c r="J97" s="180">
        <f t="shared" si="14"/>
        <v>100.00000000002274</v>
      </c>
      <c r="K97" s="61">
        <f>IFERROR(IF(H97-H96&lt;=0,"",J97/SQRT(Таблица_pr1[[#This Row],[Удельное сопротивление грунта, Ом·м]])),J97/SQRT(Таблица_pr1[[#This Row],[Удельное сопротивление грунта, Ом·м]]))</f>
        <v>12.480514407485783</v>
      </c>
      <c r="Q97" s="61" t="str">
        <f>IFERROR(IF(N97-N96&lt;=0,"",P97/SQRT(Таблица_pr2[[#This Row],[Удельное сопротивление грунта, Ом·м]])),P97/SQRT(Таблица_pr2[[#This Row],[Удельное сопротивление грунта, Ом·м]]))</f>
        <v/>
      </c>
      <c r="W97" s="61" t="str">
        <f>IFERROR(IF(T97-T96&lt;=0,"",V97/SQRT(Таблица_pr3[[#This Row],[Удельное сопротивление грунта, Ом·м]])),V97/SQRT(Таблица_pr3[[#This Row],[Удельное сопротивление грунта, Ом·м]]))</f>
        <v/>
      </c>
      <c r="AC97" s="61" t="str">
        <f>IFERROR(IF(Z97-Z96&lt;=0,"",AB97/SQRT(Таблица_pr4[[#This Row],[Удельное сопротивление грунта, Ом·м]])),AB97/SQRT(Таблица_pr4[[#This Row],[Удельное сопротивление грунта, Ом·м]]))</f>
        <v/>
      </c>
      <c r="AI97" s="61" t="str">
        <f>IFERROR(IF(AF97-AF96&lt;=0,"",AH97/SQRT(Таблица_pr5[[#This Row],[Удельное сопротивление грунта, Ом·м]])),AH97/SQRT(Таблица_pr5[[#This Row],[Удельное сопротивление грунта, Ом·м]]))</f>
        <v/>
      </c>
      <c r="AO97" s="61" t="str">
        <f>IFERROR(IF(AL97-AL96&lt;=0,"",AN97/SQRT(Таблица_pr6[[#This Row],[Удельное сопротивление грунта, Ом·м]])),AN97/SQRT(Таблица_pr6[[#This Row],[Удельное сопротивление грунта, Ом·м]]))</f>
        <v/>
      </c>
      <c r="AU97" s="61" t="str">
        <f>IFERROR(IF(AR97-AR96&lt;=0,"",AT97/SQRT(Таблица_pr7[[#This Row],[Удельное сопротивление грунта, Ом·м]])),AT97/SQRT(Таблица_pr7[[#This Row],[Удельное сопротивление грунта, Ом·м]]))</f>
        <v/>
      </c>
      <c r="BA97" s="61" t="str">
        <f>IFERROR(IF(AX97-AX96&lt;=0,"",AZ97/SQRT(Таблица_pr8[[#This Row],[Удельное сопротивление грунта, Ом·м]])),AZ97/SQRT(Таблица_pr8[[#This Row],[Удельное сопротивление грунта, Ом·м]]))</f>
        <v/>
      </c>
      <c r="BC97" s="55"/>
      <c r="BD97" s="52"/>
      <c r="BE97" s="67"/>
      <c r="BG97" s="61" t="str">
        <f>IFERROR(IF(BD97-AX116&lt;=0,"",BF97/SQRT(Таблица_pr9[[#This Row],[Удельное сопротивление грунта, Ом·м]])),BF97/SQRT(Таблица_pr9[[#This Row],[Удельное сопротивление грунта, Ом·м]]))</f>
        <v/>
      </c>
      <c r="BI97" s="51"/>
      <c r="BJ97" s="52"/>
      <c r="BK97" s="50"/>
      <c r="BM97" s="61" t="str">
        <f>IFERROR(IF(BJ97-BD126&lt;=0,"",BL97/SQRT(Таблица_pr10[[#This Row],[Удельное сопротивление грунта, Ом·м]])),BL97/SQRT(Таблица_pr10[[#This Row],[Удельное сопротивление грунта, Ом·м]]))</f>
        <v/>
      </c>
    </row>
    <row r="98" spans="1:65">
      <c r="A98" s="64">
        <v>93</v>
      </c>
      <c r="B98" s="52">
        <v>505.70000000000209</v>
      </c>
      <c r="C98" s="50">
        <v>69.900000000000006</v>
      </c>
      <c r="D98" s="61">
        <f t="shared" si="13"/>
        <v>100.00000000002274</v>
      </c>
      <c r="E98" s="61">
        <f>IFERROR(IF(B98-B97&lt;=0,"",D98/SQRT(Таблица_pr[[#This Row],[Удельное сопротивление грунта, Ом·м]])),D98/SQRT(Таблица_pr[[#This Row],[Удельное сопротивление грунта, Ом·м]]))</f>
        <v>11.960832598617015</v>
      </c>
      <c r="G98" s="188">
        <v>93</v>
      </c>
      <c r="H98" s="184">
        <v>505.70000000000209</v>
      </c>
      <c r="I98" s="182">
        <v>69.900000000000006</v>
      </c>
      <c r="J98" s="181">
        <f t="shared" si="14"/>
        <v>100.00000000002274</v>
      </c>
      <c r="K98" s="61">
        <f>IFERROR(IF(H98-H97&lt;=0,"",J98/SQRT(Таблица_pr1[[#This Row],[Удельное сопротивление грунта, Ом·м]])),J98/SQRT(Таблица_pr1[[#This Row],[Удельное сопротивление грунта, Ом·м]]))</f>
        <v>11.960832598617015</v>
      </c>
      <c r="Q98" s="61" t="str">
        <f>IFERROR(IF(N98-N97&lt;=0,"",P98/SQRT(Таблица_pr2[[#This Row],[Удельное сопротивление грунта, Ом·м]])),P98/SQRT(Таблица_pr2[[#This Row],[Удельное сопротивление грунта, Ом·м]]))</f>
        <v/>
      </c>
      <c r="W98" s="61" t="str">
        <f>IFERROR(IF(T98-T97&lt;=0,"",V98/SQRT(Таблица_pr3[[#This Row],[Удельное сопротивление грунта, Ом·м]])),V98/SQRT(Таблица_pr3[[#This Row],[Удельное сопротивление грунта, Ом·м]]))</f>
        <v/>
      </c>
      <c r="AC98" s="61" t="str">
        <f>IFERROR(IF(Z98-Z97&lt;=0,"",AB98/SQRT(Таблица_pr4[[#This Row],[Удельное сопротивление грунта, Ом·м]])),AB98/SQRT(Таблица_pr4[[#This Row],[Удельное сопротивление грунта, Ом·м]]))</f>
        <v/>
      </c>
      <c r="AI98" s="61" t="str">
        <f>IFERROR(IF(AF98-AF97&lt;=0,"",AH98/SQRT(Таблица_pr5[[#This Row],[Удельное сопротивление грунта, Ом·м]])),AH98/SQRT(Таблица_pr5[[#This Row],[Удельное сопротивление грунта, Ом·м]]))</f>
        <v/>
      </c>
      <c r="AO98" s="61" t="str">
        <f>IFERROR(IF(AL98-AL97&lt;=0,"",AN98/SQRT(Таблица_pr6[[#This Row],[Удельное сопротивление грунта, Ом·м]])),AN98/SQRT(Таблица_pr6[[#This Row],[Удельное сопротивление грунта, Ом·м]]))</f>
        <v/>
      </c>
      <c r="AU98" s="61" t="str">
        <f>IFERROR(IF(AR98-AR97&lt;=0,"",AT98/SQRT(Таблица_pr7[[#This Row],[Удельное сопротивление грунта, Ом·м]])),AT98/SQRT(Таблица_pr7[[#This Row],[Удельное сопротивление грунта, Ом·м]]))</f>
        <v/>
      </c>
      <c r="BA98" s="61" t="str">
        <f>IFERROR(IF(AX98-AX97&lt;=0,"",AZ98/SQRT(Таблица_pr8[[#This Row],[Удельное сопротивление грунта, Ом·м]])),AZ98/SQRT(Таблица_pr8[[#This Row],[Удельное сопротивление грунта, Ом·м]]))</f>
        <v/>
      </c>
      <c r="BC98" s="55"/>
      <c r="BD98" s="52"/>
      <c r="BE98" s="67"/>
      <c r="BG98" s="61" t="str">
        <f>IFERROR(IF(BD98-AX117&lt;=0,"",BF98/SQRT(Таблица_pr9[[#This Row],[Удельное сопротивление грунта, Ом·м]])),BF98/SQRT(Таблица_pr9[[#This Row],[Удельное сопротивление грунта, Ом·м]]))</f>
        <v/>
      </c>
      <c r="BI98" s="51"/>
      <c r="BJ98" s="52"/>
      <c r="BK98" s="50"/>
      <c r="BM98" s="61" t="str">
        <f>IFERROR(IF(BJ98-BD127&lt;=0,"",BL98/SQRT(Таблица_pr10[[#This Row],[Удельное сопротивление грунта, Ом·м]])),BL98/SQRT(Таблица_pr10[[#This Row],[Удельное сопротивление грунта, Ом·м]]))</f>
        <v/>
      </c>
    </row>
    <row r="99" spans="1:65">
      <c r="A99" s="64">
        <v>94</v>
      </c>
      <c r="B99" s="52">
        <v>505.80000000000211</v>
      </c>
      <c r="C99" s="50">
        <v>67.8</v>
      </c>
      <c r="D99" s="61">
        <f t="shared" si="13"/>
        <v>100.00000000002274</v>
      </c>
      <c r="E99" s="61">
        <f>IFERROR(IF(B99-B98&lt;=0,"",D99/SQRT(Таблица_pr[[#This Row],[Удельное сопротивление грунта, Ом·м]])),D99/SQRT(Таблица_pr[[#This Row],[Удельное сопротивление грунта, Ом·м]]))</f>
        <v>12.144654188934268</v>
      </c>
      <c r="G99" s="189">
        <v>94</v>
      </c>
      <c r="H99" s="185">
        <v>505.80000000000211</v>
      </c>
      <c r="I99" s="183">
        <v>67.8</v>
      </c>
      <c r="J99" s="180">
        <f t="shared" si="14"/>
        <v>100.00000000002274</v>
      </c>
      <c r="K99" s="61">
        <f>IFERROR(IF(H99-H98&lt;=0,"",J99/SQRT(Таблица_pr1[[#This Row],[Удельное сопротивление грунта, Ом·м]])),J99/SQRT(Таблица_pr1[[#This Row],[Удельное сопротивление грунта, Ом·м]]))</f>
        <v>12.144654188934268</v>
      </c>
      <c r="Q99" s="61" t="str">
        <f>IFERROR(IF(N99-N98&lt;=0,"",P99/SQRT(Таблица_pr2[[#This Row],[Удельное сопротивление грунта, Ом·м]])),P99/SQRT(Таблица_pr2[[#This Row],[Удельное сопротивление грунта, Ом·м]]))</f>
        <v/>
      </c>
      <c r="W99" s="61" t="str">
        <f>IFERROR(IF(T99-T98&lt;=0,"",V99/SQRT(Таблица_pr3[[#This Row],[Удельное сопротивление грунта, Ом·м]])),V99/SQRT(Таблица_pr3[[#This Row],[Удельное сопротивление грунта, Ом·м]]))</f>
        <v/>
      </c>
      <c r="AC99" s="61" t="str">
        <f>IFERROR(IF(Z99-Z98&lt;=0,"",AB99/SQRT(Таблица_pr4[[#This Row],[Удельное сопротивление грунта, Ом·м]])),AB99/SQRT(Таблица_pr4[[#This Row],[Удельное сопротивление грунта, Ом·м]]))</f>
        <v/>
      </c>
      <c r="AI99" s="61" t="str">
        <f>IFERROR(IF(AF99-AF98&lt;=0,"",AH99/SQRT(Таблица_pr5[[#This Row],[Удельное сопротивление грунта, Ом·м]])),AH99/SQRT(Таблица_pr5[[#This Row],[Удельное сопротивление грунта, Ом·м]]))</f>
        <v/>
      </c>
      <c r="AO99" s="61" t="str">
        <f>IFERROR(IF(AL99-AL98&lt;=0,"",AN99/SQRT(Таблица_pr6[[#This Row],[Удельное сопротивление грунта, Ом·м]])),AN99/SQRT(Таблица_pr6[[#This Row],[Удельное сопротивление грунта, Ом·м]]))</f>
        <v/>
      </c>
      <c r="AU99" s="61" t="str">
        <f>IFERROR(IF(AR99-AR98&lt;=0,"",AT99/SQRT(Таблица_pr7[[#This Row],[Удельное сопротивление грунта, Ом·м]])),AT99/SQRT(Таблица_pr7[[#This Row],[Удельное сопротивление грунта, Ом·м]]))</f>
        <v/>
      </c>
      <c r="BA99" s="61" t="str">
        <f>IFERROR(IF(AX99-AX98&lt;=0,"",AZ99/SQRT(Таблица_pr8[[#This Row],[Удельное сопротивление грунта, Ом·м]])),AZ99/SQRT(Таблица_pr8[[#This Row],[Удельное сопротивление грунта, Ом·м]]))</f>
        <v/>
      </c>
      <c r="BC99" s="55"/>
      <c r="BD99" s="52"/>
      <c r="BE99" s="67"/>
      <c r="BG99" s="61" t="str">
        <f>IFERROR(IF(BD99-AX118&lt;=0,"",BF99/SQRT(Таблица_pr9[[#This Row],[Удельное сопротивление грунта, Ом·м]])),BF99/SQRT(Таблица_pr9[[#This Row],[Удельное сопротивление грунта, Ом·м]]))</f>
        <v/>
      </c>
      <c r="BI99" s="51"/>
      <c r="BJ99" s="52"/>
      <c r="BK99" s="50"/>
      <c r="BM99" s="61" t="str">
        <f>IFERROR(IF(BJ99-BD128&lt;=0,"",BL99/SQRT(Таблица_pr10[[#This Row],[Удельное сопротивление грунта, Ом·м]])),BL99/SQRT(Таблица_pr10[[#This Row],[Удельное сопротивление грунта, Ом·м]]))</f>
        <v/>
      </c>
    </row>
    <row r="100" spans="1:65">
      <c r="A100" s="64">
        <v>95</v>
      </c>
      <c r="B100" s="52">
        <v>505.90000000000214</v>
      </c>
      <c r="C100" s="50">
        <v>69.5</v>
      </c>
      <c r="D100" s="61">
        <f t="shared" si="13"/>
        <v>100.00000000002274</v>
      </c>
      <c r="E100" s="61">
        <f>IFERROR(IF(B100-B99&lt;=0,"",D100/SQRT(Таблица_pr[[#This Row],[Удельное сопротивление грунта, Ом·м]])),D100/SQRT(Таблица_pr[[#This Row],[Удельное сопротивление грунта, Ом·м]]))</f>
        <v>11.995202878084072</v>
      </c>
      <c r="G100" s="188">
        <v>95</v>
      </c>
      <c r="H100" s="184">
        <v>505.90000000000214</v>
      </c>
      <c r="I100" s="182">
        <v>69.5</v>
      </c>
      <c r="J100" s="181">
        <f t="shared" si="14"/>
        <v>100.00000000002274</v>
      </c>
      <c r="K100" s="61">
        <f>IFERROR(IF(H100-H99&lt;=0,"",J100/SQRT(Таблица_pr1[[#This Row],[Удельное сопротивление грунта, Ом·м]])),J100/SQRT(Таблица_pr1[[#This Row],[Удельное сопротивление грунта, Ом·м]]))</f>
        <v>11.995202878084072</v>
      </c>
      <c r="Q100" s="61" t="str">
        <f>IFERROR(IF(N100-N99&lt;=0,"",P100/SQRT(Таблица_pr2[[#This Row],[Удельное сопротивление грунта, Ом·м]])),P100/SQRT(Таблица_pr2[[#This Row],[Удельное сопротивление грунта, Ом·м]]))</f>
        <v/>
      </c>
      <c r="W100" s="61" t="str">
        <f>IFERROR(IF(T100-T99&lt;=0,"",V100/SQRT(Таблица_pr3[[#This Row],[Удельное сопротивление грунта, Ом·м]])),V100/SQRT(Таблица_pr3[[#This Row],[Удельное сопротивление грунта, Ом·м]]))</f>
        <v/>
      </c>
      <c r="AC100" s="61" t="str">
        <f>IFERROR(IF(Z100-Z99&lt;=0,"",AB100/SQRT(Таблица_pr4[[#This Row],[Удельное сопротивление грунта, Ом·м]])),AB100/SQRT(Таблица_pr4[[#This Row],[Удельное сопротивление грунта, Ом·м]]))</f>
        <v/>
      </c>
      <c r="AI100" s="61" t="str">
        <f>IFERROR(IF(AF100-AF99&lt;=0,"",AH100/SQRT(Таблица_pr5[[#This Row],[Удельное сопротивление грунта, Ом·м]])),AH100/SQRT(Таблица_pr5[[#This Row],[Удельное сопротивление грунта, Ом·м]]))</f>
        <v/>
      </c>
      <c r="AO100" s="61" t="str">
        <f>IFERROR(IF(AL100-AL99&lt;=0,"",AN100/SQRT(Таблица_pr6[[#This Row],[Удельное сопротивление грунта, Ом·м]])),AN100/SQRT(Таблица_pr6[[#This Row],[Удельное сопротивление грунта, Ом·м]]))</f>
        <v/>
      </c>
      <c r="AU100" s="61" t="str">
        <f>IFERROR(IF(AR100-AR99&lt;=0,"",AT100/SQRT(Таблица_pr7[[#This Row],[Удельное сопротивление грунта, Ом·м]])),AT100/SQRT(Таблица_pr7[[#This Row],[Удельное сопротивление грунта, Ом·м]]))</f>
        <v/>
      </c>
      <c r="BA100" s="61" t="str">
        <f>IFERROR(IF(AX100-AX99&lt;=0,"",AZ100/SQRT(Таблица_pr8[[#This Row],[Удельное сопротивление грунта, Ом·м]])),AZ100/SQRT(Таблица_pr8[[#This Row],[Удельное сопротивление грунта, Ом·м]]))</f>
        <v/>
      </c>
      <c r="BC100" s="55"/>
      <c r="BD100" s="52"/>
      <c r="BE100" s="67"/>
      <c r="BG100" s="61" t="str">
        <f>IFERROR(IF(BD100-AX119&lt;=0,"",BF100/SQRT(Таблица_pr9[[#This Row],[Удельное сопротивление грунта, Ом·м]])),BF100/SQRT(Таблица_pr9[[#This Row],[Удельное сопротивление грунта, Ом·м]]))</f>
        <v/>
      </c>
      <c r="BI100" s="51"/>
      <c r="BJ100" s="52"/>
      <c r="BK100" s="50"/>
      <c r="BM100" s="61" t="str">
        <f>IFERROR(IF(BJ100-BD129&lt;=0,"",BL100/SQRT(Таблица_pr10[[#This Row],[Удельное сопротивление грунта, Ом·м]])),BL100/SQRT(Таблица_pr10[[#This Row],[Удельное сопротивление грунта, Ом·м]]))</f>
        <v/>
      </c>
    </row>
    <row r="101" spans="1:65">
      <c r="A101" s="64">
        <v>96</v>
      </c>
      <c r="B101" s="52">
        <v>506.00000000000216</v>
      </c>
      <c r="C101" s="50">
        <v>63.4</v>
      </c>
      <c r="D101" s="61">
        <f t="shared" si="13"/>
        <v>100.00000000002274</v>
      </c>
      <c r="E101" s="61">
        <f>IFERROR(IF(B101-B100&lt;=0,"",D101/SQRT(Таблица_pr[[#This Row],[Удельное сопротивление грунта, Ом·м]])),D101/SQRT(Таблица_pr[[#This Row],[Удельное сопротивление грунта, Ом·м]]))</f>
        <v>12.559008982586063</v>
      </c>
      <c r="G101" s="189">
        <v>96</v>
      </c>
      <c r="H101" s="185">
        <v>506.00000000000216</v>
      </c>
      <c r="I101" s="183">
        <v>63.4</v>
      </c>
      <c r="J101" s="180">
        <f t="shared" si="14"/>
        <v>100.00000000002274</v>
      </c>
      <c r="K101" s="61">
        <f>IFERROR(IF(H101-H100&lt;=0,"",J101/SQRT(Таблица_pr1[[#This Row],[Удельное сопротивление грунта, Ом·м]])),J101/SQRT(Таблица_pr1[[#This Row],[Удельное сопротивление грунта, Ом·м]]))</f>
        <v>12.559008982586063</v>
      </c>
      <c r="Q101" s="61" t="str">
        <f>IFERROR(IF(N101-N100&lt;=0,"",P101/SQRT(Таблица_pr2[[#This Row],[Удельное сопротивление грунта, Ом·м]])),P101/SQRT(Таблица_pr2[[#This Row],[Удельное сопротивление грунта, Ом·м]]))</f>
        <v/>
      </c>
      <c r="W101" s="61" t="str">
        <f>IFERROR(IF(T101-T100&lt;=0,"",V101/SQRT(Таблица_pr3[[#This Row],[Удельное сопротивление грунта, Ом·м]])),V101/SQRT(Таблица_pr3[[#This Row],[Удельное сопротивление грунта, Ом·м]]))</f>
        <v/>
      </c>
      <c r="AC101" s="61" t="str">
        <f>IFERROR(IF(Z101-Z100&lt;=0,"",AB101/SQRT(Таблица_pr4[[#This Row],[Удельное сопротивление грунта, Ом·м]])),AB101/SQRT(Таблица_pr4[[#This Row],[Удельное сопротивление грунта, Ом·м]]))</f>
        <v/>
      </c>
      <c r="AI101" s="61" t="str">
        <f>IFERROR(IF(AF101-AF100&lt;=0,"",AH101/SQRT(Таблица_pr5[[#This Row],[Удельное сопротивление грунта, Ом·м]])),AH101/SQRT(Таблица_pr5[[#This Row],[Удельное сопротивление грунта, Ом·м]]))</f>
        <v/>
      </c>
      <c r="AO101" s="61" t="str">
        <f>IFERROR(IF(AL101-AL100&lt;=0,"",AN101/SQRT(Таблица_pr6[[#This Row],[Удельное сопротивление грунта, Ом·м]])),AN101/SQRT(Таблица_pr6[[#This Row],[Удельное сопротивление грунта, Ом·м]]))</f>
        <v/>
      </c>
      <c r="AU101" s="61" t="str">
        <f>IFERROR(IF(AR101-AR100&lt;=0,"",AT101/SQRT(Таблица_pr7[[#This Row],[Удельное сопротивление грунта, Ом·м]])),AT101/SQRT(Таблица_pr7[[#This Row],[Удельное сопротивление грунта, Ом·м]]))</f>
        <v/>
      </c>
      <c r="BA101" s="61" t="str">
        <f>IFERROR(IF(AX101-AX100&lt;=0,"",AZ101/SQRT(Таблица_pr8[[#This Row],[Удельное сопротивление грунта, Ом·м]])),AZ101/SQRT(Таблица_pr8[[#This Row],[Удельное сопротивление грунта, Ом·м]]))</f>
        <v/>
      </c>
      <c r="BC101" s="55"/>
      <c r="BD101" s="52"/>
      <c r="BE101" s="67"/>
      <c r="BG101" s="61" t="str">
        <f>IFERROR(IF(BD101-AX120&lt;=0,"",BF101/SQRT(Таблица_pr9[[#This Row],[Удельное сопротивление грунта, Ом·м]])),BF101/SQRT(Таблица_pr9[[#This Row],[Удельное сопротивление грунта, Ом·м]]))</f>
        <v/>
      </c>
      <c r="BI101" s="51"/>
      <c r="BJ101" s="52"/>
      <c r="BK101" s="50"/>
      <c r="BM101" s="61" t="str">
        <f>IFERROR(IF(BJ101-BD130&lt;=0,"",BL101/SQRT(Таблица_pr10[[#This Row],[Удельное сопротивление грунта, Ом·м]])),BL101/SQRT(Таблица_pr10[[#This Row],[Удельное сопротивление грунта, Ом·м]]))</f>
        <v/>
      </c>
    </row>
    <row r="102" spans="1:65">
      <c r="A102" s="64">
        <v>97</v>
      </c>
      <c r="B102" s="52">
        <v>506.10000000000218</v>
      </c>
      <c r="C102" s="50">
        <v>43.9</v>
      </c>
      <c r="D102" s="61">
        <f t="shared" si="13"/>
        <v>100.00000000002274</v>
      </c>
      <c r="E102" s="61">
        <f>IFERROR(IF(B102-B101&lt;=0,"",D102/SQRT(Таблица_pr[[#This Row],[Удельное сопротивление грунта, Ом·м]])),D102/SQRT(Таблица_pr[[#This Row],[Удельное сопротивление грунта, Ом·м]]))</f>
        <v>15.092727811827983</v>
      </c>
      <c r="G102" s="188">
        <v>97</v>
      </c>
      <c r="H102" s="184">
        <v>506.10000000000218</v>
      </c>
      <c r="I102" s="182">
        <v>43.9</v>
      </c>
      <c r="J102" s="181">
        <f t="shared" si="14"/>
        <v>100.00000000002274</v>
      </c>
      <c r="K102" s="61">
        <f>IFERROR(IF(H102-H101&lt;=0,"",J102/SQRT(Таблица_pr1[[#This Row],[Удельное сопротивление грунта, Ом·м]])),J102/SQRT(Таблица_pr1[[#This Row],[Удельное сопротивление грунта, Ом·м]]))</f>
        <v>15.092727811827983</v>
      </c>
      <c r="Q102" s="61" t="str">
        <f>IFERROR(IF(N102-N101&lt;=0,"",P102/SQRT(Таблица_pr2[[#This Row],[Удельное сопротивление грунта, Ом·м]])),P102/SQRT(Таблица_pr2[[#This Row],[Удельное сопротивление грунта, Ом·м]]))</f>
        <v/>
      </c>
      <c r="W102" s="61" t="str">
        <f>IFERROR(IF(T102-T101&lt;=0,"",V102/SQRT(Таблица_pr3[[#This Row],[Удельное сопротивление грунта, Ом·м]])),V102/SQRT(Таблица_pr3[[#This Row],[Удельное сопротивление грунта, Ом·м]]))</f>
        <v/>
      </c>
      <c r="AC102" s="61" t="str">
        <f>IFERROR(IF(Z102-Z101&lt;=0,"",AB102/SQRT(Таблица_pr4[[#This Row],[Удельное сопротивление грунта, Ом·м]])),AB102/SQRT(Таблица_pr4[[#This Row],[Удельное сопротивление грунта, Ом·м]]))</f>
        <v/>
      </c>
      <c r="AI102" s="61" t="str">
        <f>IFERROR(IF(AF102-AF101&lt;=0,"",AH102/SQRT(Таблица_pr5[[#This Row],[Удельное сопротивление грунта, Ом·м]])),AH102/SQRT(Таблица_pr5[[#This Row],[Удельное сопротивление грунта, Ом·м]]))</f>
        <v/>
      </c>
      <c r="AO102" s="61" t="str">
        <f>IFERROR(IF(AL102-AL101&lt;=0,"",AN102/SQRT(Таблица_pr6[[#This Row],[Удельное сопротивление грунта, Ом·м]])),AN102/SQRT(Таблица_pr6[[#This Row],[Удельное сопротивление грунта, Ом·м]]))</f>
        <v/>
      </c>
      <c r="AU102" s="61" t="str">
        <f>IFERROR(IF(AR102-AR101&lt;=0,"",AT102/SQRT(Таблица_pr7[[#This Row],[Удельное сопротивление грунта, Ом·м]])),AT102/SQRT(Таблица_pr7[[#This Row],[Удельное сопротивление грунта, Ом·м]]))</f>
        <v/>
      </c>
      <c r="BA102" s="61" t="str">
        <f>IFERROR(IF(AX102-AX101&lt;=0,"",AZ102/SQRT(Таблица_pr8[[#This Row],[Удельное сопротивление грунта, Ом·м]])),AZ102/SQRT(Таблица_pr8[[#This Row],[Удельное сопротивление грунта, Ом·м]]))</f>
        <v/>
      </c>
      <c r="BC102" s="55"/>
      <c r="BD102" s="52"/>
      <c r="BE102" s="67"/>
      <c r="BG102" s="61" t="str">
        <f>IFERROR(IF(BD102-AX121&lt;=0,"",BF102/SQRT(Таблица_pr9[[#This Row],[Удельное сопротивление грунта, Ом·м]])),BF102/SQRT(Таблица_pr9[[#This Row],[Удельное сопротивление грунта, Ом·м]]))</f>
        <v/>
      </c>
      <c r="BI102" s="51"/>
      <c r="BJ102" s="52"/>
      <c r="BK102" s="50"/>
      <c r="BM102" s="61" t="str">
        <f>IFERROR(IF(BJ102-BD131&lt;=0,"",BL102/SQRT(Таблица_pr10[[#This Row],[Удельное сопротивление грунта, Ом·м]])),BL102/SQRT(Таблица_pr10[[#This Row],[Удельное сопротивление грунта, Ом·м]]))</f>
        <v/>
      </c>
    </row>
    <row r="103" spans="1:65">
      <c r="A103" s="64">
        <v>98</v>
      </c>
      <c r="B103" s="52">
        <v>506.20000000000221</v>
      </c>
      <c r="C103" s="50">
        <v>67.099999999999994</v>
      </c>
      <c r="D103" s="61">
        <f t="shared" si="13"/>
        <v>100.00000000002274</v>
      </c>
      <c r="E103" s="61">
        <f>IFERROR(IF(B103-B102&lt;=0,"",D103/SQRT(Таблица_pr[[#This Row],[Удельное сопротивление грунта, Ом·м]])),D103/SQRT(Таблица_pr[[#This Row],[Удельное сопротивление грунта, Ом·м]]))</f>
        <v>12.207837505977379</v>
      </c>
      <c r="G103" s="189">
        <v>98</v>
      </c>
      <c r="H103" s="185">
        <v>506.20000000000221</v>
      </c>
      <c r="I103" s="183">
        <v>67.099999999999994</v>
      </c>
      <c r="J103" s="180">
        <f t="shared" si="14"/>
        <v>100.00000000002274</v>
      </c>
      <c r="K103" s="61">
        <f>IFERROR(IF(H103-H102&lt;=0,"",J103/SQRT(Таблица_pr1[[#This Row],[Удельное сопротивление грунта, Ом·м]])),J103/SQRT(Таблица_pr1[[#This Row],[Удельное сопротивление грунта, Ом·м]]))</f>
        <v>12.207837505977379</v>
      </c>
      <c r="Q103" s="61" t="str">
        <f>IFERROR(IF(N103-N102&lt;=0,"",P103/SQRT(Таблица_pr2[[#This Row],[Удельное сопротивление грунта, Ом·м]])),P103/SQRT(Таблица_pr2[[#This Row],[Удельное сопротивление грунта, Ом·м]]))</f>
        <v/>
      </c>
      <c r="W103" s="61" t="str">
        <f>IFERROR(IF(T103-T102&lt;=0,"",V103/SQRT(Таблица_pr3[[#This Row],[Удельное сопротивление грунта, Ом·м]])),V103/SQRT(Таблица_pr3[[#This Row],[Удельное сопротивление грунта, Ом·м]]))</f>
        <v/>
      </c>
      <c r="AC103" s="61" t="str">
        <f>IFERROR(IF(Z103-Z102&lt;=0,"",AB103/SQRT(Таблица_pr4[[#This Row],[Удельное сопротивление грунта, Ом·м]])),AB103/SQRT(Таблица_pr4[[#This Row],[Удельное сопротивление грунта, Ом·м]]))</f>
        <v/>
      </c>
      <c r="AI103" s="61" t="str">
        <f>IFERROR(IF(AF103-AF102&lt;=0,"",AH103/SQRT(Таблица_pr5[[#This Row],[Удельное сопротивление грунта, Ом·м]])),AH103/SQRT(Таблица_pr5[[#This Row],[Удельное сопротивление грунта, Ом·м]]))</f>
        <v/>
      </c>
      <c r="AO103" s="61" t="str">
        <f>IFERROR(IF(AL103-AL102&lt;=0,"",AN103/SQRT(Таблица_pr6[[#This Row],[Удельное сопротивление грунта, Ом·м]])),AN103/SQRT(Таблица_pr6[[#This Row],[Удельное сопротивление грунта, Ом·м]]))</f>
        <v/>
      </c>
      <c r="AU103" s="61" t="str">
        <f>IFERROR(IF(AR103-AR102&lt;=0,"",AT103/SQRT(Таблица_pr7[[#This Row],[Удельное сопротивление грунта, Ом·м]])),AT103/SQRT(Таблица_pr7[[#This Row],[Удельное сопротивление грунта, Ом·м]]))</f>
        <v/>
      </c>
      <c r="BA103" s="61" t="str">
        <f>IFERROR(IF(AX103-AX102&lt;=0,"",AZ103/SQRT(Таблица_pr8[[#This Row],[Удельное сопротивление грунта, Ом·м]])),AZ103/SQRT(Таблица_pr8[[#This Row],[Удельное сопротивление грунта, Ом·м]]))</f>
        <v/>
      </c>
      <c r="BC103" s="55"/>
      <c r="BD103" s="52"/>
      <c r="BE103" s="67"/>
      <c r="BG103" s="61" t="str">
        <f>IFERROR(IF(BD103-AX122&lt;=0,"",BF103/SQRT(Таблица_pr9[[#This Row],[Удельное сопротивление грунта, Ом·м]])),BF103/SQRT(Таблица_pr9[[#This Row],[Удельное сопротивление грунта, Ом·м]]))</f>
        <v/>
      </c>
      <c r="BI103" s="51"/>
      <c r="BJ103" s="52"/>
      <c r="BK103" s="50"/>
      <c r="BM103" s="61" t="str">
        <f>IFERROR(IF(BJ103-BD132&lt;=0,"",BL103/SQRT(Таблица_pr10[[#This Row],[Удельное сопротивление грунта, Ом·м]])),BL103/SQRT(Таблица_pr10[[#This Row],[Удельное сопротивление грунта, Ом·м]]))</f>
        <v/>
      </c>
    </row>
    <row r="104" spans="1:65">
      <c r="A104" s="64">
        <v>99</v>
      </c>
      <c r="B104" s="52">
        <v>506.30000000000223</v>
      </c>
      <c r="C104" s="50">
        <v>59.8</v>
      </c>
      <c r="D104" s="61">
        <f t="shared" si="13"/>
        <v>100.00000000002274</v>
      </c>
      <c r="E104" s="61">
        <f>IFERROR(IF(B104-B103&lt;=0,"",D104/SQRT(Таблица_pr[[#This Row],[Удельное сопротивление грунта, Ом·м]])),D104/SQRT(Таблица_pr[[#This Row],[Удельное сопротивление грунта, Ом·м]]))</f>
        <v>12.931515002799733</v>
      </c>
      <c r="G104" s="188">
        <v>99</v>
      </c>
      <c r="H104" s="184">
        <v>506.30000000000223</v>
      </c>
      <c r="I104" s="182">
        <v>59.8</v>
      </c>
      <c r="J104" s="181">
        <f t="shared" si="14"/>
        <v>100.00000000002274</v>
      </c>
      <c r="K104" s="61">
        <f>IFERROR(IF(H104-H103&lt;=0,"",J104/SQRT(Таблица_pr1[[#This Row],[Удельное сопротивление грунта, Ом·м]])),J104/SQRT(Таблица_pr1[[#This Row],[Удельное сопротивление грунта, Ом·м]]))</f>
        <v>12.931515002799733</v>
      </c>
      <c r="Q104" s="61" t="str">
        <f>IFERROR(IF(N104-N103&lt;=0,"",P104/SQRT(Таблица_pr2[[#This Row],[Удельное сопротивление грунта, Ом·м]])),P104/SQRT(Таблица_pr2[[#This Row],[Удельное сопротивление грунта, Ом·м]]))</f>
        <v/>
      </c>
      <c r="W104" s="61" t="str">
        <f>IFERROR(IF(T104-T103&lt;=0,"",V104/SQRT(Таблица_pr3[[#This Row],[Удельное сопротивление грунта, Ом·м]])),V104/SQRT(Таблица_pr3[[#This Row],[Удельное сопротивление грунта, Ом·м]]))</f>
        <v/>
      </c>
      <c r="AC104" s="61" t="str">
        <f>IFERROR(IF(Z104-Z103&lt;=0,"",AB104/SQRT(Таблица_pr4[[#This Row],[Удельное сопротивление грунта, Ом·м]])),AB104/SQRT(Таблица_pr4[[#This Row],[Удельное сопротивление грунта, Ом·м]]))</f>
        <v/>
      </c>
      <c r="AI104" s="61" t="str">
        <f>IFERROR(IF(AF104-AF103&lt;=0,"",AH104/SQRT(Таблица_pr5[[#This Row],[Удельное сопротивление грунта, Ом·м]])),AH104/SQRT(Таблица_pr5[[#This Row],[Удельное сопротивление грунта, Ом·м]]))</f>
        <v/>
      </c>
      <c r="AO104" s="61" t="str">
        <f>IFERROR(IF(AL104-AL103&lt;=0,"",AN104/SQRT(Таблица_pr6[[#This Row],[Удельное сопротивление грунта, Ом·м]])),AN104/SQRT(Таблица_pr6[[#This Row],[Удельное сопротивление грунта, Ом·м]]))</f>
        <v/>
      </c>
      <c r="AU104" s="61" t="str">
        <f>IFERROR(IF(AR104-AR103&lt;=0,"",AT104/SQRT(Таблица_pr7[[#This Row],[Удельное сопротивление грунта, Ом·м]])),AT104/SQRT(Таблица_pr7[[#This Row],[Удельное сопротивление грунта, Ом·м]]))</f>
        <v/>
      </c>
      <c r="BA104" s="61" t="str">
        <f>IFERROR(IF(AX104-AX103&lt;=0,"",AZ104/SQRT(Таблица_pr8[[#This Row],[Удельное сопротивление грунта, Ом·м]])),AZ104/SQRT(Таблица_pr8[[#This Row],[Удельное сопротивление грунта, Ом·м]]))</f>
        <v/>
      </c>
      <c r="BC104" s="55"/>
      <c r="BD104" s="52"/>
      <c r="BE104" s="67"/>
      <c r="BG104" s="61" t="str">
        <f>IFERROR(IF(BD104-AX123&lt;=0,"",BF104/SQRT(Таблица_pr9[[#This Row],[Удельное сопротивление грунта, Ом·м]])),BF104/SQRT(Таблица_pr9[[#This Row],[Удельное сопротивление грунта, Ом·м]]))</f>
        <v/>
      </c>
      <c r="BI104" s="51"/>
      <c r="BJ104" s="52"/>
      <c r="BK104" s="50"/>
      <c r="BM104" s="61" t="str">
        <f>IFERROR(IF(BJ104-BD133&lt;=0,"",BL104/SQRT(Таблица_pr10[[#This Row],[Удельное сопротивление грунта, Ом·м]])),BL104/SQRT(Таблица_pr10[[#This Row],[Удельное сопротивление грунта, Ом·м]]))</f>
        <v/>
      </c>
    </row>
    <row r="105" spans="1:65">
      <c r="A105" s="64">
        <v>100</v>
      </c>
      <c r="B105" s="52">
        <v>506.40000000000225</v>
      </c>
      <c r="C105" s="50">
        <v>65.900000000000006</v>
      </c>
      <c r="D105" s="61">
        <f t="shared" si="13"/>
        <v>100.00000000002274</v>
      </c>
      <c r="E105" s="61">
        <f>IFERROR(IF(B105-B104&lt;=0,"",D105/SQRT(Таблица_pr[[#This Row],[Удельное сопротивление грунта, Ом·м]])),D105/SQRT(Таблица_pr[[#This Row],[Удельное сопротивление грунта, Ом·м]]))</f>
        <v>12.318484821005777</v>
      </c>
      <c r="G105" s="189">
        <v>100</v>
      </c>
      <c r="H105" s="185">
        <v>506.40000000000225</v>
      </c>
      <c r="I105" s="183">
        <v>65.900000000000006</v>
      </c>
      <c r="J105" s="180">
        <f t="shared" si="14"/>
        <v>100.00000000002274</v>
      </c>
      <c r="K105" s="61">
        <f>IFERROR(IF(H105-H104&lt;=0,"",J105/SQRT(Таблица_pr1[[#This Row],[Удельное сопротивление грунта, Ом·м]])),J105/SQRT(Таблица_pr1[[#This Row],[Удельное сопротивление грунта, Ом·м]]))</f>
        <v>12.318484821005777</v>
      </c>
      <c r="Q105" s="61" t="str">
        <f>IFERROR(IF(N105-N104&lt;=0,"",P105/SQRT(Таблица_pr2[[#This Row],[Удельное сопротивление грунта, Ом·м]])),P105/SQRT(Таблица_pr2[[#This Row],[Удельное сопротивление грунта, Ом·м]]))</f>
        <v/>
      </c>
      <c r="W105" s="61" t="str">
        <f>IFERROR(IF(T105-T104&lt;=0,"",V105/SQRT(Таблица_pr3[[#This Row],[Удельное сопротивление грунта, Ом·м]])),V105/SQRT(Таблица_pr3[[#This Row],[Удельное сопротивление грунта, Ом·м]]))</f>
        <v/>
      </c>
      <c r="AC105" s="61" t="str">
        <f>IFERROR(IF(Z105-Z104&lt;=0,"",AB105/SQRT(Таблица_pr4[[#This Row],[Удельное сопротивление грунта, Ом·м]])),AB105/SQRT(Таблица_pr4[[#This Row],[Удельное сопротивление грунта, Ом·м]]))</f>
        <v/>
      </c>
      <c r="AI105" s="61" t="str">
        <f>IFERROR(IF(AF105-AF104&lt;=0,"",AH105/SQRT(Таблица_pr5[[#This Row],[Удельное сопротивление грунта, Ом·м]])),AH105/SQRT(Таблица_pr5[[#This Row],[Удельное сопротивление грунта, Ом·м]]))</f>
        <v/>
      </c>
      <c r="AO105" s="61" t="str">
        <f>IFERROR(IF(AL105-AL104&lt;=0,"",AN105/SQRT(Таблица_pr6[[#This Row],[Удельное сопротивление грунта, Ом·м]])),AN105/SQRT(Таблица_pr6[[#This Row],[Удельное сопротивление грунта, Ом·м]]))</f>
        <v/>
      </c>
      <c r="AU105" s="61" t="str">
        <f>IFERROR(IF(AR105-AR104&lt;=0,"",AT105/SQRT(Таблица_pr7[[#This Row],[Удельное сопротивление грунта, Ом·м]])),AT105/SQRT(Таблица_pr7[[#This Row],[Удельное сопротивление грунта, Ом·м]]))</f>
        <v/>
      </c>
      <c r="BA105" s="61" t="str">
        <f>IFERROR(IF(AX105-AX104&lt;=0,"",AZ105/SQRT(Таблица_pr8[[#This Row],[Удельное сопротивление грунта, Ом·м]])),AZ105/SQRT(Таблица_pr8[[#This Row],[Удельное сопротивление грунта, Ом·м]]))</f>
        <v/>
      </c>
      <c r="BC105" s="55"/>
      <c r="BD105" s="52"/>
      <c r="BE105" s="67"/>
      <c r="BG105" s="61" t="str">
        <f>IFERROR(IF(BD105-AX124&lt;=0,"",BF105/SQRT(Таблица_pr9[[#This Row],[Удельное сопротивление грунта, Ом·м]])),BF105/SQRT(Таблица_pr9[[#This Row],[Удельное сопротивление грунта, Ом·м]]))</f>
        <v/>
      </c>
      <c r="BI105" s="51"/>
      <c r="BJ105" s="52"/>
      <c r="BK105" s="50"/>
      <c r="BM105" s="61" t="str">
        <f>IFERROR(IF(BJ105-BD134&lt;=0,"",BL105/SQRT(Таблица_pr10[[#This Row],[Удельное сопротивление грунта, Ом·м]])),BL105/SQRT(Таблица_pr10[[#This Row],[Удельное сопротивление грунта, Ом·м]]))</f>
        <v/>
      </c>
    </row>
    <row r="106" spans="1:65">
      <c r="A106" s="64">
        <v>101</v>
      </c>
      <c r="B106" s="52">
        <v>506.50000000000227</v>
      </c>
      <c r="C106" s="50">
        <v>64.5</v>
      </c>
      <c r="D106" s="61">
        <f t="shared" si="13"/>
        <v>100.00000000002274</v>
      </c>
      <c r="E106" s="61">
        <f>IFERROR(IF(B106-B105&lt;=0,"",D106/SQRT(Таблица_pr[[#This Row],[Удельное сопротивление грунта, Ом·м]])),D106/SQRT(Таблица_pr[[#This Row],[Удельное сопротивление грунта, Ом·м]]))</f>
        <v>12.451456127296638</v>
      </c>
      <c r="G106" s="188">
        <v>101</v>
      </c>
      <c r="H106" s="184">
        <v>506.50000000000227</v>
      </c>
      <c r="I106" s="182">
        <v>64.5</v>
      </c>
      <c r="J106" s="181">
        <f t="shared" si="14"/>
        <v>100.00000000002274</v>
      </c>
      <c r="K106" s="61">
        <f>IFERROR(IF(H106-H105&lt;=0,"",J106/SQRT(Таблица_pr1[[#This Row],[Удельное сопротивление грунта, Ом·м]])),J106/SQRT(Таблица_pr1[[#This Row],[Удельное сопротивление грунта, Ом·м]]))</f>
        <v>12.451456127296638</v>
      </c>
      <c r="Q106" s="61" t="str">
        <f>IFERROR(IF(N106-N105&lt;=0,"",P106/SQRT(Таблица_pr2[[#This Row],[Удельное сопротивление грунта, Ом·м]])),P106/SQRT(Таблица_pr2[[#This Row],[Удельное сопротивление грунта, Ом·м]]))</f>
        <v/>
      </c>
      <c r="W106" s="61" t="str">
        <f>IFERROR(IF(T106-T105&lt;=0,"",V106/SQRT(Таблица_pr3[[#This Row],[Удельное сопротивление грунта, Ом·м]])),V106/SQRT(Таблица_pr3[[#This Row],[Удельное сопротивление грунта, Ом·м]]))</f>
        <v/>
      </c>
      <c r="AC106" s="61" t="str">
        <f>IFERROR(IF(Z106-Z105&lt;=0,"",AB106/SQRT(Таблица_pr4[[#This Row],[Удельное сопротивление грунта, Ом·м]])),AB106/SQRT(Таблица_pr4[[#This Row],[Удельное сопротивление грунта, Ом·м]]))</f>
        <v/>
      </c>
      <c r="AI106" s="61" t="str">
        <f>IFERROR(IF(AF106-AF105&lt;=0,"",AH106/SQRT(Таблица_pr5[[#This Row],[Удельное сопротивление грунта, Ом·м]])),AH106/SQRT(Таблица_pr5[[#This Row],[Удельное сопротивление грунта, Ом·м]]))</f>
        <v/>
      </c>
      <c r="AO106" s="61" t="str">
        <f>IFERROR(IF(AL106-AL105&lt;=0,"",AN106/SQRT(Таблица_pr6[[#This Row],[Удельное сопротивление грунта, Ом·м]])),AN106/SQRT(Таблица_pr6[[#This Row],[Удельное сопротивление грунта, Ом·м]]))</f>
        <v/>
      </c>
      <c r="AU106" s="61" t="str">
        <f>IFERROR(IF(AR106-AR105&lt;=0,"",AT106/SQRT(Таблица_pr7[[#This Row],[Удельное сопротивление грунта, Ом·м]])),AT106/SQRT(Таблица_pr7[[#This Row],[Удельное сопротивление грунта, Ом·м]]))</f>
        <v/>
      </c>
      <c r="BA106" s="61" t="str">
        <f>IFERROR(IF(AX106-AX105&lt;=0,"",AZ106/SQRT(Таблица_pr8[[#This Row],[Удельное сопротивление грунта, Ом·м]])),AZ106/SQRT(Таблица_pr8[[#This Row],[Удельное сопротивление грунта, Ом·м]]))</f>
        <v/>
      </c>
      <c r="BC106" s="55"/>
      <c r="BD106" s="52"/>
      <c r="BE106" s="67"/>
      <c r="BG106" s="61" t="str">
        <f>IFERROR(IF(BD106-AX125&lt;=0,"",BF106/SQRT(Таблица_pr9[[#This Row],[Удельное сопротивление грунта, Ом·м]])),BF106/SQRT(Таблица_pr9[[#This Row],[Удельное сопротивление грунта, Ом·м]]))</f>
        <v/>
      </c>
      <c r="BI106" s="51"/>
      <c r="BJ106" s="52"/>
      <c r="BK106" s="50"/>
      <c r="BM106" s="61" t="str">
        <f>IFERROR(IF(BJ106-BD135&lt;=0,"",BL106/SQRT(Таблица_pr10[[#This Row],[Удельное сопротивление грунта, Ом·м]])),BL106/SQRT(Таблица_pr10[[#This Row],[Удельное сопротивление грунта, Ом·м]]))</f>
        <v/>
      </c>
    </row>
    <row r="107" spans="1:65">
      <c r="A107" s="64">
        <v>102</v>
      </c>
      <c r="B107" s="52">
        <v>506.6000000000023</v>
      </c>
      <c r="C107" s="50">
        <v>59</v>
      </c>
      <c r="D107" s="61">
        <f t="shared" si="13"/>
        <v>100.00000000002274</v>
      </c>
      <c r="E107" s="61">
        <f>IFERROR(IF(B107-B106&lt;=0,"",D107/SQRT(Таблица_pr[[#This Row],[Удельное сопротивление грунта, Ом·м]])),D107/SQRT(Таблица_pr[[#This Row],[Удельное сопротивление грунта, Ом·м]]))</f>
        <v>13.018891098085348</v>
      </c>
      <c r="G107" s="189">
        <v>102</v>
      </c>
      <c r="H107" s="185">
        <v>506.6000000000023</v>
      </c>
      <c r="I107" s="183">
        <v>59</v>
      </c>
      <c r="J107" s="180">
        <f t="shared" si="14"/>
        <v>100.00000000002274</v>
      </c>
      <c r="K107" s="61">
        <f>IFERROR(IF(H107-H106&lt;=0,"",J107/SQRT(Таблица_pr1[[#This Row],[Удельное сопротивление грунта, Ом·м]])),J107/SQRT(Таблица_pr1[[#This Row],[Удельное сопротивление грунта, Ом·м]]))</f>
        <v>13.018891098085348</v>
      </c>
      <c r="Q107" s="61" t="str">
        <f>IFERROR(IF(N107-N106&lt;=0,"",P107/SQRT(Таблица_pr2[[#This Row],[Удельное сопротивление грунта, Ом·м]])),P107/SQRT(Таблица_pr2[[#This Row],[Удельное сопротивление грунта, Ом·м]]))</f>
        <v/>
      </c>
      <c r="W107" s="61" t="str">
        <f>IFERROR(IF(T107-T106&lt;=0,"",V107/SQRT(Таблица_pr3[[#This Row],[Удельное сопротивление грунта, Ом·м]])),V107/SQRT(Таблица_pr3[[#This Row],[Удельное сопротивление грунта, Ом·м]]))</f>
        <v/>
      </c>
      <c r="AC107" s="61" t="str">
        <f>IFERROR(IF(Z107-Z106&lt;=0,"",AB107/SQRT(Таблица_pr4[[#This Row],[Удельное сопротивление грунта, Ом·м]])),AB107/SQRT(Таблица_pr4[[#This Row],[Удельное сопротивление грунта, Ом·м]]))</f>
        <v/>
      </c>
      <c r="AI107" s="61" t="str">
        <f>IFERROR(IF(AF107-AF106&lt;=0,"",AH107/SQRT(Таблица_pr5[[#This Row],[Удельное сопротивление грунта, Ом·м]])),AH107/SQRT(Таблица_pr5[[#This Row],[Удельное сопротивление грунта, Ом·м]]))</f>
        <v/>
      </c>
      <c r="AO107" s="61" t="str">
        <f>IFERROR(IF(AL107-AL106&lt;=0,"",AN107/SQRT(Таблица_pr6[[#This Row],[Удельное сопротивление грунта, Ом·м]])),AN107/SQRT(Таблица_pr6[[#This Row],[Удельное сопротивление грунта, Ом·м]]))</f>
        <v/>
      </c>
      <c r="AU107" s="61" t="str">
        <f>IFERROR(IF(AR107-AR106&lt;=0,"",AT107/SQRT(Таблица_pr7[[#This Row],[Удельное сопротивление грунта, Ом·м]])),AT107/SQRT(Таблица_pr7[[#This Row],[Удельное сопротивление грунта, Ом·м]]))</f>
        <v/>
      </c>
      <c r="BA107" s="61" t="str">
        <f>IFERROR(IF(AX107-AX106&lt;=0,"",AZ107/SQRT(Таблица_pr8[[#This Row],[Удельное сопротивление грунта, Ом·м]])),AZ107/SQRT(Таблица_pr8[[#This Row],[Удельное сопротивление грунта, Ом·м]]))</f>
        <v/>
      </c>
      <c r="BC107" s="55"/>
      <c r="BD107" s="52"/>
      <c r="BE107" s="67"/>
      <c r="BG107" s="61" t="str">
        <f>IFERROR(IF(BD107-AX126&lt;=0,"",BF107/SQRT(Таблица_pr9[[#This Row],[Удельное сопротивление грунта, Ом·м]])),BF107/SQRT(Таблица_pr9[[#This Row],[Удельное сопротивление грунта, Ом·м]]))</f>
        <v/>
      </c>
      <c r="BI107" s="51"/>
      <c r="BJ107" s="52"/>
      <c r="BK107" s="50"/>
      <c r="BM107" s="61" t="str">
        <f>IFERROR(IF(BJ107-BD136&lt;=0,"",BL107/SQRT(Таблица_pr10[[#This Row],[Удельное сопротивление грунта, Ом·м]])),BL107/SQRT(Таблица_pr10[[#This Row],[Удельное сопротивление грунта, Ом·м]]))</f>
        <v/>
      </c>
    </row>
    <row r="108" spans="1:65">
      <c r="A108" s="64">
        <v>103</v>
      </c>
      <c r="B108" s="52">
        <v>506.70000000000232</v>
      </c>
      <c r="C108" s="50">
        <v>61.6</v>
      </c>
      <c r="D108" s="61">
        <f t="shared" si="13"/>
        <v>100.00000000002274</v>
      </c>
      <c r="E108" s="61">
        <f>IFERROR(IF(B108-B107&lt;=0,"",D108/SQRT(Таблица_pr[[#This Row],[Удельное сопротивление грунта, Ом·м]])),D108/SQRT(Таблица_pr[[#This Row],[Удельное сопротивление грунта, Ом·м]]))</f>
        <v>12.741179785943535</v>
      </c>
      <c r="G108" s="188">
        <v>103</v>
      </c>
      <c r="H108" s="184">
        <v>506.70000000000232</v>
      </c>
      <c r="I108" s="182">
        <v>61.6</v>
      </c>
      <c r="J108" s="181">
        <f t="shared" si="14"/>
        <v>100.00000000002274</v>
      </c>
      <c r="K108" s="61">
        <f>IFERROR(IF(H108-H107&lt;=0,"",J108/SQRT(Таблица_pr1[[#This Row],[Удельное сопротивление грунта, Ом·м]])),J108/SQRT(Таблица_pr1[[#This Row],[Удельное сопротивление грунта, Ом·м]]))</f>
        <v>12.741179785943535</v>
      </c>
      <c r="Q108" s="61" t="str">
        <f>IFERROR(IF(N108-N107&lt;=0,"",P108/SQRT(Таблица_pr2[[#This Row],[Удельное сопротивление грунта, Ом·м]])),P108/SQRT(Таблица_pr2[[#This Row],[Удельное сопротивление грунта, Ом·м]]))</f>
        <v/>
      </c>
      <c r="W108" s="61" t="str">
        <f>IFERROR(IF(T108-T107&lt;=0,"",V108/SQRT(Таблица_pr3[[#This Row],[Удельное сопротивление грунта, Ом·м]])),V108/SQRT(Таблица_pr3[[#This Row],[Удельное сопротивление грунта, Ом·м]]))</f>
        <v/>
      </c>
      <c r="AC108" s="61" t="str">
        <f>IFERROR(IF(Z108-Z107&lt;=0,"",AB108/SQRT(Таблица_pr4[[#This Row],[Удельное сопротивление грунта, Ом·м]])),AB108/SQRT(Таблица_pr4[[#This Row],[Удельное сопротивление грунта, Ом·м]]))</f>
        <v/>
      </c>
      <c r="AI108" s="61" t="str">
        <f>IFERROR(IF(AF108-AF107&lt;=0,"",AH108/SQRT(Таблица_pr5[[#This Row],[Удельное сопротивление грунта, Ом·м]])),AH108/SQRT(Таблица_pr5[[#This Row],[Удельное сопротивление грунта, Ом·м]]))</f>
        <v/>
      </c>
      <c r="AO108" s="61" t="str">
        <f>IFERROR(IF(AL108-AL107&lt;=0,"",AN108/SQRT(Таблица_pr6[[#This Row],[Удельное сопротивление грунта, Ом·м]])),AN108/SQRT(Таблица_pr6[[#This Row],[Удельное сопротивление грунта, Ом·м]]))</f>
        <v/>
      </c>
      <c r="AU108" s="61" t="str">
        <f>IFERROR(IF(AR108-AR107&lt;=0,"",AT108/SQRT(Таблица_pr7[[#This Row],[Удельное сопротивление грунта, Ом·м]])),AT108/SQRT(Таблица_pr7[[#This Row],[Удельное сопротивление грунта, Ом·м]]))</f>
        <v/>
      </c>
      <c r="BA108" s="61" t="str">
        <f>IFERROR(IF(AX108-AX107&lt;=0,"",AZ108/SQRT(Таблица_pr8[[#This Row],[Удельное сопротивление грунта, Ом·м]])),AZ108/SQRT(Таблица_pr8[[#This Row],[Удельное сопротивление грунта, Ом·м]]))</f>
        <v/>
      </c>
      <c r="BC108" s="55"/>
      <c r="BD108" s="52"/>
      <c r="BE108" s="67"/>
      <c r="BG108" s="61" t="str">
        <f>IFERROR(IF(BD108-AX127&lt;=0,"",BF108/SQRT(Таблица_pr9[[#This Row],[Удельное сопротивление грунта, Ом·м]])),BF108/SQRT(Таблица_pr9[[#This Row],[Удельное сопротивление грунта, Ом·м]]))</f>
        <v/>
      </c>
      <c r="BI108" s="51"/>
      <c r="BJ108" s="52"/>
      <c r="BK108" s="50"/>
      <c r="BM108" s="61" t="str">
        <f>IFERROR(IF(BJ108-BD137&lt;=0,"",BL108/SQRT(Таблица_pr10[[#This Row],[Удельное сопротивление грунта, Ом·м]])),BL108/SQRT(Таблица_pr10[[#This Row],[Удельное сопротивление грунта, Ом·м]]))</f>
        <v/>
      </c>
    </row>
    <row r="109" spans="1:65">
      <c r="A109" s="64">
        <v>104</v>
      </c>
      <c r="B109" s="52">
        <v>506.80000000000234</v>
      </c>
      <c r="C109" s="50">
        <v>46.3</v>
      </c>
      <c r="D109" s="61">
        <f t="shared" si="13"/>
        <v>100.00000000002274</v>
      </c>
      <c r="E109" s="61">
        <f>IFERROR(IF(B109-B108&lt;=0,"",D109/SQRT(Таблица_pr[[#This Row],[Удельное сопротивление грунта, Ом·м]])),D109/SQRT(Таблица_pr[[#This Row],[Удельное сопротивление грунта, Ом·м]]))</f>
        <v>14.696350614434444</v>
      </c>
      <c r="G109" s="189">
        <v>104</v>
      </c>
      <c r="H109" s="185">
        <v>506.80000000000234</v>
      </c>
      <c r="I109" s="183">
        <v>46.3</v>
      </c>
      <c r="J109" s="180">
        <f t="shared" si="14"/>
        <v>100.00000000002274</v>
      </c>
      <c r="K109" s="61">
        <f>IFERROR(IF(H109-H108&lt;=0,"",J109/SQRT(Таблица_pr1[[#This Row],[Удельное сопротивление грунта, Ом·м]])),J109/SQRT(Таблица_pr1[[#This Row],[Удельное сопротивление грунта, Ом·м]]))</f>
        <v>14.696350614434444</v>
      </c>
      <c r="Q109" s="61" t="str">
        <f>IFERROR(IF(N109-N108&lt;=0,"",P109/SQRT(Таблица_pr2[[#This Row],[Удельное сопротивление грунта, Ом·м]])),P109/SQRT(Таблица_pr2[[#This Row],[Удельное сопротивление грунта, Ом·м]]))</f>
        <v/>
      </c>
      <c r="W109" s="61" t="str">
        <f>IFERROR(IF(T109-T108&lt;=0,"",V109/SQRT(Таблица_pr3[[#This Row],[Удельное сопротивление грунта, Ом·м]])),V109/SQRT(Таблица_pr3[[#This Row],[Удельное сопротивление грунта, Ом·м]]))</f>
        <v/>
      </c>
      <c r="AC109" s="61" t="str">
        <f>IFERROR(IF(Z109-Z108&lt;=0,"",AB109/SQRT(Таблица_pr4[[#This Row],[Удельное сопротивление грунта, Ом·м]])),AB109/SQRT(Таблица_pr4[[#This Row],[Удельное сопротивление грунта, Ом·м]]))</f>
        <v/>
      </c>
      <c r="AI109" s="61" t="str">
        <f>IFERROR(IF(AF109-AF108&lt;=0,"",AH109/SQRT(Таблица_pr5[[#This Row],[Удельное сопротивление грунта, Ом·м]])),AH109/SQRT(Таблица_pr5[[#This Row],[Удельное сопротивление грунта, Ом·м]]))</f>
        <v/>
      </c>
      <c r="AO109" s="61" t="str">
        <f>IFERROR(IF(AL109-AL108&lt;=0,"",AN109/SQRT(Таблица_pr6[[#This Row],[Удельное сопротивление грунта, Ом·м]])),AN109/SQRT(Таблица_pr6[[#This Row],[Удельное сопротивление грунта, Ом·м]]))</f>
        <v/>
      </c>
      <c r="AU109" s="61" t="str">
        <f>IFERROR(IF(AR109-AR108&lt;=0,"",AT109/SQRT(Таблица_pr7[[#This Row],[Удельное сопротивление грунта, Ом·м]])),AT109/SQRT(Таблица_pr7[[#This Row],[Удельное сопротивление грунта, Ом·м]]))</f>
        <v/>
      </c>
      <c r="BA109" s="61" t="str">
        <f>IFERROR(IF(AX109-AX108&lt;=0,"",AZ109/SQRT(Таблица_pr8[[#This Row],[Удельное сопротивление грунта, Ом·м]])),AZ109/SQRT(Таблица_pr8[[#This Row],[Удельное сопротивление грунта, Ом·м]]))</f>
        <v/>
      </c>
      <c r="BC109" s="55"/>
      <c r="BD109" s="52"/>
      <c r="BE109" s="67"/>
      <c r="BG109" s="61" t="str">
        <f>IFERROR(IF(BD109-AX128&lt;=0,"",BF109/SQRT(Таблица_pr9[[#This Row],[Удельное сопротивление грунта, Ом·м]])),BF109/SQRT(Таблица_pr9[[#This Row],[Удельное сопротивление грунта, Ом·м]]))</f>
        <v/>
      </c>
      <c r="BI109" s="51"/>
      <c r="BJ109" s="52"/>
      <c r="BK109" s="50"/>
      <c r="BM109" s="61" t="str">
        <f>IFERROR(IF(BJ109-BD138&lt;=0,"",BL109/SQRT(Таблица_pr10[[#This Row],[Удельное сопротивление грунта, Ом·м]])),BL109/SQRT(Таблица_pr10[[#This Row],[Удельное сопротивление грунта, Ом·м]]))</f>
        <v/>
      </c>
    </row>
    <row r="110" spans="1:65">
      <c r="A110" s="64">
        <v>105</v>
      </c>
      <c r="B110" s="52">
        <v>506.90000000000236</v>
      </c>
      <c r="C110" s="50">
        <v>54.2</v>
      </c>
      <c r="D110" s="61">
        <f t="shared" si="13"/>
        <v>100.00000000002274</v>
      </c>
      <c r="E110" s="61">
        <f>IFERROR(IF(B110-B109&lt;=0,"",D110/SQRT(Таблица_pr[[#This Row],[Удельное сопротивление грунта, Ом·м]])),D110/SQRT(Таблица_pr[[#This Row],[Удельное сопротивление грунта, Ом·м]]))</f>
        <v>13.58314562310712</v>
      </c>
      <c r="G110" s="188">
        <v>105</v>
      </c>
      <c r="H110" s="184">
        <v>506.90000000000236</v>
      </c>
      <c r="I110" s="182">
        <v>54.2</v>
      </c>
      <c r="J110" s="181">
        <f t="shared" si="14"/>
        <v>100.00000000002274</v>
      </c>
      <c r="K110" s="61">
        <f>IFERROR(IF(H110-H109&lt;=0,"",J110/SQRT(Таблица_pr1[[#This Row],[Удельное сопротивление грунта, Ом·м]])),J110/SQRT(Таблица_pr1[[#This Row],[Удельное сопротивление грунта, Ом·м]]))</f>
        <v>13.58314562310712</v>
      </c>
      <c r="Q110" s="61" t="str">
        <f>IFERROR(IF(N110-N109&lt;=0,"",P110/SQRT(Таблица_pr2[[#This Row],[Удельное сопротивление грунта, Ом·м]])),P110/SQRT(Таблица_pr2[[#This Row],[Удельное сопротивление грунта, Ом·м]]))</f>
        <v/>
      </c>
      <c r="W110" s="61" t="str">
        <f>IFERROR(IF(T110-T109&lt;=0,"",V110/SQRT(Таблица_pr3[[#This Row],[Удельное сопротивление грунта, Ом·м]])),V110/SQRT(Таблица_pr3[[#This Row],[Удельное сопротивление грунта, Ом·м]]))</f>
        <v/>
      </c>
      <c r="AC110" s="61" t="str">
        <f>IFERROR(IF(Z110-Z109&lt;=0,"",AB110/SQRT(Таблица_pr4[[#This Row],[Удельное сопротивление грунта, Ом·м]])),AB110/SQRT(Таблица_pr4[[#This Row],[Удельное сопротивление грунта, Ом·м]]))</f>
        <v/>
      </c>
      <c r="AI110" s="61" t="str">
        <f>IFERROR(IF(AF110-AF109&lt;=0,"",AH110/SQRT(Таблица_pr5[[#This Row],[Удельное сопротивление грунта, Ом·м]])),AH110/SQRT(Таблица_pr5[[#This Row],[Удельное сопротивление грунта, Ом·м]]))</f>
        <v/>
      </c>
      <c r="AO110" s="61" t="str">
        <f>IFERROR(IF(AL110-AL109&lt;=0,"",AN110/SQRT(Таблица_pr6[[#This Row],[Удельное сопротивление грунта, Ом·м]])),AN110/SQRT(Таблица_pr6[[#This Row],[Удельное сопротивление грунта, Ом·м]]))</f>
        <v/>
      </c>
      <c r="AU110" s="61" t="str">
        <f>IFERROR(IF(AR110-AR109&lt;=0,"",AT110/SQRT(Таблица_pr7[[#This Row],[Удельное сопротивление грунта, Ом·м]])),AT110/SQRT(Таблица_pr7[[#This Row],[Удельное сопротивление грунта, Ом·м]]))</f>
        <v/>
      </c>
      <c r="BA110" s="61" t="str">
        <f>IFERROR(IF(AX110-AX109&lt;=0,"",AZ110/SQRT(Таблица_pr8[[#This Row],[Удельное сопротивление грунта, Ом·м]])),AZ110/SQRT(Таблица_pr8[[#This Row],[Удельное сопротивление грунта, Ом·м]]))</f>
        <v/>
      </c>
      <c r="BC110" s="55"/>
      <c r="BD110" s="52"/>
      <c r="BE110" s="67"/>
      <c r="BG110" s="61" t="str">
        <f>IFERROR(IF(BD110-AX129&lt;=0,"",BF110/SQRT(Таблица_pr9[[#This Row],[Удельное сопротивление грунта, Ом·м]])),BF110/SQRT(Таблица_pr9[[#This Row],[Удельное сопротивление грунта, Ом·м]]))</f>
        <v/>
      </c>
      <c r="BI110" s="51"/>
      <c r="BJ110" s="52"/>
      <c r="BK110" s="50"/>
      <c r="BM110" s="61" t="str">
        <f>IFERROR(IF(BJ110-BD139&lt;=0,"",BL110/SQRT(Таблица_pr10[[#This Row],[Удельное сопротивление грунта, Ом·м]])),BL110/SQRT(Таблица_pr10[[#This Row],[Удельное сопротивление грунта, Ом·м]]))</f>
        <v/>
      </c>
    </row>
    <row r="111" spans="1:65">
      <c r="A111" s="64">
        <v>106</v>
      </c>
      <c r="B111" s="52">
        <v>507.00000000000239</v>
      </c>
      <c r="C111" s="50">
        <v>48.3</v>
      </c>
      <c r="D111" s="61">
        <f t="shared" si="13"/>
        <v>100.00000000002274</v>
      </c>
      <c r="E111" s="61">
        <f>IFERROR(IF(B111-B110&lt;=0,"",D111/SQRT(Таблица_pr[[#This Row],[Удельное сопротивление грунта, Ом·м]])),D111/SQRT(Таблица_pr[[#This Row],[Удельное сопротивление грунта, Ом·м]]))</f>
        <v>14.388861576727127</v>
      </c>
      <c r="G111" s="189">
        <v>106</v>
      </c>
      <c r="H111" s="185">
        <v>507.00000000000239</v>
      </c>
      <c r="I111" s="183">
        <v>48.3</v>
      </c>
      <c r="J111" s="180">
        <f t="shared" si="14"/>
        <v>100.00000000002274</v>
      </c>
      <c r="K111" s="61">
        <f>IFERROR(IF(H111-H110&lt;=0,"",J111/SQRT(Таблица_pr1[[#This Row],[Удельное сопротивление грунта, Ом·м]])),J111/SQRT(Таблица_pr1[[#This Row],[Удельное сопротивление грунта, Ом·м]]))</f>
        <v>14.388861576727127</v>
      </c>
      <c r="Q111" s="61" t="str">
        <f>IFERROR(IF(N111-N110&lt;=0,"",P111/SQRT(Таблица_pr2[[#This Row],[Удельное сопротивление грунта, Ом·м]])),P111/SQRT(Таблица_pr2[[#This Row],[Удельное сопротивление грунта, Ом·м]]))</f>
        <v/>
      </c>
      <c r="W111" s="61" t="str">
        <f>IFERROR(IF(T111-T110&lt;=0,"",V111/SQRT(Таблица_pr3[[#This Row],[Удельное сопротивление грунта, Ом·м]])),V111/SQRT(Таблица_pr3[[#This Row],[Удельное сопротивление грунта, Ом·м]]))</f>
        <v/>
      </c>
      <c r="AC111" s="61" t="str">
        <f>IFERROR(IF(Z111-Z110&lt;=0,"",AB111/SQRT(Таблица_pr4[[#This Row],[Удельное сопротивление грунта, Ом·м]])),AB111/SQRT(Таблица_pr4[[#This Row],[Удельное сопротивление грунта, Ом·м]]))</f>
        <v/>
      </c>
      <c r="AI111" s="61" t="str">
        <f>IFERROR(IF(AF111-AF110&lt;=0,"",AH111/SQRT(Таблица_pr5[[#This Row],[Удельное сопротивление грунта, Ом·м]])),AH111/SQRT(Таблица_pr5[[#This Row],[Удельное сопротивление грунта, Ом·м]]))</f>
        <v/>
      </c>
      <c r="AO111" s="61" t="str">
        <f>IFERROR(IF(AL111-AL110&lt;=0,"",AN111/SQRT(Таблица_pr6[[#This Row],[Удельное сопротивление грунта, Ом·м]])),AN111/SQRT(Таблица_pr6[[#This Row],[Удельное сопротивление грунта, Ом·м]]))</f>
        <v/>
      </c>
      <c r="AU111" s="61" t="str">
        <f>IFERROR(IF(AR111-AR110&lt;=0,"",AT111/SQRT(Таблица_pr7[[#This Row],[Удельное сопротивление грунта, Ом·м]])),AT111/SQRT(Таблица_pr7[[#This Row],[Удельное сопротивление грунта, Ом·м]]))</f>
        <v/>
      </c>
      <c r="BA111" s="61" t="str">
        <f>IFERROR(IF(AX111-AX110&lt;=0,"",AZ111/SQRT(Таблица_pr8[[#This Row],[Удельное сопротивление грунта, Ом·м]])),AZ111/SQRT(Таблица_pr8[[#This Row],[Удельное сопротивление грунта, Ом·м]]))</f>
        <v/>
      </c>
      <c r="BC111" s="55"/>
      <c r="BD111" s="52"/>
      <c r="BE111" s="67"/>
      <c r="BG111" s="61" t="str">
        <f>IFERROR(IF(BD111-AX130&lt;=0,"",BF111/SQRT(Таблица_pr9[[#This Row],[Удельное сопротивление грунта, Ом·м]])),BF111/SQRT(Таблица_pr9[[#This Row],[Удельное сопротивление грунта, Ом·м]]))</f>
        <v/>
      </c>
      <c r="BI111" s="51"/>
      <c r="BJ111" s="52"/>
      <c r="BK111" s="50"/>
      <c r="BM111" s="61" t="str">
        <f>IFERROR(IF(BJ111-BD140&lt;=0,"",BL111/SQRT(Таблица_pr10[[#This Row],[Удельное сопротивление грунта, Ом·м]])),BL111/SQRT(Таблица_pr10[[#This Row],[Удельное сопротивление грунта, Ом·м]]))</f>
        <v/>
      </c>
    </row>
    <row r="112" spans="1:65">
      <c r="A112" s="64">
        <v>107</v>
      </c>
      <c r="B112" s="52">
        <v>507.10000000000241</v>
      </c>
      <c r="C112" s="50">
        <v>92.9</v>
      </c>
      <c r="D112" s="61">
        <f t="shared" si="13"/>
        <v>100.00000000002274</v>
      </c>
      <c r="E112" s="61">
        <f>IFERROR(IF(B112-B111&lt;=0,"",D112/SQRT(Таблица_pr[[#This Row],[Удельное сопротивление грунта, Ом·м]])),D112/SQRT(Таблица_pr[[#This Row],[Удельное сопротивление грунта, Ом·м]]))</f>
        <v>10.375096456425601</v>
      </c>
      <c r="G112" s="188">
        <v>107</v>
      </c>
      <c r="H112" s="184">
        <v>507.10000000000241</v>
      </c>
      <c r="I112" s="182">
        <v>92.9</v>
      </c>
      <c r="J112" s="181">
        <f t="shared" si="14"/>
        <v>100.00000000002274</v>
      </c>
      <c r="K112" s="61">
        <f>IFERROR(IF(H112-H111&lt;=0,"",J112/SQRT(Таблица_pr1[[#This Row],[Удельное сопротивление грунта, Ом·м]])),J112/SQRT(Таблица_pr1[[#This Row],[Удельное сопротивление грунта, Ом·м]]))</f>
        <v>10.375096456425601</v>
      </c>
      <c r="Q112" s="61" t="str">
        <f>IFERROR(IF(N112-N111&lt;=0,"",P112/SQRT(Таблица_pr2[[#This Row],[Удельное сопротивление грунта, Ом·м]])),P112/SQRT(Таблица_pr2[[#This Row],[Удельное сопротивление грунта, Ом·м]]))</f>
        <v/>
      </c>
      <c r="W112" s="61" t="str">
        <f>IFERROR(IF(T112-T111&lt;=0,"",V112/SQRT(Таблица_pr3[[#This Row],[Удельное сопротивление грунта, Ом·м]])),V112/SQRT(Таблица_pr3[[#This Row],[Удельное сопротивление грунта, Ом·м]]))</f>
        <v/>
      </c>
      <c r="AC112" s="61" t="str">
        <f>IFERROR(IF(Z112-Z111&lt;=0,"",AB112/SQRT(Таблица_pr4[[#This Row],[Удельное сопротивление грунта, Ом·м]])),AB112/SQRT(Таблица_pr4[[#This Row],[Удельное сопротивление грунта, Ом·м]]))</f>
        <v/>
      </c>
      <c r="AI112" s="61" t="str">
        <f>IFERROR(IF(AF112-AF111&lt;=0,"",AH112/SQRT(Таблица_pr5[[#This Row],[Удельное сопротивление грунта, Ом·м]])),AH112/SQRT(Таблица_pr5[[#This Row],[Удельное сопротивление грунта, Ом·м]]))</f>
        <v/>
      </c>
      <c r="AO112" s="61" t="str">
        <f>IFERROR(IF(AL112-AL111&lt;=0,"",AN112/SQRT(Таблица_pr6[[#This Row],[Удельное сопротивление грунта, Ом·м]])),AN112/SQRT(Таблица_pr6[[#This Row],[Удельное сопротивление грунта, Ом·м]]))</f>
        <v/>
      </c>
      <c r="AU112" s="61" t="str">
        <f>IFERROR(IF(AR112-AR111&lt;=0,"",AT112/SQRT(Таблица_pr7[[#This Row],[Удельное сопротивление грунта, Ом·м]])),AT112/SQRT(Таблица_pr7[[#This Row],[Удельное сопротивление грунта, Ом·м]]))</f>
        <v/>
      </c>
      <c r="BA112" s="61" t="str">
        <f>IFERROR(IF(AX112-AX111&lt;=0,"",AZ112/SQRT(Таблица_pr8[[#This Row],[Удельное сопротивление грунта, Ом·м]])),AZ112/SQRT(Таблица_pr8[[#This Row],[Удельное сопротивление грунта, Ом·м]]))</f>
        <v/>
      </c>
      <c r="BC112" s="55"/>
      <c r="BD112" s="52"/>
      <c r="BE112" s="67"/>
      <c r="BG112" s="61" t="str">
        <f>IFERROR(IF(BD112-AX131&lt;=0,"",BF112/SQRT(Таблица_pr9[[#This Row],[Удельное сопротивление грунта, Ом·м]])),BF112/SQRT(Таблица_pr9[[#This Row],[Удельное сопротивление грунта, Ом·м]]))</f>
        <v/>
      </c>
      <c r="BI112" s="51"/>
      <c r="BJ112" s="52"/>
      <c r="BK112" s="50"/>
      <c r="BM112" s="61" t="str">
        <f>IFERROR(IF(BJ112-BD141&lt;=0,"",BL112/SQRT(Таблица_pr10[[#This Row],[Удельное сопротивление грунта, Ом·м]])),BL112/SQRT(Таблица_pr10[[#This Row],[Удельное сопротивление грунта, Ом·м]]))</f>
        <v/>
      </c>
    </row>
    <row r="113" spans="1:65">
      <c r="A113" s="64">
        <v>108</v>
      </c>
      <c r="B113" s="52">
        <v>507.20000000000243</v>
      </c>
      <c r="C113" s="50">
        <v>45.9</v>
      </c>
      <c r="D113" s="61">
        <f t="shared" si="13"/>
        <v>100.00000000002274</v>
      </c>
      <c r="E113" s="61">
        <f>IFERROR(IF(B113-B112&lt;=0,"",D113/SQRT(Таблица_pr[[#This Row],[Удельное сопротивление грунта, Ом·м]])),D113/SQRT(Таблица_pr[[#This Row],[Удельное сопротивление грунта, Ом·м]]))</f>
        <v>14.760248092338278</v>
      </c>
      <c r="G113" s="189">
        <v>108</v>
      </c>
      <c r="H113" s="185">
        <v>507.20000000000243</v>
      </c>
      <c r="I113" s="183">
        <v>45.9</v>
      </c>
      <c r="J113" s="180">
        <f t="shared" si="14"/>
        <v>100.00000000002274</v>
      </c>
      <c r="K113" s="61">
        <f>IFERROR(IF(H113-H112&lt;=0,"",J113/SQRT(Таблица_pr1[[#This Row],[Удельное сопротивление грунта, Ом·м]])),J113/SQRT(Таблица_pr1[[#This Row],[Удельное сопротивление грунта, Ом·м]]))</f>
        <v>14.760248092338278</v>
      </c>
      <c r="Q113" s="61" t="str">
        <f>IFERROR(IF(N113-N112&lt;=0,"",P113/SQRT(Таблица_pr2[[#This Row],[Удельное сопротивление грунта, Ом·м]])),P113/SQRT(Таблица_pr2[[#This Row],[Удельное сопротивление грунта, Ом·м]]))</f>
        <v/>
      </c>
      <c r="W113" s="61" t="str">
        <f>IFERROR(IF(T113-T112&lt;=0,"",V113/SQRT(Таблица_pr3[[#This Row],[Удельное сопротивление грунта, Ом·м]])),V113/SQRT(Таблица_pr3[[#This Row],[Удельное сопротивление грунта, Ом·м]]))</f>
        <v/>
      </c>
      <c r="AC113" s="61" t="str">
        <f>IFERROR(IF(Z113-Z112&lt;=0,"",AB113/SQRT(Таблица_pr4[[#This Row],[Удельное сопротивление грунта, Ом·м]])),AB113/SQRT(Таблица_pr4[[#This Row],[Удельное сопротивление грунта, Ом·м]]))</f>
        <v/>
      </c>
      <c r="AI113" s="61" t="str">
        <f>IFERROR(IF(AF113-AF112&lt;=0,"",AH113/SQRT(Таблица_pr5[[#This Row],[Удельное сопротивление грунта, Ом·м]])),AH113/SQRT(Таблица_pr5[[#This Row],[Удельное сопротивление грунта, Ом·м]]))</f>
        <v/>
      </c>
      <c r="AO113" s="61" t="str">
        <f>IFERROR(IF(AL113-AL112&lt;=0,"",AN113/SQRT(Таблица_pr6[[#This Row],[Удельное сопротивление грунта, Ом·м]])),AN113/SQRT(Таблица_pr6[[#This Row],[Удельное сопротивление грунта, Ом·м]]))</f>
        <v/>
      </c>
      <c r="AU113" s="61" t="str">
        <f>IFERROR(IF(AR113-AR112&lt;=0,"",AT113/SQRT(Таблица_pr7[[#This Row],[Удельное сопротивление грунта, Ом·м]])),AT113/SQRT(Таблица_pr7[[#This Row],[Удельное сопротивление грунта, Ом·м]]))</f>
        <v/>
      </c>
      <c r="BA113" s="61" t="str">
        <f>IFERROR(IF(AX113-AX112&lt;=0,"",AZ113/SQRT(Таблица_pr8[[#This Row],[Удельное сопротивление грунта, Ом·м]])),AZ113/SQRT(Таблица_pr8[[#This Row],[Удельное сопротивление грунта, Ом·м]]))</f>
        <v/>
      </c>
      <c r="BC113" s="55"/>
      <c r="BD113" s="52"/>
      <c r="BE113" s="67"/>
      <c r="BG113" s="61" t="str">
        <f>IFERROR(IF(BD113-AX132&lt;=0,"",BF113/SQRT(Таблица_pr9[[#This Row],[Удельное сопротивление грунта, Ом·м]])),BF113/SQRT(Таблица_pr9[[#This Row],[Удельное сопротивление грунта, Ом·м]]))</f>
        <v/>
      </c>
      <c r="BI113" s="51"/>
      <c r="BJ113" s="52"/>
      <c r="BK113" s="50"/>
      <c r="BM113" s="61" t="str">
        <f>IFERROR(IF(BJ113-BD142&lt;=0,"",BL113/SQRT(Таблица_pr10[[#This Row],[Удельное сопротивление грунта, Ом·м]])),BL113/SQRT(Таблица_pr10[[#This Row],[Удельное сопротивление грунта, Ом·м]]))</f>
        <v/>
      </c>
    </row>
    <row r="114" spans="1:65">
      <c r="A114" s="64">
        <v>109</v>
      </c>
      <c r="B114" s="52">
        <v>507.30000000000246</v>
      </c>
      <c r="C114" s="50">
        <v>44.4</v>
      </c>
      <c r="D114" s="61">
        <f t="shared" si="13"/>
        <v>100.00000000002274</v>
      </c>
      <c r="E114" s="61">
        <f>IFERROR(IF(B114-B113&lt;=0,"",D114/SQRT(Таблица_pr[[#This Row],[Удельное сопротивление грунта, Ом·м]])),D114/SQRT(Таблица_pr[[#This Row],[Удельное сопротивление грунта, Ом·м]]))</f>
        <v>15.007505629695018</v>
      </c>
      <c r="G114" s="188">
        <v>109</v>
      </c>
      <c r="H114" s="184">
        <v>507.30000000000246</v>
      </c>
      <c r="I114" s="182">
        <v>44.4</v>
      </c>
      <c r="J114" s="181">
        <f t="shared" si="14"/>
        <v>100.00000000002274</v>
      </c>
      <c r="K114" s="61">
        <f>IFERROR(IF(H114-H113&lt;=0,"",J114/SQRT(Таблица_pr1[[#This Row],[Удельное сопротивление грунта, Ом·м]])),J114/SQRT(Таблица_pr1[[#This Row],[Удельное сопротивление грунта, Ом·м]]))</f>
        <v>15.007505629695018</v>
      </c>
      <c r="Q114" s="61" t="str">
        <f>IFERROR(IF(N114-N113&lt;=0,"",P114/SQRT(Таблица_pr2[[#This Row],[Удельное сопротивление грунта, Ом·м]])),P114/SQRT(Таблица_pr2[[#This Row],[Удельное сопротивление грунта, Ом·м]]))</f>
        <v/>
      </c>
      <c r="W114" s="61" t="str">
        <f>IFERROR(IF(T114-T113&lt;=0,"",V114/SQRT(Таблица_pr3[[#This Row],[Удельное сопротивление грунта, Ом·м]])),V114/SQRT(Таблица_pr3[[#This Row],[Удельное сопротивление грунта, Ом·м]]))</f>
        <v/>
      </c>
      <c r="AC114" s="61" t="str">
        <f>IFERROR(IF(Z114-Z113&lt;=0,"",AB114/SQRT(Таблица_pr4[[#This Row],[Удельное сопротивление грунта, Ом·м]])),AB114/SQRT(Таблица_pr4[[#This Row],[Удельное сопротивление грунта, Ом·м]]))</f>
        <v/>
      </c>
      <c r="AI114" s="61" t="str">
        <f>IFERROR(IF(AF114-AF113&lt;=0,"",AH114/SQRT(Таблица_pr5[[#This Row],[Удельное сопротивление грунта, Ом·м]])),AH114/SQRT(Таблица_pr5[[#This Row],[Удельное сопротивление грунта, Ом·м]]))</f>
        <v/>
      </c>
      <c r="AO114" s="61" t="str">
        <f>IFERROR(IF(AL114-AL113&lt;=0,"",AN114/SQRT(Таблица_pr6[[#This Row],[Удельное сопротивление грунта, Ом·м]])),AN114/SQRT(Таблица_pr6[[#This Row],[Удельное сопротивление грунта, Ом·м]]))</f>
        <v/>
      </c>
      <c r="AU114" s="61" t="str">
        <f>IFERROR(IF(AR114-AR113&lt;=0,"",AT114/SQRT(Таблица_pr7[[#This Row],[Удельное сопротивление грунта, Ом·м]])),AT114/SQRT(Таблица_pr7[[#This Row],[Удельное сопротивление грунта, Ом·м]]))</f>
        <v/>
      </c>
      <c r="BA114" s="61" t="str">
        <f>IFERROR(IF(AX114-AX113&lt;=0,"",AZ114/SQRT(Таблица_pr8[[#This Row],[Удельное сопротивление грунта, Ом·м]])),AZ114/SQRT(Таблица_pr8[[#This Row],[Удельное сопротивление грунта, Ом·м]]))</f>
        <v/>
      </c>
      <c r="BC114" s="55"/>
      <c r="BD114" s="52"/>
      <c r="BE114" s="67"/>
      <c r="BG114" s="61" t="str">
        <f>IFERROR(IF(BD114-AX133&lt;=0,"",BF114/SQRT(Таблица_pr9[[#This Row],[Удельное сопротивление грунта, Ом·м]])),BF114/SQRT(Таблица_pr9[[#This Row],[Удельное сопротивление грунта, Ом·м]]))</f>
        <v/>
      </c>
      <c r="BI114" s="51"/>
      <c r="BJ114" s="52"/>
      <c r="BK114" s="50"/>
      <c r="BM114" s="61" t="str">
        <f>IFERROR(IF(BJ114-BD143&lt;=0,"",BL114/SQRT(Таблица_pr10[[#This Row],[Удельное сопротивление грунта, Ом·м]])),BL114/SQRT(Таблица_pr10[[#This Row],[Удельное сопротивление грунта, Ом·м]]))</f>
        <v/>
      </c>
    </row>
    <row r="115" spans="1:65">
      <c r="A115" s="64">
        <v>110</v>
      </c>
      <c r="B115" s="52">
        <v>507.40000000000248</v>
      </c>
      <c r="C115" s="50">
        <v>39.1</v>
      </c>
      <c r="D115" s="61">
        <f t="shared" si="13"/>
        <v>100.00000000002274</v>
      </c>
      <c r="E115" s="61">
        <f>IFERROR(IF(B115-B114&lt;=0,"",D115/SQRT(Таблица_pr[[#This Row],[Удельное сопротивление грунта, Ом·м]])),D115/SQRT(Таблица_pr[[#This Row],[Удельное сопротивление грунта, Ом·м]]))</f>
        <v>15.992325525183668</v>
      </c>
      <c r="G115" s="189">
        <v>110</v>
      </c>
      <c r="H115" s="185">
        <v>507.40000000000248</v>
      </c>
      <c r="I115" s="183">
        <v>39.1</v>
      </c>
      <c r="J115" s="180">
        <f t="shared" si="14"/>
        <v>100.00000000002274</v>
      </c>
      <c r="K115" s="61">
        <f>IFERROR(IF(H115-H114&lt;=0,"",J115/SQRT(Таблица_pr1[[#This Row],[Удельное сопротивление грунта, Ом·м]])),J115/SQRT(Таблица_pr1[[#This Row],[Удельное сопротивление грунта, Ом·м]]))</f>
        <v>15.992325525183668</v>
      </c>
      <c r="Q115" s="61" t="str">
        <f>IFERROR(IF(N115-N114&lt;=0,"",P115/SQRT(Таблица_pr2[[#This Row],[Удельное сопротивление грунта, Ом·м]])),P115/SQRT(Таблица_pr2[[#This Row],[Удельное сопротивление грунта, Ом·м]]))</f>
        <v/>
      </c>
      <c r="W115" s="61" t="str">
        <f>IFERROR(IF(T115-T114&lt;=0,"",V115/SQRT(Таблица_pr3[[#This Row],[Удельное сопротивление грунта, Ом·м]])),V115/SQRT(Таблица_pr3[[#This Row],[Удельное сопротивление грунта, Ом·м]]))</f>
        <v/>
      </c>
      <c r="AC115" s="61" t="str">
        <f>IFERROR(IF(Z115-Z114&lt;=0,"",AB115/SQRT(Таблица_pr4[[#This Row],[Удельное сопротивление грунта, Ом·м]])),AB115/SQRT(Таблица_pr4[[#This Row],[Удельное сопротивление грунта, Ом·м]]))</f>
        <v/>
      </c>
      <c r="AI115" s="61" t="str">
        <f>IFERROR(IF(AF115-AF114&lt;=0,"",AH115/SQRT(Таблица_pr5[[#This Row],[Удельное сопротивление грунта, Ом·м]])),AH115/SQRT(Таблица_pr5[[#This Row],[Удельное сопротивление грунта, Ом·м]]))</f>
        <v/>
      </c>
      <c r="AO115" s="61" t="str">
        <f>IFERROR(IF(AL115-AL114&lt;=0,"",AN115/SQRT(Таблица_pr6[[#This Row],[Удельное сопротивление грунта, Ом·м]])),AN115/SQRT(Таблица_pr6[[#This Row],[Удельное сопротивление грунта, Ом·м]]))</f>
        <v/>
      </c>
      <c r="AU115" s="61" t="str">
        <f>IFERROR(IF(AR115-AR114&lt;=0,"",AT115/SQRT(Таблица_pr7[[#This Row],[Удельное сопротивление грунта, Ом·м]])),AT115/SQRT(Таблица_pr7[[#This Row],[Удельное сопротивление грунта, Ом·м]]))</f>
        <v/>
      </c>
      <c r="BA115" s="61" t="str">
        <f>IFERROR(IF(AX115-AX114&lt;=0,"",AZ115/SQRT(Таблица_pr8[[#This Row],[Удельное сопротивление грунта, Ом·м]])),AZ115/SQRT(Таблица_pr8[[#This Row],[Удельное сопротивление грунта, Ом·м]]))</f>
        <v/>
      </c>
      <c r="BC115" s="55"/>
      <c r="BD115" s="52"/>
      <c r="BE115" s="67"/>
      <c r="BG115" s="61" t="str">
        <f>IFERROR(IF(BD115-AX134&lt;=0,"",BF115/SQRT(Таблица_pr9[[#This Row],[Удельное сопротивление грунта, Ом·м]])),BF115/SQRT(Таблица_pr9[[#This Row],[Удельное сопротивление грунта, Ом·м]]))</f>
        <v/>
      </c>
      <c r="BI115" s="51"/>
      <c r="BJ115" s="52"/>
      <c r="BK115" s="50"/>
      <c r="BM115" s="61" t="str">
        <f>IFERROR(IF(BJ115-BD144&lt;=0,"",BL115/SQRT(Таблица_pr10[[#This Row],[Удельное сопротивление грунта, Ом·м]])),BL115/SQRT(Таблица_pr10[[#This Row],[Удельное сопротивление грунта, Ом·м]]))</f>
        <v/>
      </c>
    </row>
    <row r="116" spans="1:65">
      <c r="A116" s="64">
        <v>111</v>
      </c>
      <c r="B116" s="52">
        <v>507.5000000000025</v>
      </c>
      <c r="C116" s="50">
        <v>35.200000000000003</v>
      </c>
      <c r="D116" s="61">
        <f t="shared" si="13"/>
        <v>100.00000000002274</v>
      </c>
      <c r="E116" s="61">
        <f>IFERROR(IF(B116-B115&lt;=0,"",D116/SQRT(Таблица_pr[[#This Row],[Удельное сопротивление грунта, Ом·м]])),D116/SQRT(Таблица_pr[[#This Row],[Удельное сопротивление грунта, Ом·м]]))</f>
        <v>16.854996561584883</v>
      </c>
      <c r="G116" s="188">
        <v>111</v>
      </c>
      <c r="H116" s="184">
        <v>507.5000000000025</v>
      </c>
      <c r="I116" s="182">
        <v>35.200000000000003</v>
      </c>
      <c r="J116" s="181">
        <f t="shared" si="14"/>
        <v>100.00000000002274</v>
      </c>
      <c r="K116" s="61">
        <f>IFERROR(IF(H116-H115&lt;=0,"",J116/SQRT(Таблица_pr1[[#This Row],[Удельное сопротивление грунта, Ом·м]])),J116/SQRT(Таблица_pr1[[#This Row],[Удельное сопротивление грунта, Ом·м]]))</f>
        <v>16.854996561584883</v>
      </c>
      <c r="Q116" s="61" t="str">
        <f>IFERROR(IF(N116-N115&lt;=0,"",P116/SQRT(Таблица_pr2[[#This Row],[Удельное сопротивление грунта, Ом·м]])),P116/SQRT(Таблица_pr2[[#This Row],[Удельное сопротивление грунта, Ом·м]]))</f>
        <v/>
      </c>
      <c r="W116" s="61" t="str">
        <f>IFERROR(IF(T116-T115&lt;=0,"",V116/SQRT(Таблица_pr3[[#This Row],[Удельное сопротивление грунта, Ом·м]])),V116/SQRT(Таблица_pr3[[#This Row],[Удельное сопротивление грунта, Ом·м]]))</f>
        <v/>
      </c>
      <c r="AC116" s="61" t="str">
        <f>IFERROR(IF(Z116-Z115&lt;=0,"",AB116/SQRT(Таблица_pr4[[#This Row],[Удельное сопротивление грунта, Ом·м]])),AB116/SQRT(Таблица_pr4[[#This Row],[Удельное сопротивление грунта, Ом·м]]))</f>
        <v/>
      </c>
      <c r="AI116" s="61" t="str">
        <f>IFERROR(IF(AF116-AF115&lt;=0,"",AH116/SQRT(Таблица_pr5[[#This Row],[Удельное сопротивление грунта, Ом·м]])),AH116/SQRT(Таблица_pr5[[#This Row],[Удельное сопротивление грунта, Ом·м]]))</f>
        <v/>
      </c>
      <c r="AO116" s="61" t="str">
        <f>IFERROR(IF(AL116-AL115&lt;=0,"",AN116/SQRT(Таблица_pr6[[#This Row],[Удельное сопротивление грунта, Ом·м]])),AN116/SQRT(Таблица_pr6[[#This Row],[Удельное сопротивление грунта, Ом·м]]))</f>
        <v/>
      </c>
      <c r="AU116" s="61" t="str">
        <f>IFERROR(IF(AR116-AR115&lt;=0,"",AT116/SQRT(Таблица_pr7[[#This Row],[Удельное сопротивление грунта, Ом·м]])),AT116/SQRT(Таблица_pr7[[#This Row],[Удельное сопротивление грунта, Ом·м]]))</f>
        <v/>
      </c>
      <c r="BA116" s="61" t="str">
        <f>IFERROR(IF(AX116-AX115&lt;=0,"",AZ116/SQRT(Таблица_pr8[[#This Row],[Удельное сопротивление грунта, Ом·м]])),AZ116/SQRT(Таблица_pr8[[#This Row],[Удельное сопротивление грунта, Ом·м]]))</f>
        <v/>
      </c>
      <c r="BC116" s="55"/>
      <c r="BD116" s="52"/>
      <c r="BE116" s="67"/>
      <c r="BG116" s="61" t="str">
        <f>IFERROR(IF(BD116-AX135&lt;=0,"",BF116/SQRT(Таблица_pr9[[#This Row],[Удельное сопротивление грунта, Ом·м]])),BF116/SQRT(Таблица_pr9[[#This Row],[Удельное сопротивление грунта, Ом·м]]))</f>
        <v/>
      </c>
      <c r="BI116" s="51"/>
      <c r="BJ116" s="52"/>
      <c r="BK116" s="50"/>
      <c r="BM116" s="61" t="str">
        <f>IFERROR(IF(BJ116-BD145&lt;=0,"",BL116/SQRT(Таблица_pr10[[#This Row],[Удельное сопротивление грунта, Ом·м]])),BL116/SQRT(Таблица_pr10[[#This Row],[Удельное сопротивление грунта, Ом·м]]))</f>
        <v/>
      </c>
    </row>
    <row r="117" spans="1:65">
      <c r="A117" s="64">
        <v>112</v>
      </c>
      <c r="B117" s="52">
        <v>507.60000000000252</v>
      </c>
      <c r="C117" s="50">
        <v>38.9</v>
      </c>
      <c r="D117" s="61">
        <f t="shared" si="13"/>
        <v>100.00000000002274</v>
      </c>
      <c r="E117" s="61">
        <f>IFERROR(IF(B117-B116&lt;=0,"",D117/SQRT(Таблица_pr[[#This Row],[Удельное сопротивление грунта, Ом·м]])),D117/SQRT(Таблица_pr[[#This Row],[Удельное сопротивление грунта, Ом·м]]))</f>
        <v>16.033384194875293</v>
      </c>
      <c r="G117" s="189">
        <v>112</v>
      </c>
      <c r="H117" s="185">
        <v>507.60000000000252</v>
      </c>
      <c r="I117" s="183">
        <v>38.9</v>
      </c>
      <c r="J117" s="180">
        <f t="shared" si="14"/>
        <v>100.00000000002274</v>
      </c>
      <c r="K117" s="61">
        <f>IFERROR(IF(H117-H116&lt;=0,"",J117/SQRT(Таблица_pr1[[#This Row],[Удельное сопротивление грунта, Ом·м]])),J117/SQRT(Таблица_pr1[[#This Row],[Удельное сопротивление грунта, Ом·м]]))</f>
        <v>16.033384194875293</v>
      </c>
      <c r="Q117" s="61" t="str">
        <f>IFERROR(IF(N117-N116&lt;=0,"",P117/SQRT(Таблица_pr2[[#This Row],[Удельное сопротивление грунта, Ом·м]])),P117/SQRT(Таблица_pr2[[#This Row],[Удельное сопротивление грунта, Ом·м]]))</f>
        <v/>
      </c>
      <c r="W117" s="61" t="str">
        <f>IFERROR(IF(T117-T116&lt;=0,"",V117/SQRT(Таблица_pr3[[#This Row],[Удельное сопротивление грунта, Ом·м]])),V117/SQRT(Таблица_pr3[[#This Row],[Удельное сопротивление грунта, Ом·м]]))</f>
        <v/>
      </c>
      <c r="AC117" s="61" t="str">
        <f>IFERROR(IF(Z117-Z116&lt;=0,"",AB117/SQRT(Таблица_pr4[[#This Row],[Удельное сопротивление грунта, Ом·м]])),AB117/SQRT(Таблица_pr4[[#This Row],[Удельное сопротивление грунта, Ом·м]]))</f>
        <v/>
      </c>
      <c r="AI117" s="61" t="str">
        <f>IFERROR(IF(AF117-AF116&lt;=0,"",AH117/SQRT(Таблица_pr5[[#This Row],[Удельное сопротивление грунта, Ом·м]])),AH117/SQRT(Таблица_pr5[[#This Row],[Удельное сопротивление грунта, Ом·м]]))</f>
        <v/>
      </c>
      <c r="AO117" s="61" t="str">
        <f>IFERROR(IF(AL117-AL116&lt;=0,"",AN117/SQRT(Таблица_pr6[[#This Row],[Удельное сопротивление грунта, Ом·м]])),AN117/SQRT(Таблица_pr6[[#This Row],[Удельное сопротивление грунта, Ом·м]]))</f>
        <v/>
      </c>
      <c r="AU117" s="61" t="str">
        <f>IFERROR(IF(AR117-AR116&lt;=0,"",AT117/SQRT(Таблица_pr7[[#This Row],[Удельное сопротивление грунта, Ом·м]])),AT117/SQRT(Таблица_pr7[[#This Row],[Удельное сопротивление грунта, Ом·м]]))</f>
        <v/>
      </c>
      <c r="BA117" s="61" t="str">
        <f>IFERROR(IF(AX117-AX116&lt;=0,"",AZ117/SQRT(Таблица_pr8[[#This Row],[Удельное сопротивление грунта, Ом·м]])),AZ117/SQRT(Таблица_pr8[[#This Row],[Удельное сопротивление грунта, Ом·м]]))</f>
        <v/>
      </c>
      <c r="BC117" s="55"/>
      <c r="BD117" s="52"/>
      <c r="BE117" s="67"/>
      <c r="BG117" s="61" t="str">
        <f>IFERROR(IF(BD117-AX136&lt;=0,"",BF117/SQRT(Таблица_pr9[[#This Row],[Удельное сопротивление грунта, Ом·м]])),BF117/SQRT(Таблица_pr9[[#This Row],[Удельное сопротивление грунта, Ом·м]]))</f>
        <v/>
      </c>
      <c r="BI117" s="51"/>
      <c r="BJ117" s="52"/>
      <c r="BK117" s="50"/>
      <c r="BM117" s="61" t="str">
        <f>IFERROR(IF(BJ117-BD146&lt;=0,"",BL117/SQRT(Таблица_pr10[[#This Row],[Удельное сопротивление грунта, Ом·м]])),BL117/SQRT(Таблица_pr10[[#This Row],[Удельное сопротивление грунта, Ом·м]]))</f>
        <v/>
      </c>
    </row>
    <row r="118" spans="1:65">
      <c r="A118" s="64">
        <v>113</v>
      </c>
      <c r="B118" s="52">
        <v>507.70000000000255</v>
      </c>
      <c r="C118" s="50">
        <v>37.5</v>
      </c>
      <c r="D118" s="61">
        <f t="shared" si="13"/>
        <v>100.00000000002274</v>
      </c>
      <c r="E118" s="61">
        <f>IFERROR(IF(B118-B117&lt;=0,"",D118/SQRT(Таблица_pr[[#This Row],[Удельное сопротивление грунта, Ом·м]])),D118/SQRT(Таблица_pr[[#This Row],[Удельное сопротивление грунта, Ом·м]]))</f>
        <v>16.329931618558234</v>
      </c>
      <c r="G118" s="188">
        <v>113</v>
      </c>
      <c r="H118" s="184">
        <v>507.70000000000255</v>
      </c>
      <c r="I118" s="182">
        <v>37.5</v>
      </c>
      <c r="J118" s="181">
        <f t="shared" si="14"/>
        <v>100.00000000002274</v>
      </c>
      <c r="K118" s="61">
        <f>IFERROR(IF(H118-H117&lt;=0,"",J118/SQRT(Таблица_pr1[[#This Row],[Удельное сопротивление грунта, Ом·м]])),J118/SQRT(Таблица_pr1[[#This Row],[Удельное сопротивление грунта, Ом·м]]))</f>
        <v>16.329931618558234</v>
      </c>
      <c r="Q118" s="61" t="str">
        <f>IFERROR(IF(N118-N117&lt;=0,"",P118/SQRT(Таблица_pr2[[#This Row],[Удельное сопротивление грунта, Ом·м]])),P118/SQRT(Таблица_pr2[[#This Row],[Удельное сопротивление грунта, Ом·м]]))</f>
        <v/>
      </c>
      <c r="W118" s="61" t="str">
        <f>IFERROR(IF(T118-T117&lt;=0,"",V118/SQRT(Таблица_pr3[[#This Row],[Удельное сопротивление грунта, Ом·м]])),V118/SQRT(Таблица_pr3[[#This Row],[Удельное сопротивление грунта, Ом·м]]))</f>
        <v/>
      </c>
      <c r="AC118" s="61" t="str">
        <f>IFERROR(IF(Z118-Z117&lt;=0,"",AB118/SQRT(Таблица_pr4[[#This Row],[Удельное сопротивление грунта, Ом·м]])),AB118/SQRT(Таблица_pr4[[#This Row],[Удельное сопротивление грунта, Ом·м]]))</f>
        <v/>
      </c>
      <c r="AI118" s="61" t="str">
        <f>IFERROR(IF(AF118-AF117&lt;=0,"",AH118/SQRT(Таблица_pr5[[#This Row],[Удельное сопротивление грунта, Ом·м]])),AH118/SQRT(Таблица_pr5[[#This Row],[Удельное сопротивление грунта, Ом·м]]))</f>
        <v/>
      </c>
      <c r="AO118" s="61" t="str">
        <f>IFERROR(IF(AL118-AL117&lt;=0,"",AN118/SQRT(Таблица_pr6[[#This Row],[Удельное сопротивление грунта, Ом·м]])),AN118/SQRT(Таблица_pr6[[#This Row],[Удельное сопротивление грунта, Ом·м]]))</f>
        <v/>
      </c>
      <c r="AU118" s="61" t="str">
        <f>IFERROR(IF(AR118-AR117&lt;=0,"",AT118/SQRT(Таблица_pr7[[#This Row],[Удельное сопротивление грунта, Ом·м]])),AT118/SQRT(Таблица_pr7[[#This Row],[Удельное сопротивление грунта, Ом·м]]))</f>
        <v/>
      </c>
      <c r="BA118" s="61" t="str">
        <f>IFERROR(IF(AX118-AX117&lt;=0,"",AZ118/SQRT(Таблица_pr8[[#This Row],[Удельное сопротивление грунта, Ом·м]])),AZ118/SQRT(Таблица_pr8[[#This Row],[Удельное сопротивление грунта, Ом·м]]))</f>
        <v/>
      </c>
      <c r="BC118" s="55"/>
      <c r="BD118" s="52"/>
      <c r="BE118" s="67"/>
      <c r="BG118" s="61" t="str">
        <f>IFERROR(IF(BD118-AX137&lt;=0,"",BF118/SQRT(Таблица_pr9[[#This Row],[Удельное сопротивление грунта, Ом·м]])),BF118/SQRT(Таблица_pr9[[#This Row],[Удельное сопротивление грунта, Ом·м]]))</f>
        <v/>
      </c>
      <c r="BI118" s="51"/>
      <c r="BJ118" s="52"/>
      <c r="BK118" s="50"/>
      <c r="BM118" s="61" t="str">
        <f>IFERROR(IF(BJ118-BD147&lt;=0,"",BL118/SQRT(Таблица_pr10[[#This Row],[Удельное сопротивление грунта, Ом·м]])),BL118/SQRT(Таблица_pr10[[#This Row],[Удельное сопротивление грунта, Ом·м]]))</f>
        <v/>
      </c>
    </row>
    <row r="119" spans="1:65">
      <c r="A119" s="64">
        <v>114</v>
      </c>
      <c r="B119" s="52">
        <v>507.80000000000257</v>
      </c>
      <c r="C119" s="50">
        <v>41.9</v>
      </c>
      <c r="D119" s="61">
        <f t="shared" si="13"/>
        <v>100.00000000002274</v>
      </c>
      <c r="E119" s="61">
        <f>IFERROR(IF(B119-B118&lt;=0,"",D119/SQRT(Таблица_pr[[#This Row],[Удельное сопротивление грунта, Ом·м]])),D119/SQRT(Таблица_pr[[#This Row],[Удельное сопротивление грунта, Ом·м]]))</f>
        <v>15.448737310440036</v>
      </c>
      <c r="G119" s="189">
        <v>114</v>
      </c>
      <c r="H119" s="185">
        <v>507.80000000000257</v>
      </c>
      <c r="I119" s="183">
        <v>41.9</v>
      </c>
      <c r="J119" s="180">
        <f t="shared" si="14"/>
        <v>100.00000000002274</v>
      </c>
      <c r="K119" s="61">
        <f>IFERROR(IF(H119-H118&lt;=0,"",J119/SQRT(Таблица_pr1[[#This Row],[Удельное сопротивление грунта, Ом·м]])),J119/SQRT(Таблица_pr1[[#This Row],[Удельное сопротивление грунта, Ом·м]]))</f>
        <v>15.448737310440036</v>
      </c>
      <c r="Q119" s="61" t="str">
        <f>IFERROR(IF(N119-N118&lt;=0,"",P119/SQRT(Таблица_pr2[[#This Row],[Удельное сопротивление грунта, Ом·м]])),P119/SQRT(Таблица_pr2[[#This Row],[Удельное сопротивление грунта, Ом·м]]))</f>
        <v/>
      </c>
      <c r="W119" s="61" t="str">
        <f>IFERROR(IF(T119-T118&lt;=0,"",V119/SQRT(Таблица_pr3[[#This Row],[Удельное сопротивление грунта, Ом·м]])),V119/SQRT(Таблица_pr3[[#This Row],[Удельное сопротивление грунта, Ом·м]]))</f>
        <v/>
      </c>
      <c r="AC119" s="61" t="str">
        <f>IFERROR(IF(Z119-Z118&lt;=0,"",AB119/SQRT(Таблица_pr4[[#This Row],[Удельное сопротивление грунта, Ом·м]])),AB119/SQRT(Таблица_pr4[[#This Row],[Удельное сопротивление грунта, Ом·м]]))</f>
        <v/>
      </c>
      <c r="AI119" s="61" t="str">
        <f>IFERROR(IF(AF119-AF118&lt;=0,"",AH119/SQRT(Таблица_pr5[[#This Row],[Удельное сопротивление грунта, Ом·м]])),AH119/SQRT(Таблица_pr5[[#This Row],[Удельное сопротивление грунта, Ом·м]]))</f>
        <v/>
      </c>
      <c r="AO119" s="61" t="str">
        <f>IFERROR(IF(AL119-AL118&lt;=0,"",AN119/SQRT(Таблица_pr6[[#This Row],[Удельное сопротивление грунта, Ом·м]])),AN119/SQRT(Таблица_pr6[[#This Row],[Удельное сопротивление грунта, Ом·м]]))</f>
        <v/>
      </c>
      <c r="AU119" s="61" t="str">
        <f>IFERROR(IF(AR119-AR118&lt;=0,"",AT119/SQRT(Таблица_pr7[[#This Row],[Удельное сопротивление грунта, Ом·м]])),AT119/SQRT(Таблица_pr7[[#This Row],[Удельное сопротивление грунта, Ом·м]]))</f>
        <v/>
      </c>
      <c r="BA119" s="61" t="str">
        <f>IFERROR(IF(AX119-AX118&lt;=0,"",AZ119/SQRT(Таблица_pr8[[#This Row],[Удельное сопротивление грунта, Ом·м]])),AZ119/SQRT(Таблица_pr8[[#This Row],[Удельное сопротивление грунта, Ом·м]]))</f>
        <v/>
      </c>
      <c r="BC119" s="55"/>
      <c r="BD119" s="52"/>
      <c r="BE119" s="67"/>
      <c r="BG119" s="61" t="str">
        <f>IFERROR(IF(BD119-AX138&lt;=0,"",BF119/SQRT(Таблица_pr9[[#This Row],[Удельное сопротивление грунта, Ом·м]])),BF119/SQRT(Таблица_pr9[[#This Row],[Удельное сопротивление грунта, Ом·м]]))</f>
        <v/>
      </c>
      <c r="BI119" s="51"/>
      <c r="BJ119" s="52"/>
      <c r="BK119" s="50"/>
      <c r="BM119" s="61" t="str">
        <f>IFERROR(IF(BJ119-BD148&lt;=0,"",BL119/SQRT(Таблица_pr10[[#This Row],[Удельное сопротивление грунта, Ом·м]])),BL119/SQRT(Таблица_pr10[[#This Row],[Удельное сопротивление грунта, Ом·м]]))</f>
        <v/>
      </c>
    </row>
    <row r="120" spans="1:65">
      <c r="A120" s="64">
        <v>115</v>
      </c>
      <c r="B120" s="52">
        <v>507.90000000000259</v>
      </c>
      <c r="C120" s="50">
        <v>42.6</v>
      </c>
      <c r="D120" s="61">
        <f t="shared" si="13"/>
        <v>100.00000000002274</v>
      </c>
      <c r="E120" s="61">
        <f>IFERROR(IF(B120-B119&lt;=0,"",D120/SQRT(Таблица_pr[[#This Row],[Удельное сопротивление грунта, Ом·м]])),D120/SQRT(Таблица_pr[[#This Row],[Удельное сопротивление грунта, Ом·м]]))</f>
        <v>15.321285325900872</v>
      </c>
      <c r="G120" s="188">
        <v>115</v>
      </c>
      <c r="H120" s="184">
        <v>507.90000000000259</v>
      </c>
      <c r="I120" s="182">
        <v>42.6</v>
      </c>
      <c r="J120" s="181">
        <f t="shared" si="14"/>
        <v>100.00000000002274</v>
      </c>
      <c r="K120" s="61">
        <f>IFERROR(IF(H120-H119&lt;=0,"",J120/SQRT(Таблица_pr1[[#This Row],[Удельное сопротивление грунта, Ом·м]])),J120/SQRT(Таблица_pr1[[#This Row],[Удельное сопротивление грунта, Ом·м]]))</f>
        <v>15.321285325900872</v>
      </c>
      <c r="Q120" s="61" t="str">
        <f>IFERROR(IF(N120-N119&lt;=0,"",P120/SQRT(Таблица_pr2[[#This Row],[Удельное сопротивление грунта, Ом·м]])),P120/SQRT(Таблица_pr2[[#This Row],[Удельное сопротивление грунта, Ом·м]]))</f>
        <v/>
      </c>
      <c r="W120" s="61" t="str">
        <f>IFERROR(IF(T120-T119&lt;=0,"",V120/SQRT(Таблица_pr3[[#This Row],[Удельное сопротивление грунта, Ом·м]])),V120/SQRT(Таблица_pr3[[#This Row],[Удельное сопротивление грунта, Ом·м]]))</f>
        <v/>
      </c>
      <c r="AC120" s="61" t="str">
        <f>IFERROR(IF(Z120-Z119&lt;=0,"",AB120/SQRT(Таблица_pr4[[#This Row],[Удельное сопротивление грунта, Ом·м]])),AB120/SQRT(Таблица_pr4[[#This Row],[Удельное сопротивление грунта, Ом·м]]))</f>
        <v/>
      </c>
      <c r="AI120" s="61" t="str">
        <f>IFERROR(IF(AF120-AF119&lt;=0,"",AH120/SQRT(Таблица_pr5[[#This Row],[Удельное сопротивление грунта, Ом·м]])),AH120/SQRT(Таблица_pr5[[#This Row],[Удельное сопротивление грунта, Ом·м]]))</f>
        <v/>
      </c>
      <c r="AO120" s="61" t="str">
        <f>IFERROR(IF(AL120-AL119&lt;=0,"",AN120/SQRT(Таблица_pr6[[#This Row],[Удельное сопротивление грунта, Ом·м]])),AN120/SQRT(Таблица_pr6[[#This Row],[Удельное сопротивление грунта, Ом·м]]))</f>
        <v/>
      </c>
      <c r="AU120" s="61" t="str">
        <f>IFERROR(IF(AR120-AR119&lt;=0,"",AT120/SQRT(Таблица_pr7[[#This Row],[Удельное сопротивление грунта, Ом·м]])),AT120/SQRT(Таблица_pr7[[#This Row],[Удельное сопротивление грунта, Ом·м]]))</f>
        <v/>
      </c>
      <c r="BA120" s="61" t="str">
        <f>IFERROR(IF(AX120-AX119&lt;=0,"",AZ120/SQRT(Таблица_pr8[[#This Row],[Удельное сопротивление грунта, Ом·м]])),AZ120/SQRT(Таблица_pr8[[#This Row],[Удельное сопротивление грунта, Ом·м]]))</f>
        <v/>
      </c>
      <c r="BC120" s="55"/>
      <c r="BD120" s="52"/>
      <c r="BE120" s="67"/>
      <c r="BG120" s="61" t="str">
        <f>IFERROR(IF(BD120-AX139&lt;=0,"",BF120/SQRT(Таблица_pr9[[#This Row],[Удельное сопротивление грунта, Ом·м]])),BF120/SQRT(Таблица_pr9[[#This Row],[Удельное сопротивление грунта, Ом·м]]))</f>
        <v/>
      </c>
      <c r="BI120" s="51"/>
      <c r="BJ120" s="52"/>
      <c r="BK120" s="50"/>
      <c r="BM120" s="61" t="str">
        <f>IFERROR(IF(BJ120-BD149&lt;=0,"",BL120/SQRT(Таблица_pr10[[#This Row],[Удельное сопротивление грунта, Ом·м]])),BL120/SQRT(Таблица_pr10[[#This Row],[Удельное сопротивление грунта, Ом·м]]))</f>
        <v/>
      </c>
    </row>
    <row r="121" spans="1:65">
      <c r="A121" s="64">
        <v>116</v>
      </c>
      <c r="B121" s="52">
        <v>508.10000000000264</v>
      </c>
      <c r="C121" s="67">
        <v>32.6</v>
      </c>
      <c r="D121" s="61">
        <f t="shared" si="13"/>
        <v>200.00000000004547</v>
      </c>
      <c r="E121" s="61">
        <f>IFERROR(IF(B121-B120&lt;=0,"",D121/SQRT(Таблица_pr[[#This Row],[Удельное сопротивление грунта, Ом·м]])),D121/SQRT(Таблица_pr[[#This Row],[Удельное сопротивление грунта, Ом·м]]))</f>
        <v>35.028472205210903</v>
      </c>
      <c r="G121" s="189">
        <v>116</v>
      </c>
      <c r="H121" s="185">
        <v>508.10000000000264</v>
      </c>
      <c r="I121" s="186">
        <v>32.6</v>
      </c>
      <c r="J121" s="180">
        <f t="shared" si="14"/>
        <v>200.00000000004547</v>
      </c>
      <c r="K121" s="61">
        <f>IFERROR(IF(H121-H120&lt;=0,"",J121/SQRT(Таблица_pr1[[#This Row],[Удельное сопротивление грунта, Ом·м]])),J121/SQRT(Таблица_pr1[[#This Row],[Удельное сопротивление грунта, Ом·м]]))</f>
        <v>35.028472205210903</v>
      </c>
      <c r="Q121" s="61" t="str">
        <f>IFERROR(IF(N121-N120&lt;=0,"",P121/SQRT(Таблица_pr2[[#This Row],[Удельное сопротивление грунта, Ом·м]])),P121/SQRT(Таблица_pr2[[#This Row],[Удельное сопротивление грунта, Ом·м]]))</f>
        <v/>
      </c>
      <c r="W121" s="61" t="str">
        <f>IFERROR(IF(T121-T120&lt;=0,"",V121/SQRT(Таблица_pr3[[#This Row],[Удельное сопротивление грунта, Ом·м]])),V121/SQRT(Таблица_pr3[[#This Row],[Удельное сопротивление грунта, Ом·м]]))</f>
        <v/>
      </c>
      <c r="AC121" s="61" t="str">
        <f>IFERROR(IF(Z121-Z120&lt;=0,"",AB121/SQRT(Таблица_pr4[[#This Row],[Удельное сопротивление грунта, Ом·м]])),AB121/SQRT(Таблица_pr4[[#This Row],[Удельное сопротивление грунта, Ом·м]]))</f>
        <v/>
      </c>
      <c r="AI121" s="61" t="str">
        <f>IFERROR(IF(AF121-AF120&lt;=0,"",AH121/SQRT(Таблица_pr5[[#This Row],[Удельное сопротивление грунта, Ом·м]])),AH121/SQRT(Таблица_pr5[[#This Row],[Удельное сопротивление грунта, Ом·м]]))</f>
        <v/>
      </c>
      <c r="AO121" s="61" t="str">
        <f>IFERROR(IF(AL121-AL120&lt;=0,"",AN121/SQRT(Таблица_pr6[[#This Row],[Удельное сопротивление грунта, Ом·м]])),AN121/SQRT(Таблица_pr6[[#This Row],[Удельное сопротивление грунта, Ом·м]]))</f>
        <v/>
      </c>
      <c r="AU121" s="61" t="str">
        <f>IFERROR(IF(AR121-AR120&lt;=0,"",AT121/SQRT(Таблица_pr7[[#This Row],[Удельное сопротивление грунта, Ом·м]])),AT121/SQRT(Таблица_pr7[[#This Row],[Удельное сопротивление грунта, Ом·м]]))</f>
        <v/>
      </c>
      <c r="BA121" s="61" t="str">
        <f>IFERROR(IF(AX121-AX120&lt;=0,"",AZ121/SQRT(Таблица_pr8[[#This Row],[Удельное сопротивление грунта, Ом·м]])),AZ121/SQRT(Таблица_pr8[[#This Row],[Удельное сопротивление грунта, Ом·м]]))</f>
        <v/>
      </c>
      <c r="BC121" s="55"/>
      <c r="BD121" s="52"/>
      <c r="BE121" s="67"/>
      <c r="BG121" s="61" t="str">
        <f>IFERROR(IF(BD121-AX140&lt;=0,"",BF121/SQRT(Таблица_pr9[[#This Row],[Удельное сопротивление грунта, Ом·м]])),BF121/SQRT(Таблица_pr9[[#This Row],[Удельное сопротивление грунта, Ом·м]]))</f>
        <v/>
      </c>
      <c r="BI121" s="55"/>
      <c r="BJ121" s="52"/>
      <c r="BK121" s="67"/>
      <c r="BM121" s="61" t="str">
        <f>IFERROR(IF(BJ121-BD150&lt;=0,"",BL121/SQRT(Таблица_pr10[[#This Row],[Удельное сопротивление грунта, Ом·м]])),BL121/SQRT(Таблица_pr10[[#This Row],[Удельное сопротивление грунта, Ом·м]]))</f>
        <v/>
      </c>
    </row>
    <row r="122" spans="1:65">
      <c r="A122" s="64">
        <v>117</v>
      </c>
      <c r="B122" s="52">
        <v>508.20000000000266</v>
      </c>
      <c r="C122" s="67">
        <v>47.2</v>
      </c>
      <c r="D122" s="61">
        <f t="shared" si="13"/>
        <v>100.00000000002274</v>
      </c>
      <c r="E122" s="61">
        <f>IFERROR(IF(B122-B121&lt;=0,"",D122/SQRT(Таблица_pr[[#This Row],[Удельное сопротивление грунта, Ом·м]])),D122/SQRT(Таблица_pr[[#This Row],[Удельное сопротивление грунта, Ом·м]]))</f>
        <v>14.55556274349286</v>
      </c>
      <c r="G122" s="188">
        <v>117</v>
      </c>
      <c r="H122" s="184">
        <v>508.20000000000266</v>
      </c>
      <c r="I122" s="187">
        <v>47.2</v>
      </c>
      <c r="J122" s="181">
        <f t="shared" si="14"/>
        <v>100.00000000002274</v>
      </c>
      <c r="K122" s="61">
        <f>IFERROR(IF(H122-H121&lt;=0,"",J122/SQRT(Таблица_pr1[[#This Row],[Удельное сопротивление грунта, Ом·м]])),J122/SQRT(Таблица_pr1[[#This Row],[Удельное сопротивление грунта, Ом·м]]))</f>
        <v>14.55556274349286</v>
      </c>
      <c r="Q122" s="61" t="str">
        <f>IFERROR(IF(N122-N121&lt;=0,"",P122/SQRT(Таблица_pr2[[#This Row],[Удельное сопротивление грунта, Ом·м]])),P122/SQRT(Таблица_pr2[[#This Row],[Удельное сопротивление грунта, Ом·м]]))</f>
        <v/>
      </c>
      <c r="W122" s="61" t="str">
        <f>IFERROR(IF(T122-T121&lt;=0,"",V122/SQRT(Таблица_pr3[[#This Row],[Удельное сопротивление грунта, Ом·м]])),V122/SQRT(Таблица_pr3[[#This Row],[Удельное сопротивление грунта, Ом·м]]))</f>
        <v/>
      </c>
      <c r="AC122" s="61" t="str">
        <f>IFERROR(IF(Z122-Z121&lt;=0,"",AB122/SQRT(Таблица_pr4[[#This Row],[Удельное сопротивление грунта, Ом·м]])),AB122/SQRT(Таблица_pr4[[#This Row],[Удельное сопротивление грунта, Ом·м]]))</f>
        <v/>
      </c>
      <c r="AI122" s="61" t="str">
        <f>IFERROR(IF(AF122-AF121&lt;=0,"",AH122/SQRT(Таблица_pr5[[#This Row],[Удельное сопротивление грунта, Ом·м]])),AH122/SQRT(Таблица_pr5[[#This Row],[Удельное сопротивление грунта, Ом·м]]))</f>
        <v/>
      </c>
      <c r="AO122" s="61" t="str">
        <f>IFERROR(IF(AL122-AL121&lt;=0,"",AN122/SQRT(Таблица_pr6[[#This Row],[Удельное сопротивление грунта, Ом·м]])),AN122/SQRT(Таблица_pr6[[#This Row],[Удельное сопротивление грунта, Ом·м]]))</f>
        <v/>
      </c>
      <c r="AU122" s="61" t="str">
        <f>IFERROR(IF(AR122-AR121&lt;=0,"",AT122/SQRT(Таблица_pr7[[#This Row],[Удельное сопротивление грунта, Ом·м]])),AT122/SQRT(Таблица_pr7[[#This Row],[Удельное сопротивление грунта, Ом·м]]))</f>
        <v/>
      </c>
      <c r="BA122" s="61" t="str">
        <f>IFERROR(IF(AX122-AX121&lt;=0,"",AZ122/SQRT(Таблица_pr8[[#This Row],[Удельное сопротивление грунта, Ом·м]])),AZ122/SQRT(Таблица_pr8[[#This Row],[Удельное сопротивление грунта, Ом·м]]))</f>
        <v/>
      </c>
      <c r="BC122" s="55"/>
      <c r="BD122" s="52"/>
      <c r="BE122" s="67"/>
      <c r="BG122" s="61" t="str">
        <f>IFERROR(IF(BD122-AX141&lt;=0,"",BF122/SQRT(Таблица_pr9[[#This Row],[Удельное сопротивление грунта, Ом·м]])),BF122/SQRT(Таблица_pr9[[#This Row],[Удельное сопротивление грунта, Ом·м]]))</f>
        <v/>
      </c>
      <c r="BI122" s="55"/>
      <c r="BJ122" s="52"/>
      <c r="BK122" s="67"/>
      <c r="BM122" s="61" t="str">
        <f>IFERROR(IF(BJ122-BD151&lt;=0,"",BL122/SQRT(Таблица_pr10[[#This Row],[Удельное сопротивление грунта, Ом·м]])),BL122/SQRT(Таблица_pr10[[#This Row],[Удельное сопротивление грунта, Ом·м]]))</f>
        <v/>
      </c>
    </row>
    <row r="123" spans="1:65">
      <c r="A123" s="64">
        <v>118</v>
      </c>
      <c r="B123" s="52">
        <v>508.30000000000268</v>
      </c>
      <c r="C123" s="67">
        <v>46.5</v>
      </c>
      <c r="D123" s="61">
        <f t="shared" si="13"/>
        <v>100.00000000002274</v>
      </c>
      <c r="E123" s="61">
        <f>IFERROR(IF(B123-B122&lt;=0,"",D123/SQRT(Таблица_pr[[#This Row],[Удельное сопротивление грунта, Ом·м]])),D123/SQRT(Таблица_pr[[#This Row],[Удельное сопротивление грунта, Ом·м]]))</f>
        <v>14.664711502138664</v>
      </c>
      <c r="G123" s="189">
        <v>118</v>
      </c>
      <c r="H123" s="185">
        <v>508.30000000000268</v>
      </c>
      <c r="I123" s="186">
        <v>46.5</v>
      </c>
      <c r="J123" s="180">
        <f t="shared" si="14"/>
        <v>100.00000000002274</v>
      </c>
      <c r="K123" s="61">
        <f>IFERROR(IF(H123-H122&lt;=0,"",J123/SQRT(Таблица_pr1[[#This Row],[Удельное сопротивление грунта, Ом·м]])),J123/SQRT(Таблица_pr1[[#This Row],[Удельное сопротивление грунта, Ом·м]]))</f>
        <v>14.664711502138664</v>
      </c>
      <c r="Q123" s="61" t="str">
        <f>IFERROR(IF(N123-N122&lt;=0,"",P123/SQRT(Таблица_pr2[[#This Row],[Удельное сопротивление грунта, Ом·м]])),P123/SQRT(Таблица_pr2[[#This Row],[Удельное сопротивление грунта, Ом·м]]))</f>
        <v/>
      </c>
      <c r="W123" s="61" t="str">
        <f>IFERROR(IF(T123-T122&lt;=0,"",V123/SQRT(Таблица_pr3[[#This Row],[Удельное сопротивление грунта, Ом·м]])),V123/SQRT(Таблица_pr3[[#This Row],[Удельное сопротивление грунта, Ом·м]]))</f>
        <v/>
      </c>
      <c r="AC123" s="61" t="str">
        <f>IFERROR(IF(Z123-Z122&lt;=0,"",AB123/SQRT(Таблица_pr4[[#This Row],[Удельное сопротивление грунта, Ом·м]])),AB123/SQRT(Таблица_pr4[[#This Row],[Удельное сопротивление грунта, Ом·м]]))</f>
        <v/>
      </c>
      <c r="AI123" s="61" t="str">
        <f>IFERROR(IF(AF123-AF122&lt;=0,"",AH123/SQRT(Таблица_pr5[[#This Row],[Удельное сопротивление грунта, Ом·м]])),AH123/SQRT(Таблица_pr5[[#This Row],[Удельное сопротивление грунта, Ом·м]]))</f>
        <v/>
      </c>
      <c r="AO123" s="61" t="str">
        <f>IFERROR(IF(AL123-AL122&lt;=0,"",AN123/SQRT(Таблица_pr6[[#This Row],[Удельное сопротивление грунта, Ом·м]])),AN123/SQRT(Таблица_pr6[[#This Row],[Удельное сопротивление грунта, Ом·м]]))</f>
        <v/>
      </c>
      <c r="AU123" s="61" t="str">
        <f>IFERROR(IF(AR123-AR122&lt;=0,"",AT123/SQRT(Таблица_pr7[[#This Row],[Удельное сопротивление грунта, Ом·м]])),AT123/SQRT(Таблица_pr7[[#This Row],[Удельное сопротивление грунта, Ом·м]]))</f>
        <v/>
      </c>
      <c r="BA123" s="61" t="str">
        <f>IFERROR(IF(AX123-AX122&lt;=0,"",AZ123/SQRT(Таблица_pr8[[#This Row],[Удельное сопротивление грунта, Ом·м]])),AZ123/SQRT(Таблица_pr8[[#This Row],[Удельное сопротивление грунта, Ом·м]]))</f>
        <v/>
      </c>
      <c r="BC123" s="55"/>
      <c r="BD123" s="52"/>
      <c r="BE123" s="67"/>
      <c r="BG123" s="61" t="str">
        <f>IFERROR(IF(BD123-AX142&lt;=0,"",BF123/SQRT(Таблица_pr9[[#This Row],[Удельное сопротивление грунта, Ом·м]])),BF123/SQRT(Таблица_pr9[[#This Row],[Удельное сопротивление грунта, Ом·м]]))</f>
        <v/>
      </c>
      <c r="BI123" s="55"/>
      <c r="BJ123" s="52"/>
      <c r="BK123" s="67"/>
      <c r="BM123" s="61" t="str">
        <f>IFERROR(IF(BJ123-BD152&lt;=0,"",BL123/SQRT(Таблица_pr10[[#This Row],[Удельное сопротивление грунта, Ом·м]])),BL123/SQRT(Таблица_pr10[[#This Row],[Удельное сопротивление грунта, Ом·м]]))</f>
        <v/>
      </c>
    </row>
    <row r="124" spans="1:65">
      <c r="A124" s="64">
        <v>119</v>
      </c>
      <c r="B124" s="52">
        <v>508.40000000000271</v>
      </c>
      <c r="C124" s="67">
        <v>53.7</v>
      </c>
      <c r="D124" s="61">
        <f t="shared" si="13"/>
        <v>100.00000000002274</v>
      </c>
      <c r="E124" s="61">
        <f>IFERROR(IF(B124-B123&lt;=0,"",D124/SQRT(Таблица_pr[[#This Row],[Удельное сопротивление грунта, Ом·м]])),D124/SQRT(Таблица_pr[[#This Row],[Удельное сопротивление грунта, Ом·м]]))</f>
        <v>13.646235352376481</v>
      </c>
      <c r="G124" s="188">
        <v>119</v>
      </c>
      <c r="H124" s="184">
        <v>508.40000000000271</v>
      </c>
      <c r="I124" s="187">
        <v>53.7</v>
      </c>
      <c r="J124" s="181">
        <f t="shared" si="14"/>
        <v>100.00000000002274</v>
      </c>
      <c r="K124" s="61">
        <f>IFERROR(IF(H124-H123&lt;=0,"",J124/SQRT(Таблица_pr1[[#This Row],[Удельное сопротивление грунта, Ом·м]])),J124/SQRT(Таблица_pr1[[#This Row],[Удельное сопротивление грунта, Ом·м]]))</f>
        <v>13.646235352376481</v>
      </c>
      <c r="Q124" s="61" t="str">
        <f>IFERROR(IF(N124-N123&lt;=0,"",P124/SQRT(Таблица_pr2[[#This Row],[Удельное сопротивление грунта, Ом·м]])),P124/SQRT(Таблица_pr2[[#This Row],[Удельное сопротивление грунта, Ом·м]]))</f>
        <v/>
      </c>
      <c r="W124" s="61" t="str">
        <f>IFERROR(IF(T124-T123&lt;=0,"",V124/SQRT(Таблица_pr3[[#This Row],[Удельное сопротивление грунта, Ом·м]])),V124/SQRT(Таблица_pr3[[#This Row],[Удельное сопротивление грунта, Ом·м]]))</f>
        <v/>
      </c>
      <c r="AC124" s="61" t="str">
        <f>IFERROR(IF(Z124-Z123&lt;=0,"",AB124/SQRT(Таблица_pr4[[#This Row],[Удельное сопротивление грунта, Ом·м]])),AB124/SQRT(Таблица_pr4[[#This Row],[Удельное сопротивление грунта, Ом·м]]))</f>
        <v/>
      </c>
      <c r="AI124" s="61" t="str">
        <f>IFERROR(IF(AF124-AF123&lt;=0,"",AH124/SQRT(Таблица_pr5[[#This Row],[Удельное сопротивление грунта, Ом·м]])),AH124/SQRT(Таблица_pr5[[#This Row],[Удельное сопротивление грунта, Ом·м]]))</f>
        <v/>
      </c>
      <c r="AO124" s="61" t="str">
        <f>IFERROR(IF(AL124-AL123&lt;=0,"",AN124/SQRT(Таблица_pr6[[#This Row],[Удельное сопротивление грунта, Ом·м]])),AN124/SQRT(Таблица_pr6[[#This Row],[Удельное сопротивление грунта, Ом·м]]))</f>
        <v/>
      </c>
      <c r="AU124" s="61" t="str">
        <f>IFERROR(IF(AR124-AR123&lt;=0,"",AT124/SQRT(Таблица_pr7[[#This Row],[Удельное сопротивление грунта, Ом·м]])),AT124/SQRT(Таблица_pr7[[#This Row],[Удельное сопротивление грунта, Ом·м]]))</f>
        <v/>
      </c>
      <c r="BA124" s="61" t="str">
        <f>IFERROR(IF(AX124-AX123&lt;=0,"",AZ124/SQRT(Таблица_pr8[[#This Row],[Удельное сопротивление грунта, Ом·м]])),AZ124/SQRT(Таблица_pr8[[#This Row],[Удельное сопротивление грунта, Ом·м]]))</f>
        <v/>
      </c>
      <c r="BC124" s="55"/>
      <c r="BD124" s="52"/>
      <c r="BE124" s="67"/>
      <c r="BG124" s="61" t="str">
        <f>IFERROR(IF(BD124-AX143&lt;=0,"",BF124/SQRT(Таблица_pr9[[#This Row],[Удельное сопротивление грунта, Ом·м]])),BF124/SQRT(Таблица_pr9[[#This Row],[Удельное сопротивление грунта, Ом·м]]))</f>
        <v/>
      </c>
      <c r="BI124" s="55"/>
      <c r="BJ124" s="52"/>
      <c r="BK124" s="67"/>
      <c r="BM124" s="61" t="str">
        <f>IFERROR(IF(BJ124-BD153&lt;=0,"",BL124/SQRT(Таблица_pr10[[#This Row],[Удельное сопротивление грунта, Ом·м]])),BL124/SQRT(Таблица_pr10[[#This Row],[Удельное сопротивление грунта, Ом·м]]))</f>
        <v/>
      </c>
    </row>
    <row r="125" spans="1:65">
      <c r="A125" s="64">
        <v>120</v>
      </c>
      <c r="B125" s="52">
        <v>508.50000000000273</v>
      </c>
      <c r="C125" s="67">
        <v>54</v>
      </c>
      <c r="D125" s="61">
        <f t="shared" si="13"/>
        <v>100.00000000002274</v>
      </c>
      <c r="E125" s="61">
        <f>IFERROR(IF(B125-B124&lt;=0,"",D125/SQRT(Таблица_pr[[#This Row],[Удельное сопротивление грунта, Ом·м]])),D125/SQRT(Таблица_pr[[#This Row],[Удельное сопротивление грунта, Ом·м]]))</f>
        <v>13.608276348798528</v>
      </c>
      <c r="G125" s="189">
        <v>120</v>
      </c>
      <c r="H125" s="185">
        <v>508.50000000000273</v>
      </c>
      <c r="I125" s="186">
        <v>54</v>
      </c>
      <c r="J125" s="180">
        <f t="shared" si="14"/>
        <v>100.00000000002274</v>
      </c>
      <c r="K125" s="61">
        <f>IFERROR(IF(H125-H124&lt;=0,"",J125/SQRT(Таблица_pr1[[#This Row],[Удельное сопротивление грунта, Ом·м]])),J125/SQRT(Таблица_pr1[[#This Row],[Удельное сопротивление грунта, Ом·м]]))</f>
        <v>13.608276348798528</v>
      </c>
      <c r="Q125" s="61" t="str">
        <f>IFERROR(IF(N125-N124&lt;=0,"",P125/SQRT(Таблица_pr2[[#This Row],[Удельное сопротивление грунта, Ом·м]])),P125/SQRT(Таблица_pr2[[#This Row],[Удельное сопротивление грунта, Ом·м]]))</f>
        <v/>
      </c>
      <c r="W125" s="61" t="str">
        <f>IFERROR(IF(T125-T124&lt;=0,"",V125/SQRT(Таблица_pr3[[#This Row],[Удельное сопротивление грунта, Ом·м]])),V125/SQRT(Таблица_pr3[[#This Row],[Удельное сопротивление грунта, Ом·м]]))</f>
        <v/>
      </c>
      <c r="AC125" s="61" t="str">
        <f>IFERROR(IF(Z125-Z124&lt;=0,"",AB125/SQRT(Таблица_pr4[[#This Row],[Удельное сопротивление грунта, Ом·м]])),AB125/SQRT(Таблица_pr4[[#This Row],[Удельное сопротивление грунта, Ом·м]]))</f>
        <v/>
      </c>
      <c r="AI125" s="61" t="str">
        <f>IFERROR(IF(AF125-AF124&lt;=0,"",AH125/SQRT(Таблица_pr5[[#This Row],[Удельное сопротивление грунта, Ом·м]])),AH125/SQRT(Таблица_pr5[[#This Row],[Удельное сопротивление грунта, Ом·м]]))</f>
        <v/>
      </c>
      <c r="AO125" s="61" t="str">
        <f>IFERROR(IF(AL125-AL124&lt;=0,"",AN125/SQRT(Таблица_pr6[[#This Row],[Удельное сопротивление грунта, Ом·м]])),AN125/SQRT(Таблица_pr6[[#This Row],[Удельное сопротивление грунта, Ом·м]]))</f>
        <v/>
      </c>
      <c r="AU125" s="61" t="str">
        <f>IFERROR(IF(AR125-AR124&lt;=0,"",AT125/SQRT(Таблица_pr7[[#This Row],[Удельное сопротивление грунта, Ом·м]])),AT125/SQRT(Таблица_pr7[[#This Row],[Удельное сопротивление грунта, Ом·м]]))</f>
        <v/>
      </c>
      <c r="BA125" s="61" t="str">
        <f>IFERROR(IF(AX125-AX124&lt;=0,"",AZ125/SQRT(Таблица_pr8[[#This Row],[Удельное сопротивление грунта, Ом·м]])),AZ125/SQRT(Таблица_pr8[[#This Row],[Удельное сопротивление грунта, Ом·м]]))</f>
        <v/>
      </c>
      <c r="BC125" s="55"/>
      <c r="BD125" s="52"/>
      <c r="BE125" s="67"/>
      <c r="BG125" s="61" t="str">
        <f>IFERROR(IF(BD125-AX144&lt;=0,"",BF125/SQRT(Таблица_pr9[[#This Row],[Удельное сопротивление грунта, Ом·м]])),BF125/SQRT(Таблица_pr9[[#This Row],[Удельное сопротивление грунта, Ом·м]]))</f>
        <v/>
      </c>
      <c r="BI125" s="55"/>
      <c r="BJ125" s="52"/>
      <c r="BK125" s="67"/>
      <c r="BM125" s="61" t="str">
        <f>IFERROR(IF(BJ125-BD154&lt;=0,"",BL125/SQRT(Таблица_pr10[[#This Row],[Удельное сопротивление грунта, Ом·м]])),BL125/SQRT(Таблица_pr10[[#This Row],[Удельное сопротивление грунта, Ом·м]]))</f>
        <v/>
      </c>
    </row>
    <row r="126" spans="1:65">
      <c r="A126" s="64">
        <v>121</v>
      </c>
      <c r="B126" s="52">
        <v>508.60000000000275</v>
      </c>
      <c r="C126" s="67">
        <v>56</v>
      </c>
      <c r="D126" s="61">
        <f t="shared" si="13"/>
        <v>100.00000000002274</v>
      </c>
      <c r="E126" s="61">
        <f>IFERROR(IF(B126-B125&lt;=0,"",D126/SQRT(Таблица_pr[[#This Row],[Удельное сопротивление грунта, Ом·м]])),D126/SQRT(Таблица_pr[[#This Row],[Удельное сопротивление грунта, Ом·м]]))</f>
        <v>13.363062095624258</v>
      </c>
      <c r="G126" s="188">
        <v>121</v>
      </c>
      <c r="H126" s="184">
        <v>508.60000000000275</v>
      </c>
      <c r="I126" s="187">
        <v>56</v>
      </c>
      <c r="J126" s="181">
        <f t="shared" si="14"/>
        <v>100.00000000002274</v>
      </c>
      <c r="K126" s="61">
        <f>IFERROR(IF(H126-H125&lt;=0,"",J126/SQRT(Таблица_pr1[[#This Row],[Удельное сопротивление грунта, Ом·м]])),J126/SQRT(Таблица_pr1[[#This Row],[Удельное сопротивление грунта, Ом·м]]))</f>
        <v>13.363062095624258</v>
      </c>
      <c r="Q126" s="61" t="str">
        <f>IFERROR(IF(N126-N125&lt;=0,"",P126/SQRT(Таблица_pr2[[#This Row],[Удельное сопротивление грунта, Ом·м]])),P126/SQRT(Таблица_pr2[[#This Row],[Удельное сопротивление грунта, Ом·м]]))</f>
        <v/>
      </c>
      <c r="W126" s="61" t="str">
        <f>IFERROR(IF(T126-T125&lt;=0,"",V126/SQRT(Таблица_pr3[[#This Row],[Удельное сопротивление грунта, Ом·м]])),V126/SQRT(Таблица_pr3[[#This Row],[Удельное сопротивление грунта, Ом·м]]))</f>
        <v/>
      </c>
      <c r="AC126" s="61" t="str">
        <f>IFERROR(IF(Z126-Z125&lt;=0,"",AB126/SQRT(Таблица_pr4[[#This Row],[Удельное сопротивление грунта, Ом·м]])),AB126/SQRT(Таблица_pr4[[#This Row],[Удельное сопротивление грунта, Ом·м]]))</f>
        <v/>
      </c>
      <c r="AI126" s="61" t="str">
        <f>IFERROR(IF(AF126-AF125&lt;=0,"",AH126/SQRT(Таблица_pr5[[#This Row],[Удельное сопротивление грунта, Ом·м]])),AH126/SQRT(Таблица_pr5[[#This Row],[Удельное сопротивление грунта, Ом·м]]))</f>
        <v/>
      </c>
      <c r="AO126" s="61" t="str">
        <f>IFERROR(IF(AL126-AL125&lt;=0,"",AN126/SQRT(Таблица_pr6[[#This Row],[Удельное сопротивление грунта, Ом·м]])),AN126/SQRT(Таблица_pr6[[#This Row],[Удельное сопротивление грунта, Ом·м]]))</f>
        <v/>
      </c>
      <c r="AU126" s="61" t="str">
        <f>IFERROR(IF(AR126-AR125&lt;=0,"",AT126/SQRT(Таблица_pr7[[#This Row],[Удельное сопротивление грунта, Ом·м]])),AT126/SQRT(Таблица_pr7[[#This Row],[Удельное сопротивление грунта, Ом·м]]))</f>
        <v/>
      </c>
      <c r="BA126" s="61" t="str">
        <f>IFERROR(IF(AX126-AX125&lt;=0,"",AZ126/SQRT(Таблица_pr8[[#This Row],[Удельное сопротивление грунта, Ом·м]])),AZ126/SQRT(Таблица_pr8[[#This Row],[Удельное сопротивление грунта, Ом·м]]))</f>
        <v/>
      </c>
      <c r="BC126" s="55"/>
      <c r="BD126" s="52"/>
      <c r="BE126" s="67"/>
      <c r="BG126" s="61" t="str">
        <f>IFERROR(IF(BD126-AX145&lt;=0,"",BF126/SQRT(Таблица_pr9[[#This Row],[Удельное сопротивление грунта, Ом·м]])),BF126/SQRT(Таблица_pr9[[#This Row],[Удельное сопротивление грунта, Ом·м]]))</f>
        <v/>
      </c>
      <c r="BI126" s="55"/>
      <c r="BJ126" s="52"/>
      <c r="BK126" s="67"/>
      <c r="BM126" s="61" t="str">
        <f>IFERROR(IF(BJ126-BD155&lt;=0,"",BL126/SQRT(Таблица_pr10[[#This Row],[Удельное сопротивление грунта, Ом·м]])),BL126/SQRT(Таблица_pr10[[#This Row],[Удельное сопротивление грунта, Ом·м]]))</f>
        <v/>
      </c>
    </row>
    <row r="127" spans="1:65">
      <c r="A127" s="64">
        <v>122</v>
      </c>
      <c r="B127" s="52">
        <v>508.70000000000277</v>
      </c>
      <c r="C127" s="67">
        <v>57.3</v>
      </c>
      <c r="D127" s="61">
        <f t="shared" si="13"/>
        <v>100.00000000002274</v>
      </c>
      <c r="E127" s="61">
        <f>IFERROR(IF(B127-B126&lt;=0,"",D127/SQRT(Таблица_pr[[#This Row],[Удельное сопротивление грунта, Ом·м]])),D127/SQRT(Таблица_pr[[#This Row],[Удельное сопротивление грунта, Ом·м]]))</f>
        <v>13.210604445221547</v>
      </c>
      <c r="G127" s="189">
        <v>122</v>
      </c>
      <c r="H127" s="185">
        <v>508.70000000000277</v>
      </c>
      <c r="I127" s="186">
        <v>57.3</v>
      </c>
      <c r="J127" s="180">
        <f t="shared" si="14"/>
        <v>100.00000000002274</v>
      </c>
      <c r="K127" s="61">
        <f>IFERROR(IF(H127-H126&lt;=0,"",J127/SQRT(Таблица_pr1[[#This Row],[Удельное сопротивление грунта, Ом·м]])),J127/SQRT(Таблица_pr1[[#This Row],[Удельное сопротивление грунта, Ом·м]]))</f>
        <v>13.210604445221547</v>
      </c>
      <c r="Q127" s="61" t="str">
        <f>IFERROR(IF(N127-N126&lt;=0,"",P127/SQRT(Таблица_pr2[[#This Row],[Удельное сопротивление грунта, Ом·м]])),P127/SQRT(Таблица_pr2[[#This Row],[Удельное сопротивление грунта, Ом·м]]))</f>
        <v/>
      </c>
      <c r="W127" s="61" t="str">
        <f>IFERROR(IF(T127-T126&lt;=0,"",V127/SQRT(Таблица_pr3[[#This Row],[Удельное сопротивление грунта, Ом·м]])),V127/SQRT(Таблица_pr3[[#This Row],[Удельное сопротивление грунта, Ом·м]]))</f>
        <v/>
      </c>
      <c r="AC127" s="61" t="str">
        <f>IFERROR(IF(Z127-Z126&lt;=0,"",AB127/SQRT(Таблица_pr4[[#This Row],[Удельное сопротивление грунта, Ом·м]])),AB127/SQRT(Таблица_pr4[[#This Row],[Удельное сопротивление грунта, Ом·м]]))</f>
        <v/>
      </c>
      <c r="AI127" s="61" t="str">
        <f>IFERROR(IF(AF127-AF126&lt;=0,"",AH127/SQRT(Таблица_pr5[[#This Row],[Удельное сопротивление грунта, Ом·м]])),AH127/SQRT(Таблица_pr5[[#This Row],[Удельное сопротивление грунта, Ом·м]]))</f>
        <v/>
      </c>
      <c r="AO127" s="61" t="str">
        <f>IFERROR(IF(AL127-AL126&lt;=0,"",AN127/SQRT(Таблица_pr6[[#This Row],[Удельное сопротивление грунта, Ом·м]])),AN127/SQRT(Таблица_pr6[[#This Row],[Удельное сопротивление грунта, Ом·м]]))</f>
        <v/>
      </c>
      <c r="AU127" s="61" t="str">
        <f>IFERROR(IF(AR127-AR126&lt;=0,"",AT127/SQRT(Таблица_pr7[[#This Row],[Удельное сопротивление грунта, Ом·м]])),AT127/SQRT(Таблица_pr7[[#This Row],[Удельное сопротивление грунта, Ом·м]]))</f>
        <v/>
      </c>
      <c r="BA127" s="61" t="str">
        <f>IFERROR(IF(AX127-AX126&lt;=0,"",AZ127/SQRT(Таблица_pr8[[#This Row],[Удельное сопротивление грунта, Ом·м]])),AZ127/SQRT(Таблица_pr8[[#This Row],[Удельное сопротивление грунта, Ом·м]]))</f>
        <v/>
      </c>
      <c r="BC127" s="55"/>
      <c r="BD127" s="52"/>
      <c r="BE127" s="67"/>
      <c r="BG127" s="61" t="str">
        <f>IFERROR(IF(BD127-AX146&lt;=0,"",BF127/SQRT(Таблица_pr9[[#This Row],[Удельное сопротивление грунта, Ом·м]])),BF127/SQRT(Таблица_pr9[[#This Row],[Удельное сопротивление грунта, Ом·м]]))</f>
        <v/>
      </c>
      <c r="BI127" s="55"/>
      <c r="BJ127" s="52"/>
      <c r="BK127" s="67"/>
      <c r="BM127" s="61" t="str">
        <f>IFERROR(IF(BJ127-BD156&lt;=0,"",BL127/SQRT(Таблица_pr10[[#This Row],[Удельное сопротивление грунта, Ом·м]])),BL127/SQRT(Таблица_pr10[[#This Row],[Удельное сопротивление грунта, Ом·м]]))</f>
        <v/>
      </c>
    </row>
    <row r="128" spans="1:65">
      <c r="A128" s="64">
        <v>123</v>
      </c>
      <c r="B128" s="52">
        <v>508.8000000000028</v>
      </c>
      <c r="C128" s="67">
        <v>56.8</v>
      </c>
      <c r="D128" s="61">
        <f t="shared" si="13"/>
        <v>100.00000000002274</v>
      </c>
      <c r="E128" s="61">
        <f>IFERROR(IF(B128-B127&lt;=0,"",D128/SQRT(Таблица_pr[[#This Row],[Удельное сопротивление грунта, Ом·м]])),D128/SQRT(Таблица_pr[[#This Row],[Удельное сопротивление грунта, Ом·м]]))</f>
        <v>13.268622310859898</v>
      </c>
      <c r="G128" s="188">
        <v>123</v>
      </c>
      <c r="H128" s="184">
        <v>508.8000000000028</v>
      </c>
      <c r="I128" s="187">
        <v>56.8</v>
      </c>
      <c r="J128" s="181">
        <f t="shared" si="14"/>
        <v>100.00000000002274</v>
      </c>
      <c r="K128" s="61">
        <f>IFERROR(IF(H128-H127&lt;=0,"",J128/SQRT(Таблица_pr1[[#This Row],[Удельное сопротивление грунта, Ом·м]])),J128/SQRT(Таблица_pr1[[#This Row],[Удельное сопротивление грунта, Ом·м]]))</f>
        <v>13.268622310859898</v>
      </c>
      <c r="Q128" s="61" t="str">
        <f>IFERROR(IF(N128-N127&lt;=0,"",P128/SQRT(Таблица_pr2[[#This Row],[Удельное сопротивление грунта, Ом·м]])),P128/SQRT(Таблица_pr2[[#This Row],[Удельное сопротивление грунта, Ом·м]]))</f>
        <v/>
      </c>
      <c r="W128" s="61" t="str">
        <f>IFERROR(IF(T128-T127&lt;=0,"",V128/SQRT(Таблица_pr3[[#This Row],[Удельное сопротивление грунта, Ом·м]])),V128/SQRT(Таблица_pr3[[#This Row],[Удельное сопротивление грунта, Ом·м]]))</f>
        <v/>
      </c>
      <c r="AC128" s="61" t="str">
        <f>IFERROR(IF(Z128-Z127&lt;=0,"",AB128/SQRT(Таблица_pr4[[#This Row],[Удельное сопротивление грунта, Ом·м]])),AB128/SQRT(Таблица_pr4[[#This Row],[Удельное сопротивление грунта, Ом·м]]))</f>
        <v/>
      </c>
      <c r="AI128" s="61" t="str">
        <f>IFERROR(IF(AF128-AF127&lt;=0,"",AH128/SQRT(Таблица_pr5[[#This Row],[Удельное сопротивление грунта, Ом·м]])),AH128/SQRT(Таблица_pr5[[#This Row],[Удельное сопротивление грунта, Ом·м]]))</f>
        <v/>
      </c>
      <c r="AO128" s="61" t="str">
        <f>IFERROR(IF(AL128-AL127&lt;=0,"",AN128/SQRT(Таблица_pr6[[#This Row],[Удельное сопротивление грунта, Ом·м]])),AN128/SQRT(Таблица_pr6[[#This Row],[Удельное сопротивление грунта, Ом·м]]))</f>
        <v/>
      </c>
      <c r="AU128" s="61" t="str">
        <f>IFERROR(IF(AR128-AR127&lt;=0,"",AT128/SQRT(Таблица_pr7[[#This Row],[Удельное сопротивление грунта, Ом·м]])),AT128/SQRT(Таблица_pr7[[#This Row],[Удельное сопротивление грунта, Ом·м]]))</f>
        <v/>
      </c>
      <c r="BA128" s="61" t="str">
        <f>IFERROR(IF(AX128-AX127&lt;=0,"",AZ128/SQRT(Таблица_pr8[[#This Row],[Удельное сопротивление грунта, Ом·м]])),AZ128/SQRT(Таблица_pr8[[#This Row],[Удельное сопротивление грунта, Ом·м]]))</f>
        <v/>
      </c>
      <c r="BC128" s="55"/>
      <c r="BD128" s="52"/>
      <c r="BE128" s="67"/>
      <c r="BG128" s="61" t="str">
        <f>IFERROR(IF(BD128-AX147&lt;=0,"",BF128/SQRT(Таблица_pr9[[#This Row],[Удельное сопротивление грунта, Ом·м]])),BF128/SQRT(Таблица_pr9[[#This Row],[Удельное сопротивление грунта, Ом·м]]))</f>
        <v/>
      </c>
      <c r="BI128" s="55"/>
      <c r="BJ128" s="52"/>
      <c r="BK128" s="67"/>
      <c r="BM128" s="61" t="str">
        <f>IFERROR(IF(BJ128-BD157&lt;=0,"",BL128/SQRT(Таблица_pr10[[#This Row],[Удельное сопротивление грунта, Ом·м]])),BL128/SQRT(Таблица_pr10[[#This Row],[Удельное сопротивление грунта, Ом·м]]))</f>
        <v/>
      </c>
    </row>
    <row r="129" spans="1:65">
      <c r="A129" s="64">
        <v>124</v>
      </c>
      <c r="B129" s="52">
        <v>508.90000000000282</v>
      </c>
      <c r="C129" s="67">
        <v>54.3</v>
      </c>
      <c r="D129" s="61">
        <f t="shared" si="13"/>
        <v>100.00000000002274</v>
      </c>
      <c r="E129" s="61">
        <f>IFERROR(IF(B129-B128&lt;=0,"",D129/SQRT(Таблица_pr[[#This Row],[Удельное сопротивление грунта, Ом·м]])),D129/SQRT(Таблица_pr[[#This Row],[Удельное сопротивление грунта, Ом·м]]))</f>
        <v>13.570632358706982</v>
      </c>
      <c r="G129" s="189">
        <v>124</v>
      </c>
      <c r="H129" s="185">
        <v>508.90000000000282</v>
      </c>
      <c r="I129" s="186">
        <v>54.3</v>
      </c>
      <c r="J129" s="180">
        <f t="shared" si="14"/>
        <v>100.00000000002274</v>
      </c>
      <c r="K129" s="61">
        <f>IFERROR(IF(H129-H128&lt;=0,"",J129/SQRT(Таблица_pr1[[#This Row],[Удельное сопротивление грунта, Ом·м]])),J129/SQRT(Таблица_pr1[[#This Row],[Удельное сопротивление грунта, Ом·м]]))</f>
        <v>13.570632358706982</v>
      </c>
      <c r="Q129" s="61" t="str">
        <f>IFERROR(IF(N129-N128&lt;=0,"",P129/SQRT(Таблица_pr2[[#This Row],[Удельное сопротивление грунта, Ом·м]])),P129/SQRT(Таблица_pr2[[#This Row],[Удельное сопротивление грунта, Ом·м]]))</f>
        <v/>
      </c>
      <c r="W129" s="61" t="str">
        <f>IFERROR(IF(T129-T128&lt;=0,"",V129/SQRT(Таблица_pr3[[#This Row],[Удельное сопротивление грунта, Ом·м]])),V129/SQRT(Таблица_pr3[[#This Row],[Удельное сопротивление грунта, Ом·м]]))</f>
        <v/>
      </c>
      <c r="AC129" s="61" t="str">
        <f>IFERROR(IF(Z129-Z128&lt;=0,"",AB129/SQRT(Таблица_pr4[[#This Row],[Удельное сопротивление грунта, Ом·м]])),AB129/SQRT(Таблица_pr4[[#This Row],[Удельное сопротивление грунта, Ом·м]]))</f>
        <v/>
      </c>
      <c r="AI129" s="61" t="str">
        <f>IFERROR(IF(AF129-AF128&lt;=0,"",AH129/SQRT(Таблица_pr5[[#This Row],[Удельное сопротивление грунта, Ом·м]])),AH129/SQRT(Таблица_pr5[[#This Row],[Удельное сопротивление грунта, Ом·м]]))</f>
        <v/>
      </c>
      <c r="AO129" s="61" t="str">
        <f>IFERROR(IF(AL129-AL128&lt;=0,"",AN129/SQRT(Таблица_pr6[[#This Row],[Удельное сопротивление грунта, Ом·м]])),AN129/SQRT(Таблица_pr6[[#This Row],[Удельное сопротивление грунта, Ом·м]]))</f>
        <v/>
      </c>
      <c r="AU129" s="61" t="str">
        <f>IFERROR(IF(AR129-AR128&lt;=0,"",AT129/SQRT(Таблица_pr7[[#This Row],[Удельное сопротивление грунта, Ом·м]])),AT129/SQRT(Таблица_pr7[[#This Row],[Удельное сопротивление грунта, Ом·м]]))</f>
        <v/>
      </c>
      <c r="BA129" s="61" t="str">
        <f>IFERROR(IF(AX129-AX128&lt;=0,"",AZ129/SQRT(Таблица_pr8[[#This Row],[Удельное сопротивление грунта, Ом·м]])),AZ129/SQRT(Таблица_pr8[[#This Row],[Удельное сопротивление грунта, Ом·м]]))</f>
        <v/>
      </c>
      <c r="BC129" s="55"/>
      <c r="BD129" s="52"/>
      <c r="BE129" s="67"/>
      <c r="BG129" s="61" t="str">
        <f>IFERROR(IF(BD129-AX148&lt;=0,"",BF129/SQRT(Таблица_pr9[[#This Row],[Удельное сопротивление грунта, Ом·м]])),BF129/SQRT(Таблица_pr9[[#This Row],[Удельное сопротивление грунта, Ом·м]]))</f>
        <v/>
      </c>
      <c r="BI129" s="55"/>
      <c r="BJ129" s="52"/>
      <c r="BK129" s="67"/>
      <c r="BM129" s="61" t="str">
        <f>IFERROR(IF(BJ129-BD158&lt;=0,"",BL129/SQRT(Таблица_pr10[[#This Row],[Удельное сопротивление грунта, Ом·м]])),BL129/SQRT(Таблица_pr10[[#This Row],[Удельное сопротивление грунта, Ом·м]]))</f>
        <v/>
      </c>
    </row>
    <row r="130" spans="1:65">
      <c r="A130" s="64">
        <v>125</v>
      </c>
      <c r="B130" s="52">
        <v>509.00000000000284</v>
      </c>
      <c r="C130" s="67">
        <v>60.9</v>
      </c>
      <c r="D130" s="61">
        <f t="shared" si="13"/>
        <v>100.00000000002274</v>
      </c>
      <c r="E130" s="61">
        <f>IFERROR(IF(B130-B129&lt;=0,"",D130/SQRT(Таблица_pr[[#This Row],[Удельное сопротивление грунта, Ом·м]])),D130/SQRT(Таблица_pr[[#This Row],[Удельное сопротивление грунта, Ом·м]]))</f>
        <v>12.814195740644406</v>
      </c>
      <c r="G130" s="188">
        <v>125</v>
      </c>
      <c r="H130" s="184">
        <v>509.00000000000284</v>
      </c>
      <c r="I130" s="187">
        <v>60.9</v>
      </c>
      <c r="J130" s="181">
        <f t="shared" si="14"/>
        <v>100.00000000002274</v>
      </c>
      <c r="K130" s="61">
        <f>IFERROR(IF(H130-H129&lt;=0,"",J130/SQRT(Таблица_pr1[[#This Row],[Удельное сопротивление грунта, Ом·м]])),J130/SQRT(Таблица_pr1[[#This Row],[Удельное сопротивление грунта, Ом·м]]))</f>
        <v>12.814195740644406</v>
      </c>
      <c r="Q130" s="61" t="str">
        <f>IFERROR(IF(N130-N129&lt;=0,"",P130/SQRT(Таблица_pr2[[#This Row],[Удельное сопротивление грунта, Ом·м]])),P130/SQRT(Таблица_pr2[[#This Row],[Удельное сопротивление грунта, Ом·м]]))</f>
        <v/>
      </c>
      <c r="W130" s="61" t="str">
        <f>IFERROR(IF(T130-T129&lt;=0,"",V130/SQRT(Таблица_pr3[[#This Row],[Удельное сопротивление грунта, Ом·м]])),V130/SQRT(Таблица_pr3[[#This Row],[Удельное сопротивление грунта, Ом·м]]))</f>
        <v/>
      </c>
      <c r="AC130" s="61" t="str">
        <f>IFERROR(IF(Z130-Z129&lt;=0,"",AB130/SQRT(Таблица_pr4[[#This Row],[Удельное сопротивление грунта, Ом·м]])),AB130/SQRT(Таблица_pr4[[#This Row],[Удельное сопротивление грунта, Ом·м]]))</f>
        <v/>
      </c>
      <c r="AI130" s="61" t="str">
        <f>IFERROR(IF(AF130-AF129&lt;=0,"",AH130/SQRT(Таблица_pr5[[#This Row],[Удельное сопротивление грунта, Ом·м]])),AH130/SQRT(Таблица_pr5[[#This Row],[Удельное сопротивление грунта, Ом·м]]))</f>
        <v/>
      </c>
      <c r="AO130" s="61" t="str">
        <f>IFERROR(IF(AL130-AL129&lt;=0,"",AN130/SQRT(Таблица_pr6[[#This Row],[Удельное сопротивление грунта, Ом·м]])),AN130/SQRT(Таблица_pr6[[#This Row],[Удельное сопротивление грунта, Ом·м]]))</f>
        <v/>
      </c>
      <c r="AU130" s="61" t="str">
        <f>IFERROR(IF(AR130-AR129&lt;=0,"",AT130/SQRT(Таблица_pr7[[#This Row],[Удельное сопротивление грунта, Ом·м]])),AT130/SQRT(Таблица_pr7[[#This Row],[Удельное сопротивление грунта, Ом·м]]))</f>
        <v/>
      </c>
      <c r="BA130" s="61" t="str">
        <f>IFERROR(IF(AX130-AX129&lt;=0,"",AZ130/SQRT(Таблица_pr8[[#This Row],[Удельное сопротивление грунта, Ом·м]])),AZ130/SQRT(Таблица_pr8[[#This Row],[Удельное сопротивление грунта, Ом·м]]))</f>
        <v/>
      </c>
      <c r="BC130" s="55"/>
      <c r="BD130" s="52"/>
      <c r="BE130" s="67"/>
      <c r="BG130" s="61" t="str">
        <f>IFERROR(IF(BD130-AX149&lt;=0,"",BF130/SQRT(Таблица_pr9[[#This Row],[Удельное сопротивление грунта, Ом·м]])),BF130/SQRT(Таблица_pr9[[#This Row],[Удельное сопротивление грунта, Ом·м]]))</f>
        <v/>
      </c>
      <c r="BI130" s="55"/>
      <c r="BJ130" s="52"/>
      <c r="BK130" s="67"/>
      <c r="BM130" s="61" t="str">
        <f>IFERROR(IF(BJ130-BD159&lt;=0,"",BL130/SQRT(Таблица_pr10[[#This Row],[Удельное сопротивление грунта, Ом·м]])),BL130/SQRT(Таблица_pr10[[#This Row],[Удельное сопротивление грунта, Ом·м]]))</f>
        <v/>
      </c>
    </row>
    <row r="131" spans="1:65">
      <c r="A131" s="64">
        <v>126</v>
      </c>
      <c r="B131" s="52">
        <v>509.10000000000286</v>
      </c>
      <c r="C131" s="67">
        <v>36</v>
      </c>
      <c r="D131" s="61">
        <f t="shared" si="13"/>
        <v>100.00000000002274</v>
      </c>
      <c r="E131" s="61">
        <f>IFERROR(IF(B131-B130&lt;=0,"",D131/SQRT(Таблица_pr[[#This Row],[Удельное сопротивление грунта, Ом·м]])),D131/SQRT(Таблица_pr[[#This Row],[Удельное сопротивление грунта, Ом·м]]))</f>
        <v>16.666666666670455</v>
      </c>
      <c r="G131" s="189">
        <v>126</v>
      </c>
      <c r="H131" s="185">
        <v>509.10000000000286</v>
      </c>
      <c r="I131" s="186">
        <v>36</v>
      </c>
      <c r="J131" s="180">
        <f t="shared" si="14"/>
        <v>100.00000000002274</v>
      </c>
      <c r="K131" s="61">
        <f>IFERROR(IF(H131-H130&lt;=0,"",J131/SQRT(Таблица_pr1[[#This Row],[Удельное сопротивление грунта, Ом·м]])),J131/SQRT(Таблица_pr1[[#This Row],[Удельное сопротивление грунта, Ом·м]]))</f>
        <v>16.666666666670455</v>
      </c>
      <c r="Q131" s="61" t="str">
        <f>IFERROR(IF(N131-N130&lt;=0,"",P131/SQRT(Таблица_pr2[[#This Row],[Удельное сопротивление грунта, Ом·м]])),P131/SQRT(Таблица_pr2[[#This Row],[Удельное сопротивление грунта, Ом·м]]))</f>
        <v/>
      </c>
      <c r="W131" s="61" t="str">
        <f>IFERROR(IF(T131-T130&lt;=0,"",V131/SQRT(Таблица_pr3[[#This Row],[Удельное сопротивление грунта, Ом·м]])),V131/SQRT(Таблица_pr3[[#This Row],[Удельное сопротивление грунта, Ом·м]]))</f>
        <v/>
      </c>
      <c r="AC131" s="61" t="str">
        <f>IFERROR(IF(Z131-Z130&lt;=0,"",AB131/SQRT(Таблица_pr4[[#This Row],[Удельное сопротивление грунта, Ом·м]])),AB131/SQRT(Таблица_pr4[[#This Row],[Удельное сопротивление грунта, Ом·м]]))</f>
        <v/>
      </c>
      <c r="AI131" s="61" t="str">
        <f>IFERROR(IF(AF131-AF130&lt;=0,"",AH131/SQRT(Таблица_pr5[[#This Row],[Удельное сопротивление грунта, Ом·м]])),AH131/SQRT(Таблица_pr5[[#This Row],[Удельное сопротивление грунта, Ом·м]]))</f>
        <v/>
      </c>
      <c r="AO131" s="61" t="str">
        <f>IFERROR(IF(AL131-AL130&lt;=0,"",AN131/SQRT(Таблица_pr6[[#This Row],[Удельное сопротивление грунта, Ом·м]])),AN131/SQRT(Таблица_pr6[[#This Row],[Удельное сопротивление грунта, Ом·м]]))</f>
        <v/>
      </c>
      <c r="AU131" s="61" t="str">
        <f>IFERROR(IF(AR131-AR130&lt;=0,"",AT131/SQRT(Таблица_pr7[[#This Row],[Удельное сопротивление грунта, Ом·м]])),AT131/SQRT(Таблица_pr7[[#This Row],[Удельное сопротивление грунта, Ом·м]]))</f>
        <v/>
      </c>
      <c r="BA131" s="61" t="str">
        <f>IFERROR(IF(AX131-AX130&lt;=0,"",AZ131/SQRT(Таблица_pr8[[#This Row],[Удельное сопротивление грунта, Ом·м]])),AZ131/SQRT(Таблица_pr8[[#This Row],[Удельное сопротивление грунта, Ом·м]]))</f>
        <v/>
      </c>
      <c r="BC131" s="55"/>
      <c r="BD131" s="52"/>
      <c r="BE131" s="67"/>
      <c r="BG131" s="61" t="str">
        <f>IFERROR(IF(BD131-AX150&lt;=0,"",BF131/SQRT(Таблица_pr9[[#This Row],[Удельное сопротивление грунта, Ом·м]])),BF131/SQRT(Таблица_pr9[[#This Row],[Удельное сопротивление грунта, Ом·м]]))</f>
        <v/>
      </c>
      <c r="BI131" s="55"/>
      <c r="BJ131" s="52"/>
      <c r="BK131" s="67"/>
      <c r="BM131" s="61" t="str">
        <f>IFERROR(IF(BJ131-BD160&lt;=0,"",BL131/SQRT(Таблица_pr10[[#This Row],[Удельное сопротивление грунта, Ом·м]])),BL131/SQRT(Таблица_pr10[[#This Row],[Удельное сопротивление грунта, Ом·м]]))</f>
        <v/>
      </c>
    </row>
    <row r="132" spans="1:65">
      <c r="A132" s="64">
        <v>127</v>
      </c>
      <c r="B132" s="52">
        <v>509.20000000000289</v>
      </c>
      <c r="C132" s="67">
        <v>55.6</v>
      </c>
      <c r="D132" s="61">
        <f t="shared" si="13"/>
        <v>100.00000000002274</v>
      </c>
      <c r="E132" s="61">
        <f>IFERROR(IF(B132-B131&lt;=0,"",D132/SQRT(Таблица_pr[[#This Row],[Удельное сопротивление грунта, Ом·м]])),D132/SQRT(Таблица_pr[[#This Row],[Удельное сопротивление грунта, Ом·м]]))</f>
        <v>13.411044519648552</v>
      </c>
      <c r="G132" s="188">
        <v>127</v>
      </c>
      <c r="H132" s="184">
        <v>509.20000000000289</v>
      </c>
      <c r="I132" s="187">
        <v>55.6</v>
      </c>
      <c r="J132" s="181">
        <f t="shared" si="14"/>
        <v>100.00000000002274</v>
      </c>
      <c r="K132" s="61">
        <f>IFERROR(IF(H132-H131&lt;=0,"",J132/SQRT(Таблица_pr1[[#This Row],[Удельное сопротивление грунта, Ом·м]])),J132/SQRT(Таблица_pr1[[#This Row],[Удельное сопротивление грунта, Ом·м]]))</f>
        <v>13.411044519648552</v>
      </c>
      <c r="Q132" s="61" t="str">
        <f>IFERROR(IF(N132-N131&lt;=0,"",P132/SQRT(Таблица_pr2[[#This Row],[Удельное сопротивление грунта, Ом·м]])),P132/SQRT(Таблица_pr2[[#This Row],[Удельное сопротивление грунта, Ом·м]]))</f>
        <v/>
      </c>
      <c r="W132" s="61" t="str">
        <f>IFERROR(IF(T132-T131&lt;=0,"",V132/SQRT(Таблица_pr3[[#This Row],[Удельное сопротивление грунта, Ом·м]])),V132/SQRT(Таблица_pr3[[#This Row],[Удельное сопротивление грунта, Ом·м]]))</f>
        <v/>
      </c>
      <c r="AC132" s="61" t="str">
        <f>IFERROR(IF(Z132-Z131&lt;=0,"",AB132/SQRT(Таблица_pr4[[#This Row],[Удельное сопротивление грунта, Ом·м]])),AB132/SQRT(Таблица_pr4[[#This Row],[Удельное сопротивление грунта, Ом·м]]))</f>
        <v/>
      </c>
      <c r="AI132" s="61" t="str">
        <f>IFERROR(IF(AF132-AF131&lt;=0,"",AH132/SQRT(Таблица_pr5[[#This Row],[Удельное сопротивление грунта, Ом·м]])),AH132/SQRT(Таблица_pr5[[#This Row],[Удельное сопротивление грунта, Ом·м]]))</f>
        <v/>
      </c>
      <c r="AO132" s="61" t="str">
        <f>IFERROR(IF(AL132-AL131&lt;=0,"",AN132/SQRT(Таблица_pr6[[#This Row],[Удельное сопротивление грунта, Ом·м]])),AN132/SQRT(Таблица_pr6[[#This Row],[Удельное сопротивление грунта, Ом·м]]))</f>
        <v/>
      </c>
      <c r="AU132" s="61" t="str">
        <f>IFERROR(IF(AR132-AR131&lt;=0,"",AT132/SQRT(Таблица_pr7[[#This Row],[Удельное сопротивление грунта, Ом·м]])),AT132/SQRT(Таблица_pr7[[#This Row],[Удельное сопротивление грунта, Ом·м]]))</f>
        <v/>
      </c>
      <c r="BA132" s="61" t="str">
        <f>IFERROR(IF(AX132-AX131&lt;=0,"",AZ132/SQRT(Таблица_pr8[[#This Row],[Удельное сопротивление грунта, Ом·м]])),AZ132/SQRT(Таблица_pr8[[#This Row],[Удельное сопротивление грунта, Ом·м]]))</f>
        <v/>
      </c>
      <c r="BC132" s="55"/>
      <c r="BD132" s="52"/>
      <c r="BE132" s="67"/>
      <c r="BG132" s="61" t="str">
        <f>IFERROR(IF(BD132-AX151&lt;=0,"",BF132/SQRT(Таблица_pr9[[#This Row],[Удельное сопротивление грунта, Ом·м]])),BF132/SQRT(Таблица_pr9[[#This Row],[Удельное сопротивление грунта, Ом·м]]))</f>
        <v/>
      </c>
      <c r="BI132" s="55"/>
      <c r="BJ132" s="52"/>
      <c r="BK132" s="67"/>
      <c r="BM132" s="61" t="str">
        <f>IFERROR(IF(BJ132-BD161&lt;=0,"",BL132/SQRT(Таблица_pr10[[#This Row],[Удельное сопротивление грунта, Ом·м]])),BL132/SQRT(Таблица_pr10[[#This Row],[Удельное сопротивление грунта, Ом·м]]))</f>
        <v/>
      </c>
    </row>
    <row r="133" spans="1:65">
      <c r="A133" s="64">
        <v>128</v>
      </c>
      <c r="B133" s="52">
        <v>509.30000000000291</v>
      </c>
      <c r="C133" s="67">
        <v>60.1</v>
      </c>
      <c r="D133" s="61">
        <f t="shared" si="13"/>
        <v>100.00000000002274</v>
      </c>
      <c r="E133" s="61">
        <f>IFERROR(IF(B133-B132&lt;=0,"",D133/SQRT(Таблица_pr[[#This Row],[Удельное сопротивление грунта, Ом·м]])),D133/SQRT(Таблица_pr[[#This Row],[Удельное сопротивление грунта, Ом·м]]))</f>
        <v>12.899199629496648</v>
      </c>
      <c r="G133" s="189">
        <v>128</v>
      </c>
      <c r="H133" s="185">
        <v>509.30000000000291</v>
      </c>
      <c r="I133" s="186">
        <v>60.1</v>
      </c>
      <c r="J133" s="180">
        <f t="shared" si="14"/>
        <v>100.00000000002274</v>
      </c>
      <c r="K133" s="61">
        <f>IFERROR(IF(H133-H132&lt;=0,"",J133/SQRT(Таблица_pr1[[#This Row],[Удельное сопротивление грунта, Ом·м]])),J133/SQRT(Таблица_pr1[[#This Row],[Удельное сопротивление грунта, Ом·м]]))</f>
        <v>12.899199629496648</v>
      </c>
      <c r="Q133" s="61" t="str">
        <f>IFERROR(IF(N133-N132&lt;=0,"",P133/SQRT(Таблица_pr2[[#This Row],[Удельное сопротивление грунта, Ом·м]])),P133/SQRT(Таблица_pr2[[#This Row],[Удельное сопротивление грунта, Ом·м]]))</f>
        <v/>
      </c>
      <c r="W133" s="61" t="str">
        <f>IFERROR(IF(T133-T132&lt;=0,"",V133/SQRT(Таблица_pr3[[#This Row],[Удельное сопротивление грунта, Ом·м]])),V133/SQRT(Таблица_pr3[[#This Row],[Удельное сопротивление грунта, Ом·м]]))</f>
        <v/>
      </c>
      <c r="AC133" s="61" t="str">
        <f>IFERROR(IF(Z133-Z132&lt;=0,"",AB133/SQRT(Таблица_pr4[[#This Row],[Удельное сопротивление грунта, Ом·м]])),AB133/SQRT(Таблица_pr4[[#This Row],[Удельное сопротивление грунта, Ом·м]]))</f>
        <v/>
      </c>
      <c r="AI133" s="61" t="str">
        <f>IFERROR(IF(AF133-AF132&lt;=0,"",AH133/SQRT(Таблица_pr5[[#This Row],[Удельное сопротивление грунта, Ом·м]])),AH133/SQRT(Таблица_pr5[[#This Row],[Удельное сопротивление грунта, Ом·м]]))</f>
        <v/>
      </c>
      <c r="AO133" s="61" t="str">
        <f>IFERROR(IF(AL133-AL132&lt;=0,"",AN133/SQRT(Таблица_pr6[[#This Row],[Удельное сопротивление грунта, Ом·м]])),AN133/SQRT(Таблица_pr6[[#This Row],[Удельное сопротивление грунта, Ом·м]]))</f>
        <v/>
      </c>
      <c r="AU133" s="61" t="str">
        <f>IFERROR(IF(AR133-AR132&lt;=0,"",AT133/SQRT(Таблица_pr7[[#This Row],[Удельное сопротивление грунта, Ом·м]])),AT133/SQRT(Таблица_pr7[[#This Row],[Удельное сопротивление грунта, Ом·м]]))</f>
        <v/>
      </c>
      <c r="BA133" s="61" t="str">
        <f>IFERROR(IF(AX133-AX132&lt;=0,"",AZ133/SQRT(Таблица_pr8[[#This Row],[Удельное сопротивление грунта, Ом·м]])),AZ133/SQRT(Таблица_pr8[[#This Row],[Удельное сопротивление грунта, Ом·м]]))</f>
        <v/>
      </c>
      <c r="BC133" s="55"/>
      <c r="BD133" s="52"/>
      <c r="BE133" s="67"/>
      <c r="BG133" s="61" t="str">
        <f>IFERROR(IF(BD133-AX152&lt;=0,"",BF133/SQRT(Таблица_pr9[[#This Row],[Удельное сопротивление грунта, Ом·м]])),BF133/SQRT(Таблица_pr9[[#This Row],[Удельное сопротивление грунта, Ом·м]]))</f>
        <v/>
      </c>
      <c r="BI133" s="55"/>
      <c r="BJ133" s="52"/>
      <c r="BK133" s="67"/>
      <c r="BM133" s="61" t="str">
        <f>IFERROR(IF(BJ133-BD162&lt;=0,"",BL133/SQRT(Таблица_pr10[[#This Row],[Удельное сопротивление грунта, Ом·м]])),BL133/SQRT(Таблица_pr10[[#This Row],[Удельное сопротивление грунта, Ом·м]]))</f>
        <v/>
      </c>
    </row>
    <row r="134" spans="1:65">
      <c r="A134" s="64">
        <v>129</v>
      </c>
      <c r="B134" s="52">
        <v>509.40000000000293</v>
      </c>
      <c r="C134" s="67">
        <v>57</v>
      </c>
      <c r="D134" s="61">
        <f t="shared" ref="D134:D197" si="15">IFERROR(IF(B134-B133&lt;=0,"",(B134-B133)*1000),100)</f>
        <v>100.00000000002274</v>
      </c>
      <c r="E134" s="61">
        <f>IFERROR(IF(B134-B133&lt;=0,"",D134/SQRT(Таблица_pr[[#This Row],[Удельное сопротивление грунта, Ом·м]])),D134/SQRT(Таблица_pr[[#This Row],[Удельное сопротивление грунта, Ом·м]]))</f>
        <v>13.245323570653449</v>
      </c>
      <c r="G134" s="188">
        <v>129</v>
      </c>
      <c r="H134" s="184">
        <v>509.40000000000293</v>
      </c>
      <c r="I134" s="187">
        <v>57</v>
      </c>
      <c r="J134" s="181">
        <f t="shared" ref="J134:J197" si="16">IFERROR(IF(H134-H133&lt;=0,"",(H134-H133)*1000),100)</f>
        <v>100.00000000002274</v>
      </c>
      <c r="K134" s="61">
        <f>IFERROR(IF(H134-H133&lt;=0,"",J134/SQRT(Таблица_pr1[[#This Row],[Удельное сопротивление грунта, Ом·м]])),J134/SQRT(Таблица_pr1[[#This Row],[Удельное сопротивление грунта, Ом·м]]))</f>
        <v>13.245323570653449</v>
      </c>
      <c r="Q134" s="61" t="str">
        <f>IFERROR(IF(N134-N133&lt;=0,"",P134/SQRT(Таблица_pr2[[#This Row],[Удельное сопротивление грунта, Ом·м]])),P134/SQRT(Таблица_pr2[[#This Row],[Удельное сопротивление грунта, Ом·м]]))</f>
        <v/>
      </c>
      <c r="W134" s="61" t="str">
        <f>IFERROR(IF(T134-T133&lt;=0,"",V134/SQRT(Таблица_pr3[[#This Row],[Удельное сопротивление грунта, Ом·м]])),V134/SQRT(Таблица_pr3[[#This Row],[Удельное сопротивление грунта, Ом·м]]))</f>
        <v/>
      </c>
      <c r="AC134" s="61" t="str">
        <f>IFERROR(IF(Z134-Z133&lt;=0,"",AB134/SQRT(Таблица_pr4[[#This Row],[Удельное сопротивление грунта, Ом·м]])),AB134/SQRT(Таблица_pr4[[#This Row],[Удельное сопротивление грунта, Ом·м]]))</f>
        <v/>
      </c>
      <c r="AI134" s="61" t="str">
        <f>IFERROR(IF(AF134-AF133&lt;=0,"",AH134/SQRT(Таблица_pr5[[#This Row],[Удельное сопротивление грунта, Ом·м]])),AH134/SQRT(Таблица_pr5[[#This Row],[Удельное сопротивление грунта, Ом·м]]))</f>
        <v/>
      </c>
      <c r="AO134" s="61" t="str">
        <f>IFERROR(IF(AL134-AL133&lt;=0,"",AN134/SQRT(Таблица_pr6[[#This Row],[Удельное сопротивление грунта, Ом·м]])),AN134/SQRT(Таблица_pr6[[#This Row],[Удельное сопротивление грунта, Ом·м]]))</f>
        <v/>
      </c>
      <c r="AU134" s="61" t="str">
        <f>IFERROR(IF(AR134-AR133&lt;=0,"",AT134/SQRT(Таблица_pr7[[#This Row],[Удельное сопротивление грунта, Ом·м]])),AT134/SQRT(Таблица_pr7[[#This Row],[Удельное сопротивление грунта, Ом·м]]))</f>
        <v/>
      </c>
      <c r="BA134" s="61" t="str">
        <f>IFERROR(IF(AX134-AX133&lt;=0,"",AZ134/SQRT(Таблица_pr8[[#This Row],[Удельное сопротивление грунта, Ом·м]])),AZ134/SQRT(Таблица_pr8[[#This Row],[Удельное сопротивление грунта, Ом·м]]))</f>
        <v/>
      </c>
      <c r="BC134" s="55"/>
      <c r="BD134" s="52"/>
      <c r="BE134" s="67"/>
      <c r="BG134" s="61" t="str">
        <f>IFERROR(IF(BD134-AX153&lt;=0,"",BF134/SQRT(Таблица_pr9[[#This Row],[Удельное сопротивление грунта, Ом·м]])),BF134/SQRT(Таблица_pr9[[#This Row],[Удельное сопротивление грунта, Ом·м]]))</f>
        <v/>
      </c>
      <c r="BI134" s="55"/>
      <c r="BJ134" s="52"/>
      <c r="BK134" s="67"/>
      <c r="BM134" s="61" t="str">
        <f>IFERROR(IF(BJ134-BD163&lt;=0,"",BL134/SQRT(Таблица_pr10[[#This Row],[Удельное сопротивление грунта, Ом·м]])),BL134/SQRT(Таблица_pr10[[#This Row],[Удельное сопротивление грунта, Ом·м]]))</f>
        <v/>
      </c>
    </row>
    <row r="135" spans="1:65">
      <c r="A135" s="64">
        <v>130</v>
      </c>
      <c r="B135" s="52">
        <v>509.50000000000296</v>
      </c>
      <c r="C135" s="67">
        <v>57.1</v>
      </c>
      <c r="D135" s="61">
        <f t="shared" si="15"/>
        <v>100.00000000002274</v>
      </c>
      <c r="E135" s="61">
        <f>IFERROR(IF(B135-B134&lt;=0,"",D135/SQRT(Таблица_pr[[#This Row],[Удельное сопротивление грунта, Ом·м]])),D135/SQRT(Таблица_pr[[#This Row],[Удельное сопротивление грунта, Ом·м]]))</f>
        <v>13.233720131220213</v>
      </c>
      <c r="G135" s="189">
        <v>130</v>
      </c>
      <c r="H135" s="185">
        <v>509.50000000000296</v>
      </c>
      <c r="I135" s="186">
        <v>57.1</v>
      </c>
      <c r="J135" s="180">
        <f t="shared" si="16"/>
        <v>100.00000000002274</v>
      </c>
      <c r="K135" s="61">
        <f>IFERROR(IF(H135-H134&lt;=0,"",J135/SQRT(Таблица_pr1[[#This Row],[Удельное сопротивление грунта, Ом·м]])),J135/SQRT(Таблица_pr1[[#This Row],[Удельное сопротивление грунта, Ом·м]]))</f>
        <v>13.233720131220213</v>
      </c>
      <c r="Q135" s="61" t="str">
        <f>IFERROR(IF(N135-N134&lt;=0,"",P135/SQRT(Таблица_pr2[[#This Row],[Удельное сопротивление грунта, Ом·м]])),P135/SQRT(Таблица_pr2[[#This Row],[Удельное сопротивление грунта, Ом·м]]))</f>
        <v/>
      </c>
      <c r="W135" s="61" t="str">
        <f>IFERROR(IF(T135-T134&lt;=0,"",V135/SQRT(Таблица_pr3[[#This Row],[Удельное сопротивление грунта, Ом·м]])),V135/SQRT(Таблица_pr3[[#This Row],[Удельное сопротивление грунта, Ом·м]]))</f>
        <v/>
      </c>
      <c r="AC135" s="61" t="str">
        <f>IFERROR(IF(Z135-Z134&lt;=0,"",AB135/SQRT(Таблица_pr4[[#This Row],[Удельное сопротивление грунта, Ом·м]])),AB135/SQRT(Таблица_pr4[[#This Row],[Удельное сопротивление грунта, Ом·м]]))</f>
        <v/>
      </c>
      <c r="AI135" s="61" t="str">
        <f>IFERROR(IF(AF135-AF134&lt;=0,"",AH135/SQRT(Таблица_pr5[[#This Row],[Удельное сопротивление грунта, Ом·м]])),AH135/SQRT(Таблица_pr5[[#This Row],[Удельное сопротивление грунта, Ом·м]]))</f>
        <v/>
      </c>
      <c r="AO135" s="61" t="str">
        <f>IFERROR(IF(AL135-AL134&lt;=0,"",AN135/SQRT(Таблица_pr6[[#This Row],[Удельное сопротивление грунта, Ом·м]])),AN135/SQRT(Таблица_pr6[[#This Row],[Удельное сопротивление грунта, Ом·м]]))</f>
        <v/>
      </c>
      <c r="AU135" s="61" t="str">
        <f>IFERROR(IF(AR135-AR134&lt;=0,"",AT135/SQRT(Таблица_pr7[[#This Row],[Удельное сопротивление грунта, Ом·м]])),AT135/SQRT(Таблица_pr7[[#This Row],[Удельное сопротивление грунта, Ом·м]]))</f>
        <v/>
      </c>
      <c r="BA135" s="61" t="str">
        <f>IFERROR(IF(AX135-AX134&lt;=0,"",AZ135/SQRT(Таблица_pr8[[#This Row],[Удельное сопротивление грунта, Ом·м]])),AZ135/SQRT(Таблица_pr8[[#This Row],[Удельное сопротивление грунта, Ом·м]]))</f>
        <v/>
      </c>
      <c r="BC135" s="55"/>
      <c r="BD135" s="52"/>
      <c r="BE135" s="67"/>
      <c r="BG135" s="61" t="str">
        <f>IFERROR(IF(BD135-AX154&lt;=0,"",BF135/SQRT(Таблица_pr9[[#This Row],[Удельное сопротивление грунта, Ом·м]])),BF135/SQRT(Таблица_pr9[[#This Row],[Удельное сопротивление грунта, Ом·м]]))</f>
        <v/>
      </c>
      <c r="BI135" s="55"/>
      <c r="BJ135" s="52"/>
      <c r="BK135" s="67"/>
      <c r="BM135" s="61" t="str">
        <f>IFERROR(IF(BJ135-BD164&lt;=0,"",BL135/SQRT(Таблица_pr10[[#This Row],[Удельное сопротивление грунта, Ом·м]])),BL135/SQRT(Таблица_pr10[[#This Row],[Удельное сопротивление грунта, Ом·м]]))</f>
        <v/>
      </c>
    </row>
    <row r="136" spans="1:65">
      <c r="A136" s="64">
        <v>131</v>
      </c>
      <c r="B136" s="52">
        <v>509.60000000000298</v>
      </c>
      <c r="C136" s="67">
        <v>65.099999999999994</v>
      </c>
      <c r="D136" s="61">
        <f t="shared" si="15"/>
        <v>100.00000000002274</v>
      </c>
      <c r="E136" s="61">
        <f>IFERROR(IF(B136-B135&lt;=0,"",D136/SQRT(Таблица_pr[[#This Row],[Удельное сопротивление грунта, Ом·м]])),D136/SQRT(Таблица_pr[[#This Row],[Удельное сопротивление грунта, Ом·м]]))</f>
        <v>12.393943320398709</v>
      </c>
      <c r="G136" s="188">
        <v>131</v>
      </c>
      <c r="H136" s="184">
        <v>509.60000000000298</v>
      </c>
      <c r="I136" s="187">
        <v>65.099999999999994</v>
      </c>
      <c r="J136" s="181">
        <f t="shared" si="16"/>
        <v>100.00000000002274</v>
      </c>
      <c r="K136" s="61">
        <f>IFERROR(IF(H136-H135&lt;=0,"",J136/SQRT(Таблица_pr1[[#This Row],[Удельное сопротивление грунта, Ом·м]])),J136/SQRT(Таблица_pr1[[#This Row],[Удельное сопротивление грунта, Ом·м]]))</f>
        <v>12.393943320398709</v>
      </c>
      <c r="Q136" s="61" t="str">
        <f>IFERROR(IF(N136-N135&lt;=0,"",P136/SQRT(Таблица_pr2[[#This Row],[Удельное сопротивление грунта, Ом·м]])),P136/SQRT(Таблица_pr2[[#This Row],[Удельное сопротивление грунта, Ом·м]]))</f>
        <v/>
      </c>
      <c r="W136" s="61" t="str">
        <f>IFERROR(IF(T136-T135&lt;=0,"",V136/SQRT(Таблица_pr3[[#This Row],[Удельное сопротивление грунта, Ом·м]])),V136/SQRT(Таблица_pr3[[#This Row],[Удельное сопротивление грунта, Ом·м]]))</f>
        <v/>
      </c>
      <c r="AC136" s="61" t="str">
        <f>IFERROR(IF(Z136-Z135&lt;=0,"",AB136/SQRT(Таблица_pr4[[#This Row],[Удельное сопротивление грунта, Ом·м]])),AB136/SQRT(Таблица_pr4[[#This Row],[Удельное сопротивление грунта, Ом·м]]))</f>
        <v/>
      </c>
      <c r="AI136" s="61" t="str">
        <f>IFERROR(IF(AF136-AF135&lt;=0,"",AH136/SQRT(Таблица_pr5[[#This Row],[Удельное сопротивление грунта, Ом·м]])),AH136/SQRT(Таблица_pr5[[#This Row],[Удельное сопротивление грунта, Ом·м]]))</f>
        <v/>
      </c>
      <c r="AO136" s="61" t="str">
        <f>IFERROR(IF(AL136-AL135&lt;=0,"",AN136/SQRT(Таблица_pr6[[#This Row],[Удельное сопротивление грунта, Ом·м]])),AN136/SQRT(Таблица_pr6[[#This Row],[Удельное сопротивление грунта, Ом·м]]))</f>
        <v/>
      </c>
      <c r="AU136" s="61" t="str">
        <f>IFERROR(IF(AR136-AR135&lt;=0,"",AT136/SQRT(Таблица_pr7[[#This Row],[Удельное сопротивление грунта, Ом·м]])),AT136/SQRT(Таблица_pr7[[#This Row],[Удельное сопротивление грунта, Ом·м]]))</f>
        <v/>
      </c>
      <c r="BA136" s="61" t="str">
        <f>IFERROR(IF(AX136-AX135&lt;=0,"",AZ136/SQRT(Таблица_pr8[[#This Row],[Удельное сопротивление грунта, Ом·м]])),AZ136/SQRT(Таблица_pr8[[#This Row],[Удельное сопротивление грунта, Ом·м]]))</f>
        <v/>
      </c>
      <c r="BC136" s="55"/>
      <c r="BD136" s="52"/>
      <c r="BE136" s="67"/>
      <c r="BG136" s="61" t="str">
        <f>IFERROR(IF(BD136-AX155&lt;=0,"",BF136/SQRT(Таблица_pr9[[#This Row],[Удельное сопротивление грунта, Ом·м]])),BF136/SQRT(Таблица_pr9[[#This Row],[Удельное сопротивление грунта, Ом·м]]))</f>
        <v/>
      </c>
      <c r="BI136" s="55"/>
      <c r="BJ136" s="52"/>
      <c r="BK136" s="67"/>
      <c r="BM136" s="61" t="str">
        <f>IFERROR(IF(BJ136-BD165&lt;=0,"",BL136/SQRT(Таблица_pr10[[#This Row],[Удельное сопротивление грунта, Ом·м]])),BL136/SQRT(Таблица_pr10[[#This Row],[Удельное сопротивление грунта, Ом·м]]))</f>
        <v/>
      </c>
    </row>
    <row r="137" spans="1:65">
      <c r="A137" s="64">
        <v>132</v>
      </c>
      <c r="B137" s="52">
        <v>509.700000000003</v>
      </c>
      <c r="C137" s="67">
        <v>65</v>
      </c>
      <c r="D137" s="61">
        <f t="shared" si="15"/>
        <v>100.00000000002274</v>
      </c>
      <c r="E137" s="61">
        <f>IFERROR(IF(B137-B136&lt;=0,"",D137/SQRT(Таблица_pr[[#This Row],[Удельное сопротивление грунта, Ом·м]])),D137/SQRT(Таблица_pr[[#This Row],[Удельное сопротивление грунта, Ом·м]]))</f>
        <v>12.403473458923667</v>
      </c>
      <c r="G137" s="189">
        <v>132</v>
      </c>
      <c r="H137" s="185">
        <v>509.700000000003</v>
      </c>
      <c r="I137" s="186">
        <v>65</v>
      </c>
      <c r="J137" s="180">
        <f t="shared" si="16"/>
        <v>100.00000000002274</v>
      </c>
      <c r="K137" s="61">
        <f>IFERROR(IF(H137-H136&lt;=0,"",J137/SQRT(Таблица_pr1[[#This Row],[Удельное сопротивление грунта, Ом·м]])),J137/SQRT(Таблица_pr1[[#This Row],[Удельное сопротивление грунта, Ом·м]]))</f>
        <v>12.403473458923667</v>
      </c>
      <c r="Q137" s="61" t="str">
        <f>IFERROR(IF(N137-N136&lt;=0,"",P137/SQRT(Таблица_pr2[[#This Row],[Удельное сопротивление грунта, Ом·м]])),P137/SQRT(Таблица_pr2[[#This Row],[Удельное сопротивление грунта, Ом·м]]))</f>
        <v/>
      </c>
      <c r="W137" s="61" t="str">
        <f>IFERROR(IF(T137-T136&lt;=0,"",V137/SQRT(Таблица_pr3[[#This Row],[Удельное сопротивление грунта, Ом·м]])),V137/SQRT(Таблица_pr3[[#This Row],[Удельное сопротивление грунта, Ом·м]]))</f>
        <v/>
      </c>
      <c r="AC137" s="61" t="str">
        <f>IFERROR(IF(Z137-Z136&lt;=0,"",AB137/SQRT(Таблица_pr4[[#This Row],[Удельное сопротивление грунта, Ом·м]])),AB137/SQRT(Таблица_pr4[[#This Row],[Удельное сопротивление грунта, Ом·м]]))</f>
        <v/>
      </c>
      <c r="AI137" s="61" t="str">
        <f>IFERROR(IF(AF137-AF136&lt;=0,"",AH137/SQRT(Таблица_pr5[[#This Row],[Удельное сопротивление грунта, Ом·м]])),AH137/SQRT(Таблица_pr5[[#This Row],[Удельное сопротивление грунта, Ом·м]]))</f>
        <v/>
      </c>
      <c r="AO137" s="61" t="str">
        <f>IFERROR(IF(AL137-AL136&lt;=0,"",AN137/SQRT(Таблица_pr6[[#This Row],[Удельное сопротивление грунта, Ом·м]])),AN137/SQRT(Таблица_pr6[[#This Row],[Удельное сопротивление грунта, Ом·м]]))</f>
        <v/>
      </c>
      <c r="AU137" s="61" t="str">
        <f>IFERROR(IF(AR137-AR136&lt;=0,"",AT137/SQRT(Таблица_pr7[[#This Row],[Удельное сопротивление грунта, Ом·м]])),AT137/SQRT(Таблица_pr7[[#This Row],[Удельное сопротивление грунта, Ом·м]]))</f>
        <v/>
      </c>
      <c r="BA137" s="61" t="str">
        <f>IFERROR(IF(AX137-AX136&lt;=0,"",AZ137/SQRT(Таблица_pr8[[#This Row],[Удельное сопротивление грунта, Ом·м]])),AZ137/SQRT(Таблица_pr8[[#This Row],[Удельное сопротивление грунта, Ом·м]]))</f>
        <v/>
      </c>
      <c r="BC137" s="55"/>
      <c r="BD137" s="52"/>
      <c r="BE137" s="67"/>
      <c r="BG137" s="61" t="str">
        <f>IFERROR(IF(BD137-AX156&lt;=0,"",BF137/SQRT(Таблица_pr9[[#This Row],[Удельное сопротивление грунта, Ом·м]])),BF137/SQRT(Таблица_pr9[[#This Row],[Удельное сопротивление грунта, Ом·м]]))</f>
        <v/>
      </c>
      <c r="BI137" s="55"/>
      <c r="BJ137" s="52"/>
      <c r="BK137" s="67"/>
      <c r="BM137" s="61" t="str">
        <f>IFERROR(IF(BJ137-BD166&lt;=0,"",BL137/SQRT(Таблица_pr10[[#This Row],[Удельное сопротивление грунта, Ом·м]])),BL137/SQRT(Таблица_pr10[[#This Row],[Удельное сопротивление грунта, Ом·м]]))</f>
        <v/>
      </c>
    </row>
    <row r="138" spans="1:65">
      <c r="A138" s="64">
        <v>133</v>
      </c>
      <c r="B138" s="52">
        <v>509.80000000000302</v>
      </c>
      <c r="C138" s="67">
        <v>52.9</v>
      </c>
      <c r="D138" s="61">
        <f t="shared" si="15"/>
        <v>100.00000000002274</v>
      </c>
      <c r="E138" s="61">
        <f>IFERROR(IF(B138-B137&lt;=0,"",D138/SQRT(Таблица_pr[[#This Row],[Удельное сопротивление грунта, Ом·м]])),D138/SQRT(Таблица_pr[[#This Row],[Удельное сопротивление грунта, Ом·м]]))</f>
        <v>13.749033305083037</v>
      </c>
      <c r="G138" s="188">
        <v>133</v>
      </c>
      <c r="H138" s="184">
        <v>509.80000000000302</v>
      </c>
      <c r="I138" s="187">
        <v>52.9</v>
      </c>
      <c r="J138" s="181">
        <f t="shared" si="16"/>
        <v>100.00000000002274</v>
      </c>
      <c r="K138" s="61">
        <f>IFERROR(IF(H138-H137&lt;=0,"",J138/SQRT(Таблица_pr1[[#This Row],[Удельное сопротивление грунта, Ом·м]])),J138/SQRT(Таблица_pr1[[#This Row],[Удельное сопротивление грунта, Ом·м]]))</f>
        <v>13.749033305083037</v>
      </c>
      <c r="Q138" s="61" t="str">
        <f>IFERROR(IF(N138-N137&lt;=0,"",P138/SQRT(Таблица_pr2[[#This Row],[Удельное сопротивление грунта, Ом·м]])),P138/SQRT(Таблица_pr2[[#This Row],[Удельное сопротивление грунта, Ом·м]]))</f>
        <v/>
      </c>
      <c r="W138" s="61" t="str">
        <f>IFERROR(IF(T138-T137&lt;=0,"",V138/SQRT(Таблица_pr3[[#This Row],[Удельное сопротивление грунта, Ом·м]])),V138/SQRT(Таблица_pr3[[#This Row],[Удельное сопротивление грунта, Ом·м]]))</f>
        <v/>
      </c>
      <c r="AC138" s="61" t="str">
        <f>IFERROR(IF(Z138-Z137&lt;=0,"",AB138/SQRT(Таблица_pr4[[#This Row],[Удельное сопротивление грунта, Ом·м]])),AB138/SQRT(Таблица_pr4[[#This Row],[Удельное сопротивление грунта, Ом·м]]))</f>
        <v/>
      </c>
      <c r="AI138" s="61" t="str">
        <f>IFERROR(IF(AF138-AF137&lt;=0,"",AH138/SQRT(Таблица_pr5[[#This Row],[Удельное сопротивление грунта, Ом·м]])),AH138/SQRT(Таблица_pr5[[#This Row],[Удельное сопротивление грунта, Ом·м]]))</f>
        <v/>
      </c>
      <c r="AO138" s="61" t="str">
        <f>IFERROR(IF(AL138-AL137&lt;=0,"",AN138/SQRT(Таблица_pr6[[#This Row],[Удельное сопротивление грунта, Ом·м]])),AN138/SQRT(Таблица_pr6[[#This Row],[Удельное сопротивление грунта, Ом·м]]))</f>
        <v/>
      </c>
      <c r="AQ138" s="55"/>
      <c r="AR138" s="52"/>
      <c r="AS138" s="67"/>
      <c r="AU138" s="61" t="str">
        <f>IFERROR(IF(AR138-AR137&lt;=0,"",AT138/SQRT(Таблица_pr7[[#This Row],[Удельное сопротивление грунта, Ом·м]])),AT138/SQRT(Таблица_pr7[[#This Row],[Удельное сопротивление грунта, Ом·м]]))</f>
        <v/>
      </c>
      <c r="BA138" s="61" t="str">
        <f>IFERROR(IF(AX138-AX137&lt;=0,"",AZ138/SQRT(Таблица_pr8[[#This Row],[Удельное сопротивление грунта, Ом·м]])),AZ138/SQRT(Таблица_pr8[[#This Row],[Удельное сопротивление грунта, Ом·м]]))</f>
        <v/>
      </c>
      <c r="BC138" s="55"/>
      <c r="BD138" s="52"/>
      <c r="BE138" s="67"/>
      <c r="BG138" s="61" t="str">
        <f>IFERROR(IF(BD138-AX157&lt;=0,"",BF138/SQRT(Таблица_pr9[[#This Row],[Удельное сопротивление грунта, Ом·м]])),BF138/SQRT(Таблица_pr9[[#This Row],[Удельное сопротивление грунта, Ом·м]]))</f>
        <v/>
      </c>
      <c r="BI138" s="55"/>
      <c r="BJ138" s="52"/>
      <c r="BK138" s="67"/>
      <c r="BM138" s="61" t="str">
        <f>IFERROR(IF(BJ138-BD167&lt;=0,"",BL138/SQRT(Таблица_pr10[[#This Row],[Удельное сопротивление грунта, Ом·м]])),BL138/SQRT(Таблица_pr10[[#This Row],[Удельное сопротивление грунта, Ом·м]]))</f>
        <v/>
      </c>
    </row>
    <row r="139" spans="1:65">
      <c r="A139" s="64">
        <v>134</v>
      </c>
      <c r="B139" s="52">
        <v>509.90000000000305</v>
      </c>
      <c r="C139" s="67">
        <v>58.3</v>
      </c>
      <c r="D139" s="61">
        <f t="shared" si="15"/>
        <v>100.00000000002274</v>
      </c>
      <c r="E139" s="61">
        <f>IFERROR(IF(B139-B138&lt;=0,"",D139/SQRT(Таблица_pr[[#This Row],[Удельное сопротивление грунта, Ом·м]])),D139/SQRT(Таблица_pr[[#This Row],[Удельное сопротивление грунта, Ом·м]]))</f>
        <v>13.096815896278159</v>
      </c>
      <c r="G139" s="189">
        <v>134</v>
      </c>
      <c r="H139" s="185">
        <v>509.90000000000305</v>
      </c>
      <c r="I139" s="186">
        <v>58.3</v>
      </c>
      <c r="J139" s="180">
        <f t="shared" si="16"/>
        <v>100.00000000002274</v>
      </c>
      <c r="K139" s="61">
        <f>IFERROR(IF(H139-H138&lt;=0,"",J139/SQRT(Таблица_pr1[[#This Row],[Удельное сопротивление грунта, Ом·м]])),J139/SQRT(Таблица_pr1[[#This Row],[Удельное сопротивление грунта, Ом·м]]))</f>
        <v>13.096815896278159</v>
      </c>
      <c r="Q139" s="61" t="str">
        <f>IFERROR(IF(N139-N138&lt;=0,"",P139/SQRT(Таблица_pr2[[#This Row],[Удельное сопротивление грунта, Ом·м]])),P139/SQRT(Таблица_pr2[[#This Row],[Удельное сопротивление грунта, Ом·м]]))</f>
        <v/>
      </c>
      <c r="W139" s="61" t="str">
        <f>IFERROR(IF(T139-T138&lt;=0,"",V139/SQRT(Таблица_pr3[[#This Row],[Удельное сопротивление грунта, Ом·м]])),V139/SQRT(Таблица_pr3[[#This Row],[Удельное сопротивление грунта, Ом·м]]))</f>
        <v/>
      </c>
      <c r="AC139" s="61" t="str">
        <f>IFERROR(IF(Z139-Z138&lt;=0,"",AB139/SQRT(Таблица_pr4[[#This Row],[Удельное сопротивление грунта, Ом·м]])),AB139/SQRT(Таблица_pr4[[#This Row],[Удельное сопротивление грунта, Ом·м]]))</f>
        <v/>
      </c>
      <c r="AI139" s="61" t="str">
        <f>IFERROR(IF(AF139-AF138&lt;=0,"",AH139/SQRT(Таблица_pr5[[#This Row],[Удельное сопротивление грунта, Ом·м]])),AH139/SQRT(Таблица_pr5[[#This Row],[Удельное сопротивление грунта, Ом·м]]))</f>
        <v/>
      </c>
      <c r="AO139" s="61" t="str">
        <f>IFERROR(IF(AL139-AL138&lt;=0,"",AN139/SQRT(Таблица_pr6[[#This Row],[Удельное сопротивление грунта, Ом·м]])),AN139/SQRT(Таблица_pr6[[#This Row],[Удельное сопротивление грунта, Ом·м]]))</f>
        <v/>
      </c>
      <c r="AQ139" s="55"/>
      <c r="AR139" s="52"/>
      <c r="AS139" s="67"/>
      <c r="AU139" s="61" t="str">
        <f>IFERROR(IF(AR139-AR138&lt;=0,"",AT139/SQRT(Таблица_pr7[[#This Row],[Удельное сопротивление грунта, Ом·м]])),AT139/SQRT(Таблица_pr7[[#This Row],[Удельное сопротивление грунта, Ом·м]]))</f>
        <v/>
      </c>
      <c r="BA139" s="61" t="str">
        <f>IFERROR(IF(AX139-AX138&lt;=0,"",AZ139/SQRT(Таблица_pr8[[#This Row],[Удельное сопротивление грунта, Ом·м]])),AZ139/SQRT(Таблица_pr8[[#This Row],[Удельное сопротивление грунта, Ом·м]]))</f>
        <v/>
      </c>
      <c r="BC139" s="55"/>
      <c r="BD139" s="52"/>
      <c r="BE139" s="67"/>
      <c r="BG139" s="61" t="str">
        <f>IFERROR(IF(BD139-AX158&lt;=0,"",BF139/SQRT(Таблица_pr9[[#This Row],[Удельное сопротивление грунта, Ом·м]])),BF139/SQRT(Таблица_pr9[[#This Row],[Удельное сопротивление грунта, Ом·м]]))</f>
        <v/>
      </c>
      <c r="BI139" s="55"/>
      <c r="BJ139" s="52"/>
      <c r="BK139" s="67"/>
      <c r="BM139" s="61" t="str">
        <f>IFERROR(IF(BJ139-BD168&lt;=0,"",BL139/SQRT(Таблица_pr10[[#This Row],[Удельное сопротивление грунта, Ом·м]])),BL139/SQRT(Таблица_pr10[[#This Row],[Удельное сопротивление грунта, Ом·м]]))</f>
        <v/>
      </c>
    </row>
    <row r="140" spans="1:65">
      <c r="A140" s="64">
        <v>135</v>
      </c>
      <c r="B140" s="52">
        <v>510.00000000000307</v>
      </c>
      <c r="C140" s="67">
        <v>62.5</v>
      </c>
      <c r="D140" s="61">
        <f t="shared" si="15"/>
        <v>100.00000000002274</v>
      </c>
      <c r="E140" s="61">
        <f>IFERROR(IF(B140-B139&lt;=0,"",D140/SQRT(Таблица_pr[[#This Row],[Удельное сопротивление грунта, Ом·м]])),D140/SQRT(Таблица_pr[[#This Row],[Удельное сопротивление грунта, Ом·м]]))</f>
        <v>12.649110640676394</v>
      </c>
      <c r="G140" s="188">
        <v>135</v>
      </c>
      <c r="H140" s="184">
        <v>510.00000000000307</v>
      </c>
      <c r="I140" s="187">
        <v>62.5</v>
      </c>
      <c r="J140" s="181">
        <f t="shared" si="16"/>
        <v>100.00000000002274</v>
      </c>
      <c r="K140" s="61">
        <f>IFERROR(IF(H140-H139&lt;=0,"",J140/SQRT(Таблица_pr1[[#This Row],[Удельное сопротивление грунта, Ом·м]])),J140/SQRT(Таблица_pr1[[#This Row],[Удельное сопротивление грунта, Ом·м]]))</f>
        <v>12.649110640676394</v>
      </c>
      <c r="Q140" s="61" t="str">
        <f>IFERROR(IF(N140-N139&lt;=0,"",P140/SQRT(Таблица_pr2[[#This Row],[Удельное сопротивление грунта, Ом·м]])),P140/SQRT(Таблица_pr2[[#This Row],[Удельное сопротивление грунта, Ом·м]]))</f>
        <v/>
      </c>
      <c r="W140" s="61" t="str">
        <f>IFERROR(IF(T140-T139&lt;=0,"",V140/SQRT(Таблица_pr3[[#This Row],[Удельное сопротивление грунта, Ом·м]])),V140/SQRT(Таблица_pr3[[#This Row],[Удельное сопротивление грунта, Ом·м]]))</f>
        <v/>
      </c>
      <c r="AC140" s="61" t="str">
        <f>IFERROR(IF(Z140-Z139&lt;=0,"",AB140/SQRT(Таблица_pr4[[#This Row],[Удельное сопротивление грунта, Ом·м]])),AB140/SQRT(Таблица_pr4[[#This Row],[Удельное сопротивление грунта, Ом·м]]))</f>
        <v/>
      </c>
      <c r="AI140" s="61" t="str">
        <f>IFERROR(IF(AF140-AF139&lt;=0,"",AH140/SQRT(Таблица_pr5[[#This Row],[Удельное сопротивление грунта, Ом·м]])),AH140/SQRT(Таблица_pr5[[#This Row],[Удельное сопротивление грунта, Ом·м]]))</f>
        <v/>
      </c>
      <c r="AO140" s="61" t="str">
        <f>IFERROR(IF(AL140-AL139&lt;=0,"",AN140/SQRT(Таблица_pr6[[#This Row],[Удельное сопротивление грунта, Ом·м]])),AN140/SQRT(Таблица_pr6[[#This Row],[Удельное сопротивление грунта, Ом·м]]))</f>
        <v/>
      </c>
      <c r="AQ140" s="55"/>
      <c r="AR140" s="52"/>
      <c r="AS140" s="67"/>
      <c r="AU140" s="61" t="str">
        <f>IFERROR(IF(AR140-AR139&lt;=0,"",AT140/SQRT(Таблица_pr7[[#This Row],[Удельное сопротивление грунта, Ом·м]])),AT140/SQRT(Таблица_pr7[[#This Row],[Удельное сопротивление грунта, Ом·м]]))</f>
        <v/>
      </c>
      <c r="BA140" s="61" t="str">
        <f>IFERROR(IF(AX140-AX139&lt;=0,"",AZ140/SQRT(Таблица_pr8[[#This Row],[Удельное сопротивление грунта, Ом·м]])),AZ140/SQRT(Таблица_pr8[[#This Row],[Удельное сопротивление грунта, Ом·м]]))</f>
        <v/>
      </c>
      <c r="BC140" s="55"/>
      <c r="BD140" s="52"/>
      <c r="BE140" s="67"/>
      <c r="BG140" s="61" t="str">
        <f>IFERROR(IF(BD140-AX159&lt;=0,"",BF140/SQRT(Таблица_pr9[[#This Row],[Удельное сопротивление грунта, Ом·м]])),BF140/SQRT(Таблица_pr9[[#This Row],[Удельное сопротивление грунта, Ом·м]]))</f>
        <v/>
      </c>
      <c r="BI140" s="55"/>
      <c r="BJ140" s="52"/>
      <c r="BK140" s="67"/>
      <c r="BM140" s="61" t="str">
        <f>IFERROR(IF(BJ140-BD169&lt;=0,"",BL140/SQRT(Таблица_pr10[[#This Row],[Удельное сопротивление грунта, Ом·м]])),BL140/SQRT(Таблица_pr10[[#This Row],[Удельное сопротивление грунта, Ом·м]]))</f>
        <v/>
      </c>
    </row>
    <row r="141" spans="1:65">
      <c r="A141" s="64">
        <v>136</v>
      </c>
      <c r="B141" s="52">
        <v>510.10000000000309</v>
      </c>
      <c r="C141" s="67">
        <v>71</v>
      </c>
      <c r="D141" s="61">
        <f t="shared" si="15"/>
        <v>100.00000000002274</v>
      </c>
      <c r="E141" s="61">
        <f>IFERROR(IF(B141-B140&lt;=0,"",D141/SQRT(Таблица_pr[[#This Row],[Удельное сопротивление грунта, Ом·м]])),D141/SQRT(Таблица_pr[[#This Row],[Удельное сопротивление грунта, Ом·м]]))</f>
        <v>11.867816581941231</v>
      </c>
      <c r="G141" s="189">
        <v>136</v>
      </c>
      <c r="H141" s="185">
        <v>510.10000000000309</v>
      </c>
      <c r="I141" s="186">
        <v>71</v>
      </c>
      <c r="J141" s="180">
        <f t="shared" si="16"/>
        <v>100.00000000002274</v>
      </c>
      <c r="K141" s="61">
        <f>IFERROR(IF(H141-H140&lt;=0,"",J141/SQRT(Таблица_pr1[[#This Row],[Удельное сопротивление грунта, Ом·м]])),J141/SQRT(Таблица_pr1[[#This Row],[Удельное сопротивление грунта, Ом·м]]))</f>
        <v>11.867816581941231</v>
      </c>
      <c r="Q141" s="61" t="str">
        <f>IFERROR(IF(N141-N140&lt;=0,"",P141/SQRT(Таблица_pr2[[#This Row],[Удельное сопротивление грунта, Ом·м]])),P141/SQRT(Таблица_pr2[[#This Row],[Удельное сопротивление грунта, Ом·м]]))</f>
        <v/>
      </c>
      <c r="W141" s="61" t="str">
        <f>IFERROR(IF(T141-T140&lt;=0,"",V141/SQRT(Таблица_pr3[[#This Row],[Удельное сопротивление грунта, Ом·м]])),V141/SQRT(Таблица_pr3[[#This Row],[Удельное сопротивление грунта, Ом·м]]))</f>
        <v/>
      </c>
      <c r="AC141" s="61" t="str">
        <f>IFERROR(IF(Z141-Z140&lt;=0,"",AB141/SQRT(Таблица_pr4[[#This Row],[Удельное сопротивление грунта, Ом·м]])),AB141/SQRT(Таблица_pr4[[#This Row],[Удельное сопротивление грунта, Ом·м]]))</f>
        <v/>
      </c>
      <c r="AI141" s="61" t="str">
        <f>IFERROR(IF(AF141-AF140&lt;=0,"",AH141/SQRT(Таблица_pr5[[#This Row],[Удельное сопротивление грунта, Ом·м]])),AH141/SQRT(Таблица_pr5[[#This Row],[Удельное сопротивление грунта, Ом·м]]))</f>
        <v/>
      </c>
      <c r="AO141" s="61" t="str">
        <f>IFERROR(IF(AL141-AL140&lt;=0,"",AN141/SQRT(Таблица_pr6[[#This Row],[Удельное сопротивление грунта, Ом·м]])),AN141/SQRT(Таблица_pr6[[#This Row],[Удельное сопротивление грунта, Ом·м]]))</f>
        <v/>
      </c>
      <c r="AQ141" s="55"/>
      <c r="AR141" s="52"/>
      <c r="AS141" s="67"/>
      <c r="AU141" s="61" t="str">
        <f>IFERROR(IF(AR141-AR140&lt;=0,"",AT141/SQRT(Таблица_pr7[[#This Row],[Удельное сопротивление грунта, Ом·м]])),AT141/SQRT(Таблица_pr7[[#This Row],[Удельное сопротивление грунта, Ом·м]]))</f>
        <v/>
      </c>
      <c r="BA141" s="61" t="str">
        <f>IFERROR(IF(AX141-AX140&lt;=0,"",AZ141/SQRT(Таблица_pr8[[#This Row],[Удельное сопротивление грунта, Ом·м]])),AZ141/SQRT(Таблица_pr8[[#This Row],[Удельное сопротивление грунта, Ом·м]]))</f>
        <v/>
      </c>
      <c r="BC141" s="55"/>
      <c r="BD141" s="52"/>
      <c r="BE141" s="67"/>
      <c r="BG141" s="61" t="str">
        <f>IFERROR(IF(BD141-AX160&lt;=0,"",BF141/SQRT(Таблица_pr9[[#This Row],[Удельное сопротивление грунта, Ом·м]])),BF141/SQRT(Таблица_pr9[[#This Row],[Удельное сопротивление грунта, Ом·м]]))</f>
        <v/>
      </c>
      <c r="BI141" s="55"/>
      <c r="BJ141" s="52"/>
      <c r="BK141" s="67"/>
      <c r="BM141" s="61" t="str">
        <f>IFERROR(IF(BJ141-BD170&lt;=0,"",BL141/SQRT(Таблица_pr10[[#This Row],[Удельное сопротивление грунта, Ом·м]])),BL141/SQRT(Таблица_pr10[[#This Row],[Удельное сопротивление грунта, Ом·м]]))</f>
        <v/>
      </c>
    </row>
    <row r="142" spans="1:65">
      <c r="A142" s="64">
        <v>137</v>
      </c>
      <c r="B142" s="52">
        <v>510.20000000000312</v>
      </c>
      <c r="C142" s="67">
        <v>61.9</v>
      </c>
      <c r="D142" s="61">
        <f t="shared" si="15"/>
        <v>100.00000000002274</v>
      </c>
      <c r="E142" s="61">
        <f>IFERROR(IF(B142-B141&lt;=0,"",D142/SQRT(Таблица_pr[[#This Row],[Удельное сопротивление грунта, Ом·м]])),D142/SQRT(Таблица_pr[[#This Row],[Удельное сопротивление грунта, Ом·м]]))</f>
        <v>12.71026705187426</v>
      </c>
      <c r="G142" s="188">
        <v>137</v>
      </c>
      <c r="H142" s="184">
        <v>510.20000000000312</v>
      </c>
      <c r="I142" s="187">
        <v>61.9</v>
      </c>
      <c r="J142" s="181">
        <f t="shared" si="16"/>
        <v>100.00000000002274</v>
      </c>
      <c r="K142" s="61">
        <f>IFERROR(IF(H142-H141&lt;=0,"",J142/SQRT(Таблица_pr1[[#This Row],[Удельное сопротивление грунта, Ом·м]])),J142/SQRT(Таблица_pr1[[#This Row],[Удельное сопротивление грунта, Ом·м]]))</f>
        <v>12.71026705187426</v>
      </c>
      <c r="Q142" s="61" t="str">
        <f>IFERROR(IF(N142-N141&lt;=0,"",P142/SQRT(Таблица_pr2[[#This Row],[Удельное сопротивление грунта, Ом·м]])),P142/SQRT(Таблица_pr2[[#This Row],[Удельное сопротивление грунта, Ом·м]]))</f>
        <v/>
      </c>
      <c r="W142" s="61" t="str">
        <f>IFERROR(IF(T142-T141&lt;=0,"",V142/SQRT(Таблица_pr3[[#This Row],[Удельное сопротивление грунта, Ом·м]])),V142/SQRT(Таблица_pr3[[#This Row],[Удельное сопротивление грунта, Ом·м]]))</f>
        <v/>
      </c>
      <c r="AC142" s="61" t="str">
        <f>IFERROR(IF(Z142-Z141&lt;=0,"",AB142/SQRT(Таблица_pr4[[#This Row],[Удельное сопротивление грунта, Ом·м]])),AB142/SQRT(Таблица_pr4[[#This Row],[Удельное сопротивление грунта, Ом·м]]))</f>
        <v/>
      </c>
      <c r="AI142" s="61" t="str">
        <f>IFERROR(IF(AF142-AF141&lt;=0,"",AH142/SQRT(Таблица_pr5[[#This Row],[Удельное сопротивление грунта, Ом·м]])),AH142/SQRT(Таблица_pr5[[#This Row],[Удельное сопротивление грунта, Ом·м]]))</f>
        <v/>
      </c>
      <c r="AO142" s="61" t="str">
        <f>IFERROR(IF(AL142-AL141&lt;=0,"",AN142/SQRT(Таблица_pr6[[#This Row],[Удельное сопротивление грунта, Ом·м]])),AN142/SQRT(Таблица_pr6[[#This Row],[Удельное сопротивление грунта, Ом·м]]))</f>
        <v/>
      </c>
      <c r="AQ142" s="55"/>
      <c r="AR142" s="52"/>
      <c r="AS142" s="67"/>
      <c r="AU142" s="61" t="str">
        <f>IFERROR(IF(AR142-AR141&lt;=0,"",AT142/SQRT(Таблица_pr7[[#This Row],[Удельное сопротивление грунта, Ом·м]])),AT142/SQRT(Таблица_pr7[[#This Row],[Удельное сопротивление грунта, Ом·м]]))</f>
        <v/>
      </c>
      <c r="BA142" s="61" t="str">
        <f>IFERROR(IF(AX142-AX141&lt;=0,"",AZ142/SQRT(Таблица_pr8[[#This Row],[Удельное сопротивление грунта, Ом·м]])),AZ142/SQRT(Таблица_pr8[[#This Row],[Удельное сопротивление грунта, Ом·м]]))</f>
        <v/>
      </c>
      <c r="BC142" s="55"/>
      <c r="BD142" s="52"/>
      <c r="BE142" s="67"/>
      <c r="BG142" s="61" t="str">
        <f>IFERROR(IF(BD142-AX161&lt;=0,"",BF142/SQRT(Таблица_pr9[[#This Row],[Удельное сопротивление грунта, Ом·м]])),BF142/SQRT(Таблица_pr9[[#This Row],[Удельное сопротивление грунта, Ом·м]]))</f>
        <v/>
      </c>
      <c r="BI142" s="55"/>
      <c r="BJ142" s="52"/>
      <c r="BK142" s="67"/>
      <c r="BM142" s="61" t="str">
        <f>IFERROR(IF(BJ142-BD171&lt;=0,"",BL142/SQRT(Таблица_pr10[[#This Row],[Удельное сопротивление грунта, Ом·м]])),BL142/SQRT(Таблица_pr10[[#This Row],[Удельное сопротивление грунта, Ом·м]]))</f>
        <v/>
      </c>
    </row>
    <row r="143" spans="1:65">
      <c r="A143" s="64">
        <v>138</v>
      </c>
      <c r="B143" s="52">
        <v>510.30000000000314</v>
      </c>
      <c r="C143" s="67">
        <v>56.4</v>
      </c>
      <c r="D143" s="61">
        <f t="shared" si="15"/>
        <v>100.00000000002274</v>
      </c>
      <c r="E143" s="61">
        <f>IFERROR(IF(B143-B142&lt;=0,"",D143/SQRT(Таблица_pr[[#This Row],[Удельное сопротивление грунта, Ом·м]])),D143/SQRT(Таблица_pr[[#This Row],[Удельное сопротивление грунта, Ом·м]]))</f>
        <v>13.315591032285715</v>
      </c>
      <c r="G143" s="189">
        <v>138</v>
      </c>
      <c r="H143" s="185">
        <v>510.30000000000314</v>
      </c>
      <c r="I143" s="186">
        <v>56.4</v>
      </c>
      <c r="J143" s="180">
        <f t="shared" si="16"/>
        <v>100.00000000002274</v>
      </c>
      <c r="K143" s="61">
        <f>IFERROR(IF(H143-H142&lt;=0,"",J143/SQRT(Таблица_pr1[[#This Row],[Удельное сопротивление грунта, Ом·м]])),J143/SQRT(Таблица_pr1[[#This Row],[Удельное сопротивление грунта, Ом·м]]))</f>
        <v>13.315591032285715</v>
      </c>
      <c r="Q143" s="61" t="str">
        <f>IFERROR(IF(N143-N142&lt;=0,"",P143/SQRT(Таблица_pr2[[#This Row],[Удельное сопротивление грунта, Ом·м]])),P143/SQRT(Таблица_pr2[[#This Row],[Удельное сопротивление грунта, Ом·м]]))</f>
        <v/>
      </c>
      <c r="W143" s="61" t="str">
        <f>IFERROR(IF(T143-T142&lt;=0,"",V143/SQRT(Таблица_pr3[[#This Row],[Удельное сопротивление грунта, Ом·м]])),V143/SQRT(Таблица_pr3[[#This Row],[Удельное сопротивление грунта, Ом·м]]))</f>
        <v/>
      </c>
      <c r="AC143" s="61" t="str">
        <f>IFERROR(IF(Z143-Z142&lt;=0,"",AB143/SQRT(Таблица_pr4[[#This Row],[Удельное сопротивление грунта, Ом·м]])),AB143/SQRT(Таблица_pr4[[#This Row],[Удельное сопротивление грунта, Ом·м]]))</f>
        <v/>
      </c>
      <c r="AI143" s="61" t="str">
        <f>IFERROR(IF(AF143-AF142&lt;=0,"",AH143/SQRT(Таблица_pr5[[#This Row],[Удельное сопротивление грунта, Ом·м]])),AH143/SQRT(Таблица_pr5[[#This Row],[Удельное сопротивление грунта, Ом·м]]))</f>
        <v/>
      </c>
      <c r="AO143" s="61" t="str">
        <f>IFERROR(IF(AL143-AL142&lt;=0,"",AN143/SQRT(Таблица_pr6[[#This Row],[Удельное сопротивление грунта, Ом·м]])),AN143/SQRT(Таблица_pr6[[#This Row],[Удельное сопротивление грунта, Ом·м]]))</f>
        <v/>
      </c>
      <c r="AQ143" s="55"/>
      <c r="AR143" s="52"/>
      <c r="AS143" s="67"/>
      <c r="AU143" s="61" t="str">
        <f>IFERROR(IF(AR143-AR142&lt;=0,"",AT143/SQRT(Таблица_pr7[[#This Row],[Удельное сопротивление грунта, Ом·м]])),AT143/SQRT(Таблица_pr7[[#This Row],[Удельное сопротивление грунта, Ом·м]]))</f>
        <v/>
      </c>
      <c r="BA143" s="61" t="str">
        <f>IFERROR(IF(AX143-AX142&lt;=0,"",AZ143/SQRT(Таблица_pr8[[#This Row],[Удельное сопротивление грунта, Ом·м]])),AZ143/SQRT(Таблица_pr8[[#This Row],[Удельное сопротивление грунта, Ом·м]]))</f>
        <v/>
      </c>
      <c r="BC143" s="55"/>
      <c r="BD143" s="52"/>
      <c r="BE143" s="67"/>
      <c r="BG143" s="61" t="str">
        <f>IFERROR(IF(BD143-AX162&lt;=0,"",BF143/SQRT(Таблица_pr9[[#This Row],[Удельное сопротивление грунта, Ом·м]])),BF143/SQRT(Таблица_pr9[[#This Row],[Удельное сопротивление грунта, Ом·м]]))</f>
        <v/>
      </c>
      <c r="BI143" s="55"/>
      <c r="BJ143" s="52"/>
      <c r="BK143" s="67"/>
      <c r="BM143" s="61" t="str">
        <f>IFERROR(IF(BJ143-BD172&lt;=0,"",BL143/SQRT(Таблица_pr10[[#This Row],[Удельное сопротивление грунта, Ом·м]])),BL143/SQRT(Таблица_pr10[[#This Row],[Удельное сопротивление грунта, Ом·м]]))</f>
        <v/>
      </c>
    </row>
    <row r="144" spans="1:65">
      <c r="A144" s="64">
        <v>139</v>
      </c>
      <c r="B144" s="52">
        <v>510.40000000000316</v>
      </c>
      <c r="C144" s="67">
        <v>56.8</v>
      </c>
      <c r="D144" s="61">
        <f t="shared" si="15"/>
        <v>100.00000000002274</v>
      </c>
      <c r="E144" s="61">
        <f>IFERROR(IF(B144-B143&lt;=0,"",D144/SQRT(Таблица_pr[[#This Row],[Удельное сопротивление грунта, Ом·м]])),D144/SQRT(Таблица_pr[[#This Row],[Удельное сопротивление грунта, Ом·м]]))</f>
        <v>13.268622310859898</v>
      </c>
      <c r="G144" s="188">
        <v>139</v>
      </c>
      <c r="H144" s="184">
        <v>510.40000000000316</v>
      </c>
      <c r="I144" s="187">
        <v>56.8</v>
      </c>
      <c r="J144" s="181">
        <f t="shared" si="16"/>
        <v>100.00000000002274</v>
      </c>
      <c r="K144" s="61">
        <f>IFERROR(IF(H144-H143&lt;=0,"",J144/SQRT(Таблица_pr1[[#This Row],[Удельное сопротивление грунта, Ом·м]])),J144/SQRT(Таблица_pr1[[#This Row],[Удельное сопротивление грунта, Ом·м]]))</f>
        <v>13.268622310859898</v>
      </c>
      <c r="Q144" s="61" t="str">
        <f>IFERROR(IF(N144-N143&lt;=0,"",P144/SQRT(Таблица_pr2[[#This Row],[Удельное сопротивление грунта, Ом·м]])),P144/SQRT(Таблица_pr2[[#This Row],[Удельное сопротивление грунта, Ом·м]]))</f>
        <v/>
      </c>
      <c r="W144" s="61" t="str">
        <f>IFERROR(IF(T144-T143&lt;=0,"",V144/SQRT(Таблица_pr3[[#This Row],[Удельное сопротивление грунта, Ом·м]])),V144/SQRT(Таблица_pr3[[#This Row],[Удельное сопротивление грунта, Ом·м]]))</f>
        <v/>
      </c>
      <c r="AC144" s="61" t="str">
        <f>IFERROR(IF(Z144-Z143&lt;=0,"",AB144/SQRT(Таблица_pr4[[#This Row],[Удельное сопротивление грунта, Ом·м]])),AB144/SQRT(Таблица_pr4[[#This Row],[Удельное сопротивление грунта, Ом·м]]))</f>
        <v/>
      </c>
      <c r="AI144" s="61" t="str">
        <f>IFERROR(IF(AF144-AF143&lt;=0,"",AH144/SQRT(Таблица_pr5[[#This Row],[Удельное сопротивление грунта, Ом·м]])),AH144/SQRT(Таблица_pr5[[#This Row],[Удельное сопротивление грунта, Ом·м]]))</f>
        <v/>
      </c>
      <c r="AO144" s="61" t="str">
        <f>IFERROR(IF(AL144-AL143&lt;=0,"",AN144/SQRT(Таблица_pr6[[#This Row],[Удельное сопротивление грунта, Ом·м]])),AN144/SQRT(Таблица_pr6[[#This Row],[Удельное сопротивление грунта, Ом·м]]))</f>
        <v/>
      </c>
      <c r="AQ144" s="55"/>
      <c r="AR144" s="52"/>
      <c r="AS144" s="67"/>
      <c r="AU144" s="61" t="str">
        <f>IFERROR(IF(AR144-AR143&lt;=0,"",AT144/SQRT(Таблица_pr7[[#This Row],[Удельное сопротивление грунта, Ом·м]])),AT144/SQRT(Таблица_pr7[[#This Row],[Удельное сопротивление грунта, Ом·м]]))</f>
        <v/>
      </c>
      <c r="BA144" s="61" t="str">
        <f>IFERROR(IF(AX144-AX143&lt;=0,"",AZ144/SQRT(Таблица_pr8[[#This Row],[Удельное сопротивление грунта, Ом·м]])),AZ144/SQRT(Таблица_pr8[[#This Row],[Удельное сопротивление грунта, Ом·м]]))</f>
        <v/>
      </c>
      <c r="BC144" s="55"/>
      <c r="BD144" s="52"/>
      <c r="BE144" s="67"/>
      <c r="BG144" s="61" t="str">
        <f>IFERROR(IF(BD144-AX163&lt;=0,"",BF144/SQRT(Таблица_pr9[[#This Row],[Удельное сопротивление грунта, Ом·м]])),BF144/SQRT(Таблица_pr9[[#This Row],[Удельное сопротивление грунта, Ом·м]]))</f>
        <v/>
      </c>
      <c r="BI144" s="55"/>
      <c r="BJ144" s="52"/>
      <c r="BK144" s="67"/>
      <c r="BM144" s="61" t="str">
        <f>IFERROR(IF(BJ144-BD173&lt;=0,"",BL144/SQRT(Таблица_pr10[[#This Row],[Удельное сопротивление грунта, Ом·м]])),BL144/SQRT(Таблица_pr10[[#This Row],[Удельное сопротивление грунта, Ом·м]]))</f>
        <v/>
      </c>
    </row>
    <row r="145" spans="1:65">
      <c r="A145" s="64">
        <v>140</v>
      </c>
      <c r="B145" s="52">
        <v>510.50000000000318</v>
      </c>
      <c r="C145" s="67">
        <v>55.4</v>
      </c>
      <c r="D145" s="61">
        <f t="shared" si="15"/>
        <v>100.00000000002274</v>
      </c>
      <c r="E145" s="61">
        <f>IFERROR(IF(B145-B144&lt;=0,"",D145/SQRT(Таблица_pr[[#This Row],[Удельное сопротивление грунта, Ом·м]])),D145/SQRT(Таблица_pr[[#This Row],[Удельное сопротивление грунта, Ом·м]]))</f>
        <v>13.435230372514532</v>
      </c>
      <c r="G145" s="189">
        <v>140</v>
      </c>
      <c r="H145" s="185">
        <v>510.50000000000318</v>
      </c>
      <c r="I145" s="186">
        <v>55.4</v>
      </c>
      <c r="J145" s="180">
        <f t="shared" si="16"/>
        <v>100.00000000002274</v>
      </c>
      <c r="K145" s="61">
        <f>IFERROR(IF(H145-H144&lt;=0,"",J145/SQRT(Таблица_pr1[[#This Row],[Удельное сопротивление грунта, Ом·м]])),J145/SQRT(Таблица_pr1[[#This Row],[Удельное сопротивление грунта, Ом·м]]))</f>
        <v>13.435230372514532</v>
      </c>
      <c r="Q145" s="61" t="str">
        <f>IFERROR(IF(N145-N144&lt;=0,"",P145/SQRT(Таблица_pr2[[#This Row],[Удельное сопротивление грунта, Ом·м]])),P145/SQRT(Таблица_pr2[[#This Row],[Удельное сопротивление грунта, Ом·м]]))</f>
        <v/>
      </c>
      <c r="W145" s="61" t="str">
        <f>IFERROR(IF(T145-T144&lt;=0,"",V145/SQRT(Таблица_pr3[[#This Row],[Удельное сопротивление грунта, Ом·м]])),V145/SQRT(Таблица_pr3[[#This Row],[Удельное сопротивление грунта, Ом·м]]))</f>
        <v/>
      </c>
      <c r="AC145" s="61" t="str">
        <f>IFERROR(IF(Z145-Z144&lt;=0,"",AB145/SQRT(Таблица_pr4[[#This Row],[Удельное сопротивление грунта, Ом·м]])),AB145/SQRT(Таблица_pr4[[#This Row],[Удельное сопротивление грунта, Ом·м]]))</f>
        <v/>
      </c>
      <c r="AI145" s="61" t="str">
        <f>IFERROR(IF(AF145-AF144&lt;=0,"",AH145/SQRT(Таблица_pr5[[#This Row],[Удельное сопротивление грунта, Ом·м]])),AH145/SQRT(Таблица_pr5[[#This Row],[Удельное сопротивление грунта, Ом·м]]))</f>
        <v/>
      </c>
      <c r="AO145" s="61" t="str">
        <f>IFERROR(IF(AL145-AL144&lt;=0,"",AN145/SQRT(Таблица_pr6[[#This Row],[Удельное сопротивление грунта, Ом·м]])),AN145/SQRT(Таблица_pr6[[#This Row],[Удельное сопротивление грунта, Ом·м]]))</f>
        <v/>
      </c>
      <c r="AQ145" s="55"/>
      <c r="AR145" s="52"/>
      <c r="AS145" s="67"/>
      <c r="AU145" s="61" t="str">
        <f>IFERROR(IF(AR145-AR144&lt;=0,"",AT145/SQRT(Таблица_pr7[[#This Row],[Удельное сопротивление грунта, Ом·м]])),AT145/SQRT(Таблица_pr7[[#This Row],[Удельное сопротивление грунта, Ом·м]]))</f>
        <v/>
      </c>
      <c r="BA145" s="61" t="str">
        <f>IFERROR(IF(AX145-AX144&lt;=0,"",AZ145/SQRT(Таблица_pr8[[#This Row],[Удельное сопротивление грунта, Ом·м]])),AZ145/SQRT(Таблица_pr8[[#This Row],[Удельное сопротивление грунта, Ом·м]]))</f>
        <v/>
      </c>
      <c r="BC145" s="55"/>
      <c r="BD145" s="52"/>
      <c r="BE145" s="67"/>
      <c r="BG145" s="61" t="str">
        <f>IFERROR(IF(BD145-AX164&lt;=0,"",BF145/SQRT(Таблица_pr9[[#This Row],[Удельное сопротивление грунта, Ом·м]])),BF145/SQRT(Таблица_pr9[[#This Row],[Удельное сопротивление грунта, Ом·м]]))</f>
        <v/>
      </c>
      <c r="BI145" s="55"/>
      <c r="BJ145" s="52"/>
      <c r="BK145" s="67"/>
      <c r="BM145" s="61" t="str">
        <f>IFERROR(IF(BJ145-BD174&lt;=0,"",BL145/SQRT(Таблица_pr10[[#This Row],[Удельное сопротивление грунта, Ом·м]])),BL145/SQRT(Таблица_pr10[[#This Row],[Удельное сопротивление грунта, Ом·м]]))</f>
        <v/>
      </c>
    </row>
    <row r="146" spans="1:65">
      <c r="A146" s="64">
        <v>141</v>
      </c>
      <c r="B146" s="52">
        <v>510.60000000000321</v>
      </c>
      <c r="C146" s="67">
        <v>57.4</v>
      </c>
      <c r="D146" s="61">
        <f t="shared" si="15"/>
        <v>100.00000000002274</v>
      </c>
      <c r="E146" s="61">
        <f>IFERROR(IF(B146-B145&lt;=0,"",D146/SQRT(Таблица_pr[[#This Row],[Удельное сопротивление грунта, Ом·м]])),D146/SQRT(Таблица_pr[[#This Row],[Удельное сопротивление грунта, Ом·м]]))</f>
        <v>13.199091933714367</v>
      </c>
      <c r="G146" s="188">
        <v>141</v>
      </c>
      <c r="H146" s="184">
        <v>510.60000000000321</v>
      </c>
      <c r="I146" s="187">
        <v>57.4</v>
      </c>
      <c r="J146" s="181">
        <f t="shared" si="16"/>
        <v>100.00000000002274</v>
      </c>
      <c r="K146" s="61">
        <f>IFERROR(IF(H146-H145&lt;=0,"",J146/SQRT(Таблица_pr1[[#This Row],[Удельное сопротивление грунта, Ом·м]])),J146/SQRT(Таблица_pr1[[#This Row],[Удельное сопротивление грунта, Ом·м]]))</f>
        <v>13.199091933714367</v>
      </c>
      <c r="Q146" s="61" t="str">
        <f>IFERROR(IF(N146-N145&lt;=0,"",P146/SQRT(Таблица_pr2[[#This Row],[Удельное сопротивление грунта, Ом·м]])),P146/SQRT(Таблица_pr2[[#This Row],[Удельное сопротивление грунта, Ом·м]]))</f>
        <v/>
      </c>
      <c r="W146" s="61" t="str">
        <f>IFERROR(IF(T146-T145&lt;=0,"",V146/SQRT(Таблица_pr3[[#This Row],[Удельное сопротивление грунта, Ом·м]])),V146/SQRT(Таблица_pr3[[#This Row],[Удельное сопротивление грунта, Ом·м]]))</f>
        <v/>
      </c>
      <c r="AC146" s="61" t="str">
        <f>IFERROR(IF(Z146-Z145&lt;=0,"",AB146/SQRT(Таблица_pr4[[#This Row],[Удельное сопротивление грунта, Ом·м]])),AB146/SQRT(Таблица_pr4[[#This Row],[Удельное сопротивление грунта, Ом·м]]))</f>
        <v/>
      </c>
      <c r="AI146" s="61" t="str">
        <f>IFERROR(IF(AF146-AF145&lt;=0,"",AH146/SQRT(Таблица_pr5[[#This Row],[Удельное сопротивление грунта, Ом·м]])),AH146/SQRT(Таблица_pr5[[#This Row],[Удельное сопротивление грунта, Ом·м]]))</f>
        <v/>
      </c>
      <c r="AO146" s="61" t="str">
        <f>IFERROR(IF(AL146-AL145&lt;=0,"",AN146/SQRT(Таблица_pr6[[#This Row],[Удельное сопротивление грунта, Ом·м]])),AN146/SQRT(Таблица_pr6[[#This Row],[Удельное сопротивление грунта, Ом·м]]))</f>
        <v/>
      </c>
      <c r="AQ146" s="55"/>
      <c r="AR146" s="52"/>
      <c r="AS146" s="67"/>
      <c r="AU146" s="61" t="str">
        <f>IFERROR(IF(AR146-AR145&lt;=0,"",AT146/SQRT(Таблица_pr7[[#This Row],[Удельное сопротивление грунта, Ом·м]])),AT146/SQRT(Таблица_pr7[[#This Row],[Удельное сопротивление грунта, Ом·м]]))</f>
        <v/>
      </c>
      <c r="BA146" s="61" t="str">
        <f>IFERROR(IF(AX146-AX145&lt;=0,"",AZ146/SQRT(Таблица_pr8[[#This Row],[Удельное сопротивление грунта, Ом·м]])),AZ146/SQRT(Таблица_pr8[[#This Row],[Удельное сопротивление грунта, Ом·м]]))</f>
        <v/>
      </c>
      <c r="BC146" s="55"/>
      <c r="BD146" s="52"/>
      <c r="BE146" s="67"/>
      <c r="BG146" s="61" t="str">
        <f>IFERROR(IF(BD146-AX165&lt;=0,"",BF146/SQRT(Таблица_pr9[[#This Row],[Удельное сопротивление грунта, Ом·м]])),BF146/SQRT(Таблица_pr9[[#This Row],[Удельное сопротивление грунта, Ом·м]]))</f>
        <v/>
      </c>
      <c r="BI146" s="55"/>
      <c r="BJ146" s="52"/>
      <c r="BK146" s="67"/>
      <c r="BM146" s="61" t="str">
        <f>IFERROR(IF(BJ146-BD175&lt;=0,"",BL146/SQRT(Таблица_pr10[[#This Row],[Удельное сопротивление грунта, Ом·м]])),BL146/SQRT(Таблица_pr10[[#This Row],[Удельное сопротивление грунта, Ом·м]]))</f>
        <v/>
      </c>
    </row>
    <row r="147" spans="1:65">
      <c r="A147" s="64">
        <v>142</v>
      </c>
      <c r="B147" s="52">
        <v>510.70000000000323</v>
      </c>
      <c r="C147" s="67">
        <v>55.9</v>
      </c>
      <c r="D147" s="61">
        <f t="shared" si="15"/>
        <v>100.00000000002274</v>
      </c>
      <c r="E147" s="61">
        <f>IFERROR(IF(B147-B146&lt;=0,"",D147/SQRT(Таблица_pr[[#This Row],[Удельное сопротивление грунта, Ом·м]])),D147/SQRT(Таблица_pr[[#This Row],[Удельное сопротивление грунта, Ом·м]]))</f>
        <v>13.375009404309836</v>
      </c>
      <c r="G147" s="189">
        <v>142</v>
      </c>
      <c r="H147" s="185">
        <v>510.70000000000323</v>
      </c>
      <c r="I147" s="186">
        <v>55.9</v>
      </c>
      <c r="J147" s="180">
        <f t="shared" si="16"/>
        <v>100.00000000002274</v>
      </c>
      <c r="K147" s="61">
        <f>IFERROR(IF(H147-H146&lt;=0,"",J147/SQRT(Таблица_pr1[[#This Row],[Удельное сопротивление грунта, Ом·м]])),J147/SQRT(Таблица_pr1[[#This Row],[Удельное сопротивление грунта, Ом·м]]))</f>
        <v>13.375009404309836</v>
      </c>
      <c r="Q147" s="61" t="str">
        <f>IFERROR(IF(N147-N146&lt;=0,"",P147/SQRT(Таблица_pr2[[#This Row],[Удельное сопротивление грунта, Ом·м]])),P147/SQRT(Таблица_pr2[[#This Row],[Удельное сопротивление грунта, Ом·м]]))</f>
        <v/>
      </c>
      <c r="W147" s="61" t="str">
        <f>IFERROR(IF(T147-T146&lt;=0,"",V147/SQRT(Таблица_pr3[[#This Row],[Удельное сопротивление грунта, Ом·м]])),V147/SQRT(Таблица_pr3[[#This Row],[Удельное сопротивление грунта, Ом·м]]))</f>
        <v/>
      </c>
      <c r="AC147" s="61" t="str">
        <f>IFERROR(IF(Z147-Z146&lt;=0,"",AB147/SQRT(Таблица_pr4[[#This Row],[Удельное сопротивление грунта, Ом·м]])),AB147/SQRT(Таблица_pr4[[#This Row],[Удельное сопротивление грунта, Ом·м]]))</f>
        <v/>
      </c>
      <c r="AI147" s="61" t="str">
        <f>IFERROR(IF(AF147-AF146&lt;=0,"",AH147/SQRT(Таблица_pr5[[#This Row],[Удельное сопротивление грунта, Ом·м]])),AH147/SQRT(Таблица_pr5[[#This Row],[Удельное сопротивление грунта, Ом·м]]))</f>
        <v/>
      </c>
      <c r="AO147" s="61" t="str">
        <f>IFERROR(IF(AL147-AL146&lt;=0,"",AN147/SQRT(Таблица_pr6[[#This Row],[Удельное сопротивление грунта, Ом·м]])),AN147/SQRT(Таблица_pr6[[#This Row],[Удельное сопротивление грунта, Ом·м]]))</f>
        <v/>
      </c>
      <c r="AQ147" s="55"/>
      <c r="AR147" s="52"/>
      <c r="AS147" s="67"/>
      <c r="AU147" s="61" t="str">
        <f>IFERROR(IF(AR147-AR146&lt;=0,"",AT147/SQRT(Таблица_pr7[[#This Row],[Удельное сопротивление грунта, Ом·м]])),AT147/SQRT(Таблица_pr7[[#This Row],[Удельное сопротивление грунта, Ом·м]]))</f>
        <v/>
      </c>
      <c r="BA147" s="61" t="str">
        <f>IFERROR(IF(AX147-AX146&lt;=0,"",AZ147/SQRT(Таблица_pr8[[#This Row],[Удельное сопротивление грунта, Ом·м]])),AZ147/SQRT(Таблица_pr8[[#This Row],[Удельное сопротивление грунта, Ом·м]]))</f>
        <v/>
      </c>
      <c r="BC147" s="55"/>
      <c r="BD147" s="52"/>
      <c r="BE147" s="67"/>
      <c r="BG147" s="61" t="str">
        <f>IFERROR(IF(BD147-AX166&lt;=0,"",BF147/SQRT(Таблица_pr9[[#This Row],[Удельное сопротивление грунта, Ом·м]])),BF147/SQRT(Таблица_pr9[[#This Row],[Удельное сопротивление грунта, Ом·м]]))</f>
        <v/>
      </c>
      <c r="BI147" s="55"/>
      <c r="BJ147" s="52"/>
      <c r="BK147" s="67"/>
      <c r="BM147" s="61" t="str">
        <f>IFERROR(IF(BJ147-BD176&lt;=0,"",BL147/SQRT(Таблица_pr10[[#This Row],[Удельное сопротивление грунта, Ом·м]])),BL147/SQRT(Таблица_pr10[[#This Row],[Удельное сопротивление грунта, Ом·м]]))</f>
        <v/>
      </c>
    </row>
    <row r="148" spans="1:65">
      <c r="A148" s="64">
        <v>143</v>
      </c>
      <c r="B148" s="52">
        <v>510.80000000000325</v>
      </c>
      <c r="C148" s="67">
        <v>49.9</v>
      </c>
      <c r="D148" s="61">
        <f t="shared" si="15"/>
        <v>100.00000000002274</v>
      </c>
      <c r="E148" s="61">
        <f>IFERROR(IF(B148-B147&lt;=0,"",D148/SQRT(Таблица_pr[[#This Row],[Удельное сопротивление грунта, Ом·м]])),D148/SQRT(Таблица_pr[[#This Row],[Удельное сопротивление грунта, Ом·м]]))</f>
        <v>14.156299007978658</v>
      </c>
      <c r="G148" s="188">
        <v>143</v>
      </c>
      <c r="H148" s="184">
        <v>510.80000000000325</v>
      </c>
      <c r="I148" s="187">
        <v>49.9</v>
      </c>
      <c r="J148" s="181">
        <f t="shared" si="16"/>
        <v>100.00000000002274</v>
      </c>
      <c r="K148" s="61">
        <f>IFERROR(IF(H148-H147&lt;=0,"",J148/SQRT(Таблица_pr1[[#This Row],[Удельное сопротивление грунта, Ом·м]])),J148/SQRT(Таблица_pr1[[#This Row],[Удельное сопротивление грунта, Ом·м]]))</f>
        <v>14.156299007978658</v>
      </c>
      <c r="Q148" s="61" t="str">
        <f>IFERROR(IF(N148-N147&lt;=0,"",P148/SQRT(Таблица_pr2[[#This Row],[Удельное сопротивление грунта, Ом·м]])),P148/SQRT(Таблица_pr2[[#This Row],[Удельное сопротивление грунта, Ом·м]]))</f>
        <v/>
      </c>
      <c r="W148" s="61" t="str">
        <f>IFERROR(IF(T148-T147&lt;=0,"",V148/SQRT(Таблица_pr3[[#This Row],[Удельное сопротивление грунта, Ом·м]])),V148/SQRT(Таблица_pr3[[#This Row],[Удельное сопротивление грунта, Ом·м]]))</f>
        <v/>
      </c>
      <c r="AC148" s="61" t="str">
        <f>IFERROR(IF(Z148-Z147&lt;=0,"",AB148/SQRT(Таблица_pr4[[#This Row],[Удельное сопротивление грунта, Ом·м]])),AB148/SQRT(Таблица_pr4[[#This Row],[Удельное сопротивление грунта, Ом·м]]))</f>
        <v/>
      </c>
      <c r="AI148" s="61" t="str">
        <f>IFERROR(IF(AF148-AF147&lt;=0,"",AH148/SQRT(Таблица_pr5[[#This Row],[Удельное сопротивление грунта, Ом·м]])),AH148/SQRT(Таблица_pr5[[#This Row],[Удельное сопротивление грунта, Ом·м]]))</f>
        <v/>
      </c>
      <c r="AO148" s="61" t="str">
        <f>IFERROR(IF(AL148-AL147&lt;=0,"",AN148/SQRT(Таблица_pr6[[#This Row],[Удельное сопротивление грунта, Ом·м]])),AN148/SQRT(Таблица_pr6[[#This Row],[Удельное сопротивление грунта, Ом·м]]))</f>
        <v/>
      </c>
      <c r="AQ148" s="55"/>
      <c r="AR148" s="52"/>
      <c r="AS148" s="67"/>
      <c r="AU148" s="61" t="str">
        <f>IFERROR(IF(AR148-AR147&lt;=0,"",AT148/SQRT(Таблица_pr7[[#This Row],[Удельное сопротивление грунта, Ом·м]])),AT148/SQRT(Таблица_pr7[[#This Row],[Удельное сопротивление грунта, Ом·м]]))</f>
        <v/>
      </c>
      <c r="BA148" s="61" t="str">
        <f>IFERROR(IF(AX148-AX147&lt;=0,"",AZ148/SQRT(Таблица_pr8[[#This Row],[Удельное сопротивление грунта, Ом·м]])),AZ148/SQRT(Таблица_pr8[[#This Row],[Удельное сопротивление грунта, Ом·м]]))</f>
        <v/>
      </c>
      <c r="BC148" s="55"/>
      <c r="BD148" s="52"/>
      <c r="BE148" s="67"/>
      <c r="BG148" s="61" t="str">
        <f>IFERROR(IF(BD148-AX167&lt;=0,"",BF148/SQRT(Таблица_pr9[[#This Row],[Удельное сопротивление грунта, Ом·м]])),BF148/SQRT(Таблица_pr9[[#This Row],[Удельное сопротивление грунта, Ом·м]]))</f>
        <v/>
      </c>
      <c r="BI148" s="55"/>
      <c r="BJ148" s="52"/>
      <c r="BK148" s="67"/>
      <c r="BM148" s="61" t="str">
        <f>IFERROR(IF(BJ148-BD177&lt;=0,"",BL148/SQRT(Таблица_pr10[[#This Row],[Удельное сопротивление грунта, Ом·м]])),BL148/SQRT(Таблица_pr10[[#This Row],[Удельное сопротивление грунта, Ом·м]]))</f>
        <v/>
      </c>
    </row>
    <row r="149" spans="1:65">
      <c r="A149" s="64">
        <v>144</v>
      </c>
      <c r="B149" s="52">
        <v>510.90000000000327</v>
      </c>
      <c r="C149" s="67">
        <v>51</v>
      </c>
      <c r="D149" s="61">
        <f t="shared" si="15"/>
        <v>100.00000000002274</v>
      </c>
      <c r="E149" s="61">
        <f>IFERROR(IF(B149-B148&lt;=0,"",D149/SQRT(Таблица_pr[[#This Row],[Удельное сопротивление грунта, Ом·м]])),D149/SQRT(Таблица_pr[[#This Row],[Удельное сопротивление грунта, Ом·м]]))</f>
        <v>14.002800840283282</v>
      </c>
      <c r="G149" s="189">
        <v>144</v>
      </c>
      <c r="H149" s="185">
        <v>510.90000000000327</v>
      </c>
      <c r="I149" s="186">
        <v>51</v>
      </c>
      <c r="J149" s="180">
        <f t="shared" si="16"/>
        <v>100.00000000002274</v>
      </c>
      <c r="K149" s="61">
        <f>IFERROR(IF(H149-H148&lt;=0,"",J149/SQRT(Таблица_pr1[[#This Row],[Удельное сопротивление грунта, Ом·м]])),J149/SQRT(Таблица_pr1[[#This Row],[Удельное сопротивление грунта, Ом·м]]))</f>
        <v>14.002800840283282</v>
      </c>
      <c r="Q149" s="61" t="str">
        <f>IFERROR(IF(N149-N148&lt;=0,"",P149/SQRT(Таблица_pr2[[#This Row],[Удельное сопротивление грунта, Ом·м]])),P149/SQRT(Таблица_pr2[[#This Row],[Удельное сопротивление грунта, Ом·м]]))</f>
        <v/>
      </c>
      <c r="W149" s="61" t="str">
        <f>IFERROR(IF(T149-T148&lt;=0,"",V149/SQRT(Таблица_pr3[[#This Row],[Удельное сопротивление грунта, Ом·м]])),V149/SQRT(Таблица_pr3[[#This Row],[Удельное сопротивление грунта, Ом·м]]))</f>
        <v/>
      </c>
      <c r="AC149" s="61" t="str">
        <f>IFERROR(IF(Z149-Z148&lt;=0,"",AB149/SQRT(Таблица_pr4[[#This Row],[Удельное сопротивление грунта, Ом·м]])),AB149/SQRT(Таблица_pr4[[#This Row],[Удельное сопротивление грунта, Ом·м]]))</f>
        <v/>
      </c>
      <c r="AI149" s="61" t="str">
        <f>IFERROR(IF(AF149-AF148&lt;=0,"",AH149/SQRT(Таблица_pr5[[#This Row],[Удельное сопротивление грунта, Ом·м]])),AH149/SQRT(Таблица_pr5[[#This Row],[Удельное сопротивление грунта, Ом·м]]))</f>
        <v/>
      </c>
      <c r="AO149" s="61" t="str">
        <f>IFERROR(IF(AL149-AL148&lt;=0,"",AN149/SQRT(Таблица_pr6[[#This Row],[Удельное сопротивление грунта, Ом·м]])),AN149/SQRT(Таблица_pr6[[#This Row],[Удельное сопротивление грунта, Ом·м]]))</f>
        <v/>
      </c>
      <c r="AQ149" s="55"/>
      <c r="AR149" s="52"/>
      <c r="AS149" s="67"/>
      <c r="AU149" s="61" t="str">
        <f>IFERROR(IF(AR149-AR148&lt;=0,"",AT149/SQRT(Таблица_pr7[[#This Row],[Удельное сопротивление грунта, Ом·м]])),AT149/SQRT(Таблица_pr7[[#This Row],[Удельное сопротивление грунта, Ом·м]]))</f>
        <v/>
      </c>
      <c r="BA149" s="61" t="str">
        <f>IFERROR(IF(AX149-AX148&lt;=0,"",AZ149/SQRT(Таблица_pr8[[#This Row],[Удельное сопротивление грунта, Ом·м]])),AZ149/SQRT(Таблица_pr8[[#This Row],[Удельное сопротивление грунта, Ом·м]]))</f>
        <v/>
      </c>
      <c r="BC149" s="55"/>
      <c r="BD149" s="52"/>
      <c r="BE149" s="67"/>
      <c r="BG149" s="61" t="str">
        <f>IFERROR(IF(BD149-AX168&lt;=0,"",BF149/SQRT(Таблица_pr9[[#This Row],[Удельное сопротивление грунта, Ом·м]])),BF149/SQRT(Таблица_pr9[[#This Row],[Удельное сопротивление грунта, Ом·м]]))</f>
        <v/>
      </c>
      <c r="BI149" s="55"/>
      <c r="BJ149" s="52"/>
      <c r="BK149" s="67"/>
      <c r="BM149" s="61" t="str">
        <f>IFERROR(IF(BJ149-BD178&lt;=0,"",BL149/SQRT(Таблица_pr10[[#This Row],[Удельное сопротивление грунта, Ом·м]])),BL149/SQRT(Таблица_pr10[[#This Row],[Удельное сопротивление грунта, Ом·м]]))</f>
        <v/>
      </c>
    </row>
    <row r="150" spans="1:65">
      <c r="A150" s="64">
        <v>145</v>
      </c>
      <c r="B150" s="52">
        <v>511.0000000000033</v>
      </c>
      <c r="C150" s="67">
        <v>50.5</v>
      </c>
      <c r="D150" s="61">
        <f t="shared" si="15"/>
        <v>100.00000000002274</v>
      </c>
      <c r="E150" s="61">
        <f>IFERROR(IF(B150-B149&lt;=0,"",D150/SQRT(Таблица_pr[[#This Row],[Удельное сопротивление грунта, Ом·м]])),D150/SQRT(Таблица_pr[[#This Row],[Удельное сопротивление грунта, Ом·м]]))</f>
        <v>14.071950894609037</v>
      </c>
      <c r="G150" s="188">
        <v>145</v>
      </c>
      <c r="H150" s="184">
        <v>511.0000000000033</v>
      </c>
      <c r="I150" s="187">
        <v>50.5</v>
      </c>
      <c r="J150" s="181">
        <f t="shared" si="16"/>
        <v>100.00000000002274</v>
      </c>
      <c r="K150" s="61">
        <f>IFERROR(IF(H150-H149&lt;=0,"",J150/SQRT(Таблица_pr1[[#This Row],[Удельное сопротивление грунта, Ом·м]])),J150/SQRT(Таблица_pr1[[#This Row],[Удельное сопротивление грунта, Ом·м]]))</f>
        <v>14.071950894609037</v>
      </c>
      <c r="Q150" s="61" t="str">
        <f>IFERROR(IF(N150-N149&lt;=0,"",P150/SQRT(Таблица_pr2[[#This Row],[Удельное сопротивление грунта, Ом·м]])),P150/SQRT(Таблица_pr2[[#This Row],[Удельное сопротивление грунта, Ом·м]]))</f>
        <v/>
      </c>
      <c r="W150" s="61" t="str">
        <f>IFERROR(IF(T150-T149&lt;=0,"",V150/SQRT(Таблица_pr3[[#This Row],[Удельное сопротивление грунта, Ом·м]])),V150/SQRT(Таблица_pr3[[#This Row],[Удельное сопротивление грунта, Ом·м]]))</f>
        <v/>
      </c>
      <c r="AC150" s="61" t="str">
        <f>IFERROR(IF(Z150-Z149&lt;=0,"",AB150/SQRT(Таблица_pr4[[#This Row],[Удельное сопротивление грунта, Ом·м]])),AB150/SQRT(Таблица_pr4[[#This Row],[Удельное сопротивление грунта, Ом·м]]))</f>
        <v/>
      </c>
      <c r="AI150" s="61" t="str">
        <f>IFERROR(IF(AF150-AF149&lt;=0,"",AH150/SQRT(Таблица_pr5[[#This Row],[Удельное сопротивление грунта, Ом·м]])),AH150/SQRT(Таблица_pr5[[#This Row],[Удельное сопротивление грунта, Ом·м]]))</f>
        <v/>
      </c>
      <c r="AO150" s="61" t="str">
        <f>IFERROR(IF(AL150-AL149&lt;=0,"",AN150/SQRT(Таблица_pr6[[#This Row],[Удельное сопротивление грунта, Ом·м]])),AN150/SQRT(Таблица_pr6[[#This Row],[Удельное сопротивление грунта, Ом·м]]))</f>
        <v/>
      </c>
      <c r="AQ150" s="55"/>
      <c r="AR150" s="52"/>
      <c r="AS150" s="67"/>
      <c r="AU150" s="61" t="str">
        <f>IFERROR(IF(AR150-AR149&lt;=0,"",AT150/SQRT(Таблица_pr7[[#This Row],[Удельное сопротивление грунта, Ом·м]])),AT150/SQRT(Таблица_pr7[[#This Row],[Удельное сопротивление грунта, Ом·м]]))</f>
        <v/>
      </c>
      <c r="BA150" s="61" t="str">
        <f>IFERROR(IF(AX150-AX149&lt;=0,"",AZ150/SQRT(Таблица_pr8[[#This Row],[Удельное сопротивление грунта, Ом·м]])),AZ150/SQRT(Таблица_pr8[[#This Row],[Удельное сопротивление грунта, Ом·м]]))</f>
        <v/>
      </c>
      <c r="BC150" s="55"/>
      <c r="BD150" s="52"/>
      <c r="BE150" s="67"/>
      <c r="BG150" s="61" t="str">
        <f>IFERROR(IF(BD150-AX169&lt;=0,"",BF150/SQRT(Таблица_pr9[[#This Row],[Удельное сопротивление грунта, Ом·м]])),BF150/SQRT(Таблица_pr9[[#This Row],[Удельное сопротивление грунта, Ом·м]]))</f>
        <v/>
      </c>
      <c r="BI150" s="55"/>
      <c r="BJ150" s="52"/>
      <c r="BK150" s="67"/>
      <c r="BM150" s="61" t="str">
        <f>IFERROR(IF(BJ150-BD179&lt;=0,"",BL150/SQRT(Таблица_pr10[[#This Row],[Удельное сопротивление грунта, Ом·м]])),BL150/SQRT(Таблица_pr10[[#This Row],[Удельное сопротивление грунта, Ом·м]]))</f>
        <v/>
      </c>
    </row>
    <row r="151" spans="1:65">
      <c r="A151" s="64">
        <v>146</v>
      </c>
      <c r="B151" s="52">
        <v>511.10000000000332</v>
      </c>
      <c r="C151" s="67">
        <v>51.7</v>
      </c>
      <c r="D151" s="61">
        <f t="shared" si="15"/>
        <v>100.00000000002274</v>
      </c>
      <c r="E151" s="61">
        <f>IFERROR(IF(B151-B150&lt;=0,"",D151/SQRT(Таблица_pr[[#This Row],[Удельное сопротивление грунта, Ом·м]])),D151/SQRT(Таблица_pr[[#This Row],[Удельное сопротивление грунта, Ом·м]]))</f>
        <v>13.907681247390048</v>
      </c>
      <c r="G151" s="189">
        <v>146</v>
      </c>
      <c r="H151" s="185">
        <v>511.10000000000332</v>
      </c>
      <c r="I151" s="186">
        <v>51.7</v>
      </c>
      <c r="J151" s="180">
        <f t="shared" si="16"/>
        <v>100.00000000002274</v>
      </c>
      <c r="K151" s="61">
        <f>IFERROR(IF(H151-H150&lt;=0,"",J151/SQRT(Таблица_pr1[[#This Row],[Удельное сопротивление грунта, Ом·м]])),J151/SQRT(Таблица_pr1[[#This Row],[Удельное сопротивление грунта, Ом·м]]))</f>
        <v>13.907681247390048</v>
      </c>
      <c r="Q151" s="61" t="str">
        <f>IFERROR(IF(N151-N150&lt;=0,"",P151/SQRT(Таблица_pr2[[#This Row],[Удельное сопротивление грунта, Ом·м]])),P151/SQRT(Таблица_pr2[[#This Row],[Удельное сопротивление грунта, Ом·м]]))</f>
        <v/>
      </c>
      <c r="W151" s="61" t="str">
        <f>IFERROR(IF(T151-T150&lt;=0,"",V151/SQRT(Таблица_pr3[[#This Row],[Удельное сопротивление грунта, Ом·м]])),V151/SQRT(Таблица_pr3[[#This Row],[Удельное сопротивление грунта, Ом·м]]))</f>
        <v/>
      </c>
      <c r="AC151" s="61" t="str">
        <f>IFERROR(IF(Z151-Z150&lt;=0,"",AB151/SQRT(Таблица_pr4[[#This Row],[Удельное сопротивление грунта, Ом·м]])),AB151/SQRT(Таблица_pr4[[#This Row],[Удельное сопротивление грунта, Ом·м]]))</f>
        <v/>
      </c>
      <c r="AI151" s="61" t="str">
        <f>IFERROR(IF(AF151-AF150&lt;=0,"",AH151/SQRT(Таблица_pr5[[#This Row],[Удельное сопротивление грунта, Ом·м]])),AH151/SQRT(Таблица_pr5[[#This Row],[Удельное сопротивление грунта, Ом·м]]))</f>
        <v/>
      </c>
      <c r="AO151" s="61" t="str">
        <f>IFERROR(IF(AL151-AL150&lt;=0,"",AN151/SQRT(Таблица_pr6[[#This Row],[Удельное сопротивление грунта, Ом·м]])),AN151/SQRT(Таблица_pr6[[#This Row],[Удельное сопротивление грунта, Ом·м]]))</f>
        <v/>
      </c>
      <c r="AQ151" s="55"/>
      <c r="AR151" s="52"/>
      <c r="AS151" s="67"/>
      <c r="AU151" s="61" t="str">
        <f>IFERROR(IF(AR151-AR150&lt;=0,"",AT151/SQRT(Таблица_pr7[[#This Row],[Удельное сопротивление грунта, Ом·м]])),AT151/SQRT(Таблица_pr7[[#This Row],[Удельное сопротивление грунта, Ом·м]]))</f>
        <v/>
      </c>
      <c r="BA151" s="61" t="str">
        <f>IFERROR(IF(AX151-AX150&lt;=0,"",AZ151/SQRT(Таблица_pr8[[#This Row],[Удельное сопротивление грунта, Ом·м]])),AZ151/SQRT(Таблица_pr8[[#This Row],[Удельное сопротивление грунта, Ом·м]]))</f>
        <v/>
      </c>
      <c r="BC151" s="55"/>
      <c r="BD151" s="52"/>
      <c r="BE151" s="67"/>
      <c r="BG151" s="61" t="str">
        <f>IFERROR(IF(BD151-AX170&lt;=0,"",BF151/SQRT(Таблица_pr9[[#This Row],[Удельное сопротивление грунта, Ом·м]])),BF151/SQRT(Таблица_pr9[[#This Row],[Удельное сопротивление грунта, Ом·м]]))</f>
        <v/>
      </c>
      <c r="BI151" s="55"/>
      <c r="BJ151" s="52"/>
      <c r="BK151" s="67"/>
      <c r="BM151" s="61" t="str">
        <f>IFERROR(IF(BJ151-BD180&lt;=0,"",BL151/SQRT(Таблица_pr10[[#This Row],[Удельное сопротивление грунта, Ом·м]])),BL151/SQRT(Таблица_pr10[[#This Row],[Удельное сопротивление грунта, Ом·м]]))</f>
        <v/>
      </c>
    </row>
    <row r="152" spans="1:65">
      <c r="A152" s="64">
        <v>147</v>
      </c>
      <c r="B152" s="52">
        <v>511.20000000000334</v>
      </c>
      <c r="C152" s="67">
        <v>56.9</v>
      </c>
      <c r="D152" s="61">
        <f t="shared" si="15"/>
        <v>100.00000000002274</v>
      </c>
      <c r="E152" s="61">
        <f>IFERROR(IF(B152-B151&lt;=0,"",D152/SQRT(Таблица_pr[[#This Row],[Удельное сопротивление грунта, Ом·м]])),D152/SQRT(Таблица_pr[[#This Row],[Удельное сопротивление грунта, Ом·м]]))</f>
        <v>13.256957585694481</v>
      </c>
      <c r="G152" s="188">
        <v>147</v>
      </c>
      <c r="H152" s="184">
        <v>511.20000000000334</v>
      </c>
      <c r="I152" s="187">
        <v>56.9</v>
      </c>
      <c r="J152" s="181">
        <f t="shared" si="16"/>
        <v>100.00000000002274</v>
      </c>
      <c r="K152" s="61">
        <f>IFERROR(IF(H152-H151&lt;=0,"",J152/SQRT(Таблица_pr1[[#This Row],[Удельное сопротивление грунта, Ом·м]])),J152/SQRT(Таблица_pr1[[#This Row],[Удельное сопротивление грунта, Ом·м]]))</f>
        <v>13.256957585694481</v>
      </c>
      <c r="Q152" s="61" t="str">
        <f>IFERROR(IF(N152-N151&lt;=0,"",P152/SQRT(Таблица_pr2[[#This Row],[Удельное сопротивление грунта, Ом·м]])),P152/SQRT(Таблица_pr2[[#This Row],[Удельное сопротивление грунта, Ом·м]]))</f>
        <v/>
      </c>
      <c r="W152" s="61" t="str">
        <f>IFERROR(IF(T152-T151&lt;=0,"",V152/SQRT(Таблица_pr3[[#This Row],[Удельное сопротивление грунта, Ом·м]])),V152/SQRT(Таблица_pr3[[#This Row],[Удельное сопротивление грунта, Ом·м]]))</f>
        <v/>
      </c>
      <c r="AC152" s="61" t="str">
        <f>IFERROR(IF(Z152-Z151&lt;=0,"",AB152/SQRT(Таблица_pr4[[#This Row],[Удельное сопротивление грунта, Ом·м]])),AB152/SQRT(Таблица_pr4[[#This Row],[Удельное сопротивление грунта, Ом·м]]))</f>
        <v/>
      </c>
      <c r="AI152" s="61" t="str">
        <f>IFERROR(IF(AF152-AF151&lt;=0,"",AH152/SQRT(Таблица_pr5[[#This Row],[Удельное сопротивление грунта, Ом·м]])),AH152/SQRT(Таблица_pr5[[#This Row],[Удельное сопротивление грунта, Ом·м]]))</f>
        <v/>
      </c>
      <c r="AO152" s="61" t="str">
        <f>IFERROR(IF(AL152-AL151&lt;=0,"",AN152/SQRT(Таблица_pr6[[#This Row],[Удельное сопротивление грунта, Ом·м]])),AN152/SQRT(Таблица_pr6[[#This Row],[Удельное сопротивление грунта, Ом·м]]))</f>
        <v/>
      </c>
      <c r="AQ152" s="55"/>
      <c r="AR152" s="52"/>
      <c r="AS152" s="67"/>
      <c r="AU152" s="61" t="str">
        <f>IFERROR(IF(AR152-AR151&lt;=0,"",AT152/SQRT(Таблица_pr7[[#This Row],[Удельное сопротивление грунта, Ом·м]])),AT152/SQRT(Таблица_pr7[[#This Row],[Удельное сопротивление грунта, Ом·м]]))</f>
        <v/>
      </c>
      <c r="BA152" s="61" t="str">
        <f>IFERROR(IF(AX152-AX151&lt;=0,"",AZ152/SQRT(Таблица_pr8[[#This Row],[Удельное сопротивление грунта, Ом·м]])),AZ152/SQRT(Таблица_pr8[[#This Row],[Удельное сопротивление грунта, Ом·м]]))</f>
        <v/>
      </c>
      <c r="BC152" s="55"/>
      <c r="BD152" s="52"/>
      <c r="BE152" s="67"/>
      <c r="BG152" s="61" t="str">
        <f>IFERROR(IF(BD152-AX171&lt;=0,"",BF152/SQRT(Таблица_pr9[[#This Row],[Удельное сопротивление грунта, Ом·м]])),BF152/SQRT(Таблица_pr9[[#This Row],[Удельное сопротивление грунта, Ом·м]]))</f>
        <v/>
      </c>
      <c r="BI152" s="55"/>
      <c r="BJ152" s="52"/>
      <c r="BK152" s="67"/>
      <c r="BM152" s="61" t="str">
        <f>IFERROR(IF(BJ152-BD181&lt;=0,"",BL152/SQRT(Таблица_pr10[[#This Row],[Удельное сопротивление грунта, Ом·м]])),BL152/SQRT(Таблица_pr10[[#This Row],[Удельное сопротивление грунта, Ом·м]]))</f>
        <v/>
      </c>
    </row>
    <row r="153" spans="1:65">
      <c r="A153" s="64">
        <v>148</v>
      </c>
      <c r="B153" s="52">
        <v>511.30000000000337</v>
      </c>
      <c r="C153" s="67">
        <v>57.7</v>
      </c>
      <c r="D153" s="61">
        <f t="shared" si="15"/>
        <v>100.00000000002274</v>
      </c>
      <c r="E153" s="61">
        <f>IFERROR(IF(B153-B152&lt;=0,"",D153/SQRT(Таблица_pr[[#This Row],[Удельное сопротивление грунта, Ом·м]])),D153/SQRT(Таблица_pr[[#This Row],[Удельное сопротивление грунта, Ом·м]]))</f>
        <v>13.164734152400181</v>
      </c>
      <c r="G153" s="189">
        <v>148</v>
      </c>
      <c r="H153" s="185">
        <v>511.30000000000337</v>
      </c>
      <c r="I153" s="186">
        <v>57.7</v>
      </c>
      <c r="J153" s="180">
        <f t="shared" si="16"/>
        <v>100.00000000002274</v>
      </c>
      <c r="K153" s="61">
        <f>IFERROR(IF(H153-H152&lt;=0,"",J153/SQRT(Таблица_pr1[[#This Row],[Удельное сопротивление грунта, Ом·м]])),J153/SQRT(Таблица_pr1[[#This Row],[Удельное сопротивление грунта, Ом·м]]))</f>
        <v>13.164734152400181</v>
      </c>
      <c r="Q153" s="61" t="str">
        <f>IFERROR(IF(N153-N152&lt;=0,"",P153/SQRT(Таблица_pr2[[#This Row],[Удельное сопротивление грунта, Ом·м]])),P153/SQRT(Таблица_pr2[[#This Row],[Удельное сопротивление грунта, Ом·м]]))</f>
        <v/>
      </c>
      <c r="W153" s="61" t="str">
        <f>IFERROR(IF(T153-T152&lt;=0,"",V153/SQRT(Таблица_pr3[[#This Row],[Удельное сопротивление грунта, Ом·м]])),V153/SQRT(Таблица_pr3[[#This Row],[Удельное сопротивление грунта, Ом·м]]))</f>
        <v/>
      </c>
      <c r="AC153" s="61" t="str">
        <f>IFERROR(IF(Z153-Z152&lt;=0,"",AB153/SQRT(Таблица_pr4[[#This Row],[Удельное сопротивление грунта, Ом·м]])),AB153/SQRT(Таблица_pr4[[#This Row],[Удельное сопротивление грунта, Ом·м]]))</f>
        <v/>
      </c>
      <c r="AI153" s="61" t="str">
        <f>IFERROR(IF(AF153-AF152&lt;=0,"",AH153/SQRT(Таблица_pr5[[#This Row],[Удельное сопротивление грунта, Ом·м]])),AH153/SQRT(Таблица_pr5[[#This Row],[Удельное сопротивление грунта, Ом·м]]))</f>
        <v/>
      </c>
      <c r="AO153" s="61" t="str">
        <f>IFERROR(IF(AL153-AL152&lt;=0,"",AN153/SQRT(Таблица_pr6[[#This Row],[Удельное сопротивление грунта, Ом·м]])),AN153/SQRT(Таблица_pr6[[#This Row],[Удельное сопротивление грунта, Ом·м]]))</f>
        <v/>
      </c>
      <c r="AQ153" s="55"/>
      <c r="AR153" s="52"/>
      <c r="AS153" s="67"/>
      <c r="AU153" s="61" t="str">
        <f>IFERROR(IF(AR153-AR152&lt;=0,"",AT153/SQRT(Таблица_pr7[[#This Row],[Удельное сопротивление грунта, Ом·м]])),AT153/SQRT(Таблица_pr7[[#This Row],[Удельное сопротивление грунта, Ом·м]]))</f>
        <v/>
      </c>
      <c r="BA153" s="61" t="str">
        <f>IFERROR(IF(AX153-AX152&lt;=0,"",AZ153/SQRT(Таблица_pr8[[#This Row],[Удельное сопротивление грунта, Ом·м]])),AZ153/SQRT(Таблица_pr8[[#This Row],[Удельное сопротивление грунта, Ом·м]]))</f>
        <v/>
      </c>
      <c r="BC153" s="55"/>
      <c r="BD153" s="52"/>
      <c r="BE153" s="67"/>
      <c r="BG153" s="61" t="str">
        <f>IFERROR(IF(BD153-AX172&lt;=0,"",BF153/SQRT(Таблица_pr9[[#This Row],[Удельное сопротивление грунта, Ом·м]])),BF153/SQRT(Таблица_pr9[[#This Row],[Удельное сопротивление грунта, Ом·м]]))</f>
        <v/>
      </c>
      <c r="BI153" s="55"/>
      <c r="BJ153" s="52"/>
      <c r="BK153" s="67"/>
      <c r="BM153" s="61" t="str">
        <f>IFERROR(IF(BJ153-BD182&lt;=0,"",BL153/SQRT(Таблица_pr10[[#This Row],[Удельное сопротивление грунта, Ом·м]])),BL153/SQRT(Таблица_pr10[[#This Row],[Удельное сопротивление грунта, Ом·м]]))</f>
        <v/>
      </c>
    </row>
    <row r="154" spans="1:65">
      <c r="A154" s="64">
        <v>149</v>
      </c>
      <c r="B154" s="52">
        <v>511.40000000000339</v>
      </c>
      <c r="C154" s="67">
        <v>57.5</v>
      </c>
      <c r="D154" s="61">
        <f t="shared" si="15"/>
        <v>100.00000000002274</v>
      </c>
      <c r="E154" s="61">
        <f>IFERROR(IF(B154-B153&lt;=0,"",D154/SQRT(Таблица_pr[[#This Row],[Удельное сопротивление грунта, Ом·м]])),D154/SQRT(Таблица_pr[[#This Row],[Удельное сопротивление грунта, Ом·м]]))</f>
        <v>13.187609467918739</v>
      </c>
      <c r="G154" s="188">
        <v>149</v>
      </c>
      <c r="H154" s="184">
        <v>511.40000000000339</v>
      </c>
      <c r="I154" s="187">
        <v>57.5</v>
      </c>
      <c r="J154" s="181">
        <f t="shared" si="16"/>
        <v>100.00000000002274</v>
      </c>
      <c r="K154" s="61">
        <f>IFERROR(IF(H154-H153&lt;=0,"",J154/SQRT(Таблица_pr1[[#This Row],[Удельное сопротивление грунта, Ом·м]])),J154/SQRT(Таблица_pr1[[#This Row],[Удельное сопротивление грунта, Ом·м]]))</f>
        <v>13.187609467918739</v>
      </c>
      <c r="Q154" s="61" t="str">
        <f>IFERROR(IF(N154-N153&lt;=0,"",P154/SQRT(Таблица_pr2[[#This Row],[Удельное сопротивление грунта, Ом·м]])),P154/SQRT(Таблица_pr2[[#This Row],[Удельное сопротивление грунта, Ом·м]]))</f>
        <v/>
      </c>
      <c r="W154" s="61" t="str">
        <f>IFERROR(IF(T154-T153&lt;=0,"",V154/SQRT(Таблица_pr3[[#This Row],[Удельное сопротивление грунта, Ом·м]])),V154/SQRT(Таблица_pr3[[#This Row],[Удельное сопротивление грунта, Ом·м]]))</f>
        <v/>
      </c>
      <c r="AC154" s="61" t="str">
        <f>IFERROR(IF(Z154-Z153&lt;=0,"",AB154/SQRT(Таблица_pr4[[#This Row],[Удельное сопротивление грунта, Ом·м]])),AB154/SQRT(Таблица_pr4[[#This Row],[Удельное сопротивление грунта, Ом·м]]))</f>
        <v/>
      </c>
      <c r="AI154" s="61" t="str">
        <f>IFERROR(IF(AF154-AF153&lt;=0,"",AH154/SQRT(Таблица_pr5[[#This Row],[Удельное сопротивление грунта, Ом·м]])),AH154/SQRT(Таблица_pr5[[#This Row],[Удельное сопротивление грунта, Ом·м]]))</f>
        <v/>
      </c>
      <c r="AO154" s="61" t="str">
        <f>IFERROR(IF(AL154-AL153&lt;=0,"",AN154/SQRT(Таблица_pr6[[#This Row],[Удельное сопротивление грунта, Ом·м]])),AN154/SQRT(Таблица_pr6[[#This Row],[Удельное сопротивление грунта, Ом·м]]))</f>
        <v/>
      </c>
      <c r="AQ154" s="55"/>
      <c r="AR154" s="52"/>
      <c r="AS154" s="67"/>
      <c r="AU154" s="61" t="str">
        <f>IFERROR(IF(AR154-AR153&lt;=0,"",AT154/SQRT(Таблица_pr7[[#This Row],[Удельное сопротивление грунта, Ом·м]])),AT154/SQRT(Таблица_pr7[[#This Row],[Удельное сопротивление грунта, Ом·м]]))</f>
        <v/>
      </c>
      <c r="BA154" s="61" t="str">
        <f>IFERROR(IF(AX154-AX153&lt;=0,"",AZ154/SQRT(Таблица_pr8[[#This Row],[Удельное сопротивление грунта, Ом·м]])),AZ154/SQRT(Таблица_pr8[[#This Row],[Удельное сопротивление грунта, Ом·м]]))</f>
        <v/>
      </c>
      <c r="BC154" s="55"/>
      <c r="BD154" s="52"/>
      <c r="BE154" s="67"/>
      <c r="BG154" s="61" t="str">
        <f>IFERROR(IF(BD154-AX173&lt;=0,"",BF154/SQRT(Таблица_pr9[[#This Row],[Удельное сопротивление грунта, Ом·м]])),BF154/SQRT(Таблица_pr9[[#This Row],[Удельное сопротивление грунта, Ом·м]]))</f>
        <v/>
      </c>
      <c r="BI154" s="55"/>
      <c r="BJ154" s="52"/>
      <c r="BK154" s="67"/>
      <c r="BM154" s="61" t="str">
        <f>IFERROR(IF(BJ154-BD183&lt;=0,"",BL154/SQRT(Таблица_pr10[[#This Row],[Удельное сопротивление грунта, Ом·м]])),BL154/SQRT(Таблица_pr10[[#This Row],[Удельное сопротивление грунта, Ом·м]]))</f>
        <v/>
      </c>
    </row>
    <row r="155" spans="1:65">
      <c r="A155" s="64">
        <v>150</v>
      </c>
      <c r="B155" s="52">
        <v>511.50000000000341</v>
      </c>
      <c r="C155" s="67">
        <v>61.4</v>
      </c>
      <c r="D155" s="61">
        <f t="shared" si="15"/>
        <v>100.00000000002274</v>
      </c>
      <c r="E155" s="61">
        <f>IFERROR(IF(B155-B154&lt;=0,"",D155/SQRT(Таблица_pr[[#This Row],[Удельное сопротивление грунта, Ом·м]])),D155/SQRT(Таблица_pr[[#This Row],[Удельное сопротивление грунта, Ом·м]]))</f>
        <v>12.7619140222568</v>
      </c>
      <c r="G155" s="189">
        <v>150</v>
      </c>
      <c r="H155" s="185">
        <v>511.50000000000341</v>
      </c>
      <c r="I155" s="186">
        <v>61.4</v>
      </c>
      <c r="J155" s="180">
        <f t="shared" si="16"/>
        <v>100.00000000002274</v>
      </c>
      <c r="K155" s="61">
        <f>IFERROR(IF(H155-H154&lt;=0,"",J155/SQRT(Таблица_pr1[[#This Row],[Удельное сопротивление грунта, Ом·м]])),J155/SQRT(Таблица_pr1[[#This Row],[Удельное сопротивление грунта, Ом·м]]))</f>
        <v>12.7619140222568</v>
      </c>
      <c r="Q155" s="61" t="str">
        <f>IFERROR(IF(N155-N154&lt;=0,"",P155/SQRT(Таблица_pr2[[#This Row],[Удельное сопротивление грунта, Ом·м]])),P155/SQRT(Таблица_pr2[[#This Row],[Удельное сопротивление грунта, Ом·м]]))</f>
        <v/>
      </c>
      <c r="W155" s="61" t="str">
        <f>IFERROR(IF(T155-T154&lt;=0,"",V155/SQRT(Таблица_pr3[[#This Row],[Удельное сопротивление грунта, Ом·м]])),V155/SQRT(Таблица_pr3[[#This Row],[Удельное сопротивление грунта, Ом·м]]))</f>
        <v/>
      </c>
      <c r="AC155" s="61" t="str">
        <f>IFERROR(IF(Z155-Z154&lt;=0,"",AB155/SQRT(Таблица_pr4[[#This Row],[Удельное сопротивление грунта, Ом·м]])),AB155/SQRT(Таблица_pr4[[#This Row],[Удельное сопротивление грунта, Ом·м]]))</f>
        <v/>
      </c>
      <c r="AI155" s="61" t="str">
        <f>IFERROR(IF(AF155-AF154&lt;=0,"",AH155/SQRT(Таблица_pr5[[#This Row],[Удельное сопротивление грунта, Ом·м]])),AH155/SQRT(Таблица_pr5[[#This Row],[Удельное сопротивление грунта, Ом·м]]))</f>
        <v/>
      </c>
      <c r="AO155" s="61" t="str">
        <f>IFERROR(IF(AL155-AL154&lt;=0,"",AN155/SQRT(Таблица_pr6[[#This Row],[Удельное сопротивление грунта, Ом·м]])),AN155/SQRT(Таблица_pr6[[#This Row],[Удельное сопротивление грунта, Ом·м]]))</f>
        <v/>
      </c>
      <c r="AQ155" s="55"/>
      <c r="AR155" s="52"/>
      <c r="AS155" s="67"/>
      <c r="AU155" s="61" t="str">
        <f>IFERROR(IF(AR155-AR154&lt;=0,"",AT155/SQRT(Таблица_pr7[[#This Row],[Удельное сопротивление грунта, Ом·м]])),AT155/SQRT(Таблица_pr7[[#This Row],[Удельное сопротивление грунта, Ом·м]]))</f>
        <v/>
      </c>
      <c r="BA155" s="61" t="str">
        <f>IFERROR(IF(AX155-AX154&lt;=0,"",AZ155/SQRT(Таблица_pr8[[#This Row],[Удельное сопротивление грунта, Ом·м]])),AZ155/SQRT(Таблица_pr8[[#This Row],[Удельное сопротивление грунта, Ом·м]]))</f>
        <v/>
      </c>
      <c r="BC155" s="55"/>
      <c r="BD155" s="52"/>
      <c r="BE155" s="67"/>
      <c r="BG155" s="61" t="str">
        <f>IFERROR(IF(BD155-AX174&lt;=0,"",BF155/SQRT(Таблица_pr9[[#This Row],[Удельное сопротивление грунта, Ом·м]])),BF155/SQRT(Таблица_pr9[[#This Row],[Удельное сопротивление грунта, Ом·м]]))</f>
        <v/>
      </c>
      <c r="BI155" s="55"/>
      <c r="BJ155" s="52"/>
      <c r="BK155" s="67"/>
      <c r="BM155" s="61" t="str">
        <f>IFERROR(IF(BJ155-BD184&lt;=0,"",BL155/SQRT(Таблица_pr10[[#This Row],[Удельное сопротивление грунта, Ом·м]])),BL155/SQRT(Таблица_pr10[[#This Row],[Удельное сопротивление грунта, Ом·м]]))</f>
        <v/>
      </c>
    </row>
    <row r="156" spans="1:65">
      <c r="A156" s="64">
        <v>151</v>
      </c>
      <c r="B156" s="52">
        <v>511.60000000000343</v>
      </c>
      <c r="C156" s="67">
        <v>51</v>
      </c>
      <c r="D156" s="61">
        <f t="shared" si="15"/>
        <v>100.00000000002274</v>
      </c>
      <c r="E156" s="61">
        <f>IFERROR(IF(B156-B155&lt;=0,"",D156/SQRT(Таблица_pr[[#This Row],[Удельное сопротивление грунта, Ом·м]])),D156/SQRT(Таблица_pr[[#This Row],[Удельное сопротивление грунта, Ом·м]]))</f>
        <v>14.002800840283282</v>
      </c>
      <c r="G156" s="188">
        <v>151</v>
      </c>
      <c r="H156" s="184">
        <v>511.60000000000343</v>
      </c>
      <c r="I156" s="187">
        <v>51</v>
      </c>
      <c r="J156" s="181">
        <f t="shared" si="16"/>
        <v>100.00000000002274</v>
      </c>
      <c r="K156" s="61">
        <f>IFERROR(IF(H156-H155&lt;=0,"",J156/SQRT(Таблица_pr1[[#This Row],[Удельное сопротивление грунта, Ом·м]])),J156/SQRT(Таблица_pr1[[#This Row],[Удельное сопротивление грунта, Ом·м]]))</f>
        <v>14.002800840283282</v>
      </c>
      <c r="Q156" s="61" t="str">
        <f>IFERROR(IF(N156-N155&lt;=0,"",P156/SQRT(Таблица_pr2[[#This Row],[Удельное сопротивление грунта, Ом·м]])),P156/SQRT(Таблица_pr2[[#This Row],[Удельное сопротивление грунта, Ом·м]]))</f>
        <v/>
      </c>
      <c r="W156" s="61" t="str">
        <f>IFERROR(IF(T156-T155&lt;=0,"",V156/SQRT(Таблица_pr3[[#This Row],[Удельное сопротивление грунта, Ом·м]])),V156/SQRT(Таблица_pr3[[#This Row],[Удельное сопротивление грунта, Ом·м]]))</f>
        <v/>
      </c>
      <c r="AC156" s="61" t="str">
        <f>IFERROR(IF(Z156-Z155&lt;=0,"",AB156/SQRT(Таблица_pr4[[#This Row],[Удельное сопротивление грунта, Ом·м]])),AB156/SQRT(Таблица_pr4[[#This Row],[Удельное сопротивление грунта, Ом·м]]))</f>
        <v/>
      </c>
      <c r="AI156" s="61" t="str">
        <f>IFERROR(IF(AF156-AF155&lt;=0,"",AH156/SQRT(Таблица_pr5[[#This Row],[Удельное сопротивление грунта, Ом·м]])),AH156/SQRT(Таблица_pr5[[#This Row],[Удельное сопротивление грунта, Ом·м]]))</f>
        <v/>
      </c>
      <c r="AO156" s="61" t="str">
        <f>IFERROR(IF(AL156-AL155&lt;=0,"",AN156/SQRT(Таблица_pr6[[#This Row],[Удельное сопротивление грунта, Ом·м]])),AN156/SQRT(Таблица_pr6[[#This Row],[Удельное сопротивление грунта, Ом·м]]))</f>
        <v/>
      </c>
      <c r="AQ156" s="55"/>
      <c r="AR156" s="52"/>
      <c r="AS156" s="67"/>
      <c r="AU156" s="61" t="str">
        <f>IFERROR(IF(AR156-AR155&lt;=0,"",AT156/SQRT(Таблица_pr7[[#This Row],[Удельное сопротивление грунта, Ом·м]])),AT156/SQRT(Таблица_pr7[[#This Row],[Удельное сопротивление грунта, Ом·м]]))</f>
        <v/>
      </c>
      <c r="BA156" s="61" t="str">
        <f>IFERROR(IF(AX156-AX155&lt;=0,"",AZ156/SQRT(Таблица_pr8[[#This Row],[Удельное сопротивление грунта, Ом·м]])),AZ156/SQRT(Таблица_pr8[[#This Row],[Удельное сопротивление грунта, Ом·м]]))</f>
        <v/>
      </c>
      <c r="BC156" s="55"/>
      <c r="BD156" s="52"/>
      <c r="BE156" s="67"/>
      <c r="BG156" s="61" t="str">
        <f>IFERROR(IF(BD156-AX175&lt;=0,"",BF156/SQRT(Таблица_pr9[[#This Row],[Удельное сопротивление грунта, Ом·м]])),BF156/SQRT(Таблица_pr9[[#This Row],[Удельное сопротивление грунта, Ом·м]]))</f>
        <v/>
      </c>
      <c r="BI156" s="55"/>
      <c r="BJ156" s="52"/>
      <c r="BK156" s="67"/>
      <c r="BM156" s="61" t="str">
        <f>IFERROR(IF(BJ156-BD185&lt;=0,"",BL156/SQRT(Таблица_pr10[[#This Row],[Удельное сопротивление грунта, Ом·м]])),BL156/SQRT(Таблица_pr10[[#This Row],[Удельное сопротивление грунта, Ом·м]]))</f>
        <v/>
      </c>
    </row>
    <row r="157" spans="1:65">
      <c r="A157" s="64">
        <v>152</v>
      </c>
      <c r="B157" s="52">
        <v>511.70000000000346</v>
      </c>
      <c r="C157" s="67">
        <v>58.1</v>
      </c>
      <c r="D157" s="61">
        <f t="shared" si="15"/>
        <v>100.00000000002274</v>
      </c>
      <c r="E157" s="61">
        <f>IFERROR(IF(B157-B156&lt;=0,"",D157/SQRT(Таблица_pr[[#This Row],[Удельное сопротивление грунта, Ом·м]])),D157/SQRT(Таблица_pr[[#This Row],[Удельное сопротивление грунта, Ом·м]]))</f>
        <v>13.119338382212625</v>
      </c>
      <c r="G157" s="189">
        <v>152</v>
      </c>
      <c r="H157" s="185">
        <v>511.70000000000346</v>
      </c>
      <c r="I157" s="186">
        <v>58.1</v>
      </c>
      <c r="J157" s="180">
        <f t="shared" si="16"/>
        <v>100.00000000002274</v>
      </c>
      <c r="K157" s="61">
        <f>IFERROR(IF(H157-H156&lt;=0,"",J157/SQRT(Таблица_pr1[[#This Row],[Удельное сопротивление грунта, Ом·м]])),J157/SQRT(Таблица_pr1[[#This Row],[Удельное сопротивление грунта, Ом·м]]))</f>
        <v>13.119338382212625</v>
      </c>
      <c r="Q157" s="61" t="str">
        <f>IFERROR(IF(N157-N156&lt;=0,"",P157/SQRT(Таблица_pr2[[#This Row],[Удельное сопротивление грунта, Ом·м]])),P157/SQRT(Таблица_pr2[[#This Row],[Удельное сопротивление грунта, Ом·м]]))</f>
        <v/>
      </c>
      <c r="W157" s="61" t="str">
        <f>IFERROR(IF(T157-T156&lt;=0,"",V157/SQRT(Таблица_pr3[[#This Row],[Удельное сопротивление грунта, Ом·м]])),V157/SQRT(Таблица_pr3[[#This Row],[Удельное сопротивление грунта, Ом·м]]))</f>
        <v/>
      </c>
      <c r="AC157" s="61" t="str">
        <f>IFERROR(IF(Z157-Z156&lt;=0,"",AB157/SQRT(Таблица_pr4[[#This Row],[Удельное сопротивление грунта, Ом·м]])),AB157/SQRT(Таблица_pr4[[#This Row],[Удельное сопротивление грунта, Ом·м]]))</f>
        <v/>
      </c>
      <c r="AI157" s="61" t="str">
        <f>IFERROR(IF(AF157-AF156&lt;=0,"",AH157/SQRT(Таблица_pr5[[#This Row],[Удельное сопротивление грунта, Ом·м]])),AH157/SQRT(Таблица_pr5[[#This Row],[Удельное сопротивление грунта, Ом·м]]))</f>
        <v/>
      </c>
      <c r="AO157" s="61" t="str">
        <f>IFERROR(IF(AL157-AL156&lt;=0,"",AN157/SQRT(Таблица_pr6[[#This Row],[Удельное сопротивление грунта, Ом·м]])),AN157/SQRT(Таблица_pr6[[#This Row],[Удельное сопротивление грунта, Ом·м]]))</f>
        <v/>
      </c>
      <c r="AQ157" s="55"/>
      <c r="AR157" s="52"/>
      <c r="AS157" s="67"/>
      <c r="AU157" s="61" t="str">
        <f>IFERROR(IF(AR157-AR156&lt;=0,"",AT157/SQRT(Таблица_pr7[[#This Row],[Удельное сопротивление грунта, Ом·м]])),AT157/SQRT(Таблица_pr7[[#This Row],[Удельное сопротивление грунта, Ом·м]]))</f>
        <v/>
      </c>
      <c r="BA157" s="61" t="str">
        <f>IFERROR(IF(AX157-AX156&lt;=0,"",AZ157/SQRT(Таблица_pr8[[#This Row],[Удельное сопротивление грунта, Ом·м]])),AZ157/SQRT(Таблица_pr8[[#This Row],[Удельное сопротивление грунта, Ом·м]]))</f>
        <v/>
      </c>
      <c r="BC157" s="55"/>
      <c r="BD157" s="52"/>
      <c r="BE157" s="67"/>
      <c r="BG157" s="61" t="str">
        <f>IFERROR(IF(BD157-AX176&lt;=0,"",BF157/SQRT(Таблица_pr9[[#This Row],[Удельное сопротивление грунта, Ом·м]])),BF157/SQRT(Таблица_pr9[[#This Row],[Удельное сопротивление грунта, Ом·м]]))</f>
        <v/>
      </c>
      <c r="BI157" s="55"/>
      <c r="BJ157" s="52"/>
      <c r="BK157" s="67"/>
      <c r="BM157" s="61" t="str">
        <f>IFERROR(IF(BJ157-BD186&lt;=0,"",BL157/SQRT(Таблица_pr10[[#This Row],[Удельное сопротивление грунта, Ом·м]])),BL157/SQRT(Таблица_pr10[[#This Row],[Удельное сопротивление грунта, Ом·м]]))</f>
        <v/>
      </c>
    </row>
    <row r="158" spans="1:65">
      <c r="A158" s="64">
        <v>153</v>
      </c>
      <c r="B158" s="52">
        <v>511.80000000000348</v>
      </c>
      <c r="C158" s="67">
        <v>56.6</v>
      </c>
      <c r="D158" s="61">
        <f t="shared" si="15"/>
        <v>100.00000000002274</v>
      </c>
      <c r="E158" s="61">
        <f>IFERROR(IF(B158-B157&lt;=0,"",D158/SQRT(Таблица_pr[[#This Row],[Удельное сопротивление грунта, Ом·м]])),D158/SQRT(Таблица_pr[[#This Row],[Удельное сопротивление грунта, Ом·м]]))</f>
        <v>13.292044433786787</v>
      </c>
      <c r="G158" s="188">
        <v>153</v>
      </c>
      <c r="H158" s="184">
        <v>511.80000000000348</v>
      </c>
      <c r="I158" s="187">
        <v>56.6</v>
      </c>
      <c r="J158" s="181">
        <f t="shared" si="16"/>
        <v>100.00000000002274</v>
      </c>
      <c r="K158" s="61">
        <f>IFERROR(IF(H158-H157&lt;=0,"",J158/SQRT(Таблица_pr1[[#This Row],[Удельное сопротивление грунта, Ом·м]])),J158/SQRT(Таблица_pr1[[#This Row],[Удельное сопротивление грунта, Ом·м]]))</f>
        <v>13.292044433786787</v>
      </c>
      <c r="Q158" s="61" t="str">
        <f>IFERROR(IF(N158-N157&lt;=0,"",P158/SQRT(Таблица_pr2[[#This Row],[Удельное сопротивление грунта, Ом·м]])),P158/SQRT(Таблица_pr2[[#This Row],[Удельное сопротивление грунта, Ом·м]]))</f>
        <v/>
      </c>
      <c r="W158" s="61" t="str">
        <f>IFERROR(IF(T158-T157&lt;=0,"",V158/SQRT(Таблица_pr3[[#This Row],[Удельное сопротивление грунта, Ом·м]])),V158/SQRT(Таблица_pr3[[#This Row],[Удельное сопротивление грунта, Ом·м]]))</f>
        <v/>
      </c>
      <c r="AC158" s="61" t="str">
        <f>IFERROR(IF(Z158-Z157&lt;=0,"",AB158/SQRT(Таблица_pr4[[#This Row],[Удельное сопротивление грунта, Ом·м]])),AB158/SQRT(Таблица_pr4[[#This Row],[Удельное сопротивление грунта, Ом·м]]))</f>
        <v/>
      </c>
      <c r="AI158" s="61" t="str">
        <f>IFERROR(IF(AF158-AF157&lt;=0,"",AH158/SQRT(Таблица_pr5[[#This Row],[Удельное сопротивление грунта, Ом·м]])),AH158/SQRT(Таблица_pr5[[#This Row],[Удельное сопротивление грунта, Ом·м]]))</f>
        <v/>
      </c>
      <c r="AO158" s="61" t="str">
        <f>IFERROR(IF(AL158-AL157&lt;=0,"",AN158/SQRT(Таблица_pr6[[#This Row],[Удельное сопротивление грунта, Ом·м]])),AN158/SQRT(Таблица_pr6[[#This Row],[Удельное сопротивление грунта, Ом·м]]))</f>
        <v/>
      </c>
      <c r="AQ158" s="55"/>
      <c r="AR158" s="52"/>
      <c r="AS158" s="67"/>
      <c r="AU158" s="61" t="str">
        <f>IFERROR(IF(AR158-AR157&lt;=0,"",AT158/SQRT(Таблица_pr7[[#This Row],[Удельное сопротивление грунта, Ом·м]])),AT158/SQRT(Таблица_pr7[[#This Row],[Удельное сопротивление грунта, Ом·м]]))</f>
        <v/>
      </c>
      <c r="BA158" s="61" t="str">
        <f>IFERROR(IF(AX158-AX157&lt;=0,"",AZ158/SQRT(Таблица_pr8[[#This Row],[Удельное сопротивление грунта, Ом·м]])),AZ158/SQRT(Таблица_pr8[[#This Row],[Удельное сопротивление грунта, Ом·м]]))</f>
        <v/>
      </c>
      <c r="BC158" s="55"/>
      <c r="BD158" s="52"/>
      <c r="BE158" s="67"/>
      <c r="BG158" s="61" t="str">
        <f>IFERROR(IF(BD158-AX177&lt;=0,"",BF158/SQRT(Таблица_pr9[[#This Row],[Удельное сопротивление грунта, Ом·м]])),BF158/SQRT(Таблица_pr9[[#This Row],[Удельное сопротивление грунта, Ом·м]]))</f>
        <v/>
      </c>
      <c r="BI158" s="55"/>
      <c r="BJ158" s="52"/>
      <c r="BK158" s="67"/>
      <c r="BM158" s="61" t="str">
        <f>IFERROR(IF(BJ158-BD187&lt;=0,"",BL158/SQRT(Таблица_pr10[[#This Row],[Удельное сопротивление грунта, Ом·м]])),BL158/SQRT(Таблица_pr10[[#This Row],[Удельное сопротивление грунта, Ом·м]]))</f>
        <v/>
      </c>
    </row>
    <row r="159" spans="1:65">
      <c r="A159" s="64">
        <v>154</v>
      </c>
      <c r="B159" s="52">
        <v>511.9000000000035</v>
      </c>
      <c r="C159" s="67">
        <v>48.6</v>
      </c>
      <c r="D159" s="61">
        <f t="shared" si="15"/>
        <v>100.00000000002274</v>
      </c>
      <c r="E159" s="61">
        <f>IFERROR(IF(B159-B158&lt;=0,"",D159/SQRT(Таблица_pr[[#This Row],[Удельное сопротивление грунта, Ом·м]])),D159/SQRT(Таблица_pr[[#This Row],[Удельное сопротивление грунта, Ом·м]]))</f>
        <v>14.344382763734435</v>
      </c>
      <c r="G159" s="189">
        <v>154</v>
      </c>
      <c r="H159" s="185">
        <v>511.9000000000035</v>
      </c>
      <c r="I159" s="186">
        <v>48.6</v>
      </c>
      <c r="J159" s="180">
        <f t="shared" si="16"/>
        <v>100.00000000002274</v>
      </c>
      <c r="K159" s="61">
        <f>IFERROR(IF(H159-H158&lt;=0,"",J159/SQRT(Таблица_pr1[[#This Row],[Удельное сопротивление грунта, Ом·м]])),J159/SQRT(Таблица_pr1[[#This Row],[Удельное сопротивление грунта, Ом·м]]))</f>
        <v>14.344382763734435</v>
      </c>
      <c r="Q159" s="61" t="str">
        <f>IFERROR(IF(N159-N158&lt;=0,"",P159/SQRT(Таблица_pr2[[#This Row],[Удельное сопротивление грунта, Ом·м]])),P159/SQRT(Таблица_pr2[[#This Row],[Удельное сопротивление грунта, Ом·м]]))</f>
        <v/>
      </c>
      <c r="W159" s="61" t="str">
        <f>IFERROR(IF(T159-T158&lt;=0,"",V159/SQRT(Таблица_pr3[[#This Row],[Удельное сопротивление грунта, Ом·м]])),V159/SQRT(Таблица_pr3[[#This Row],[Удельное сопротивление грунта, Ом·м]]))</f>
        <v/>
      </c>
      <c r="AC159" s="61" t="str">
        <f>IFERROR(IF(Z159-Z158&lt;=0,"",AB159/SQRT(Таблица_pr4[[#This Row],[Удельное сопротивление грунта, Ом·м]])),AB159/SQRT(Таблица_pr4[[#This Row],[Удельное сопротивление грунта, Ом·м]]))</f>
        <v/>
      </c>
      <c r="AI159" s="61" t="str">
        <f>IFERROR(IF(AF159-AF158&lt;=0,"",AH159/SQRT(Таблица_pr5[[#This Row],[Удельное сопротивление грунта, Ом·м]])),AH159/SQRT(Таблица_pr5[[#This Row],[Удельное сопротивление грунта, Ом·м]]))</f>
        <v/>
      </c>
      <c r="AO159" s="61" t="str">
        <f>IFERROR(IF(AL159-AL158&lt;=0,"",AN159/SQRT(Таблица_pr6[[#This Row],[Удельное сопротивление грунта, Ом·м]])),AN159/SQRT(Таблица_pr6[[#This Row],[Удельное сопротивление грунта, Ом·м]]))</f>
        <v/>
      </c>
      <c r="AQ159" s="55"/>
      <c r="AR159" s="52"/>
      <c r="AS159" s="67"/>
      <c r="AU159" s="61" t="str">
        <f>IFERROR(IF(AR159-AR158&lt;=0,"",AT159/SQRT(Таблица_pr7[[#This Row],[Удельное сопротивление грунта, Ом·м]])),AT159/SQRT(Таблица_pr7[[#This Row],[Удельное сопротивление грунта, Ом·м]]))</f>
        <v/>
      </c>
      <c r="BA159" s="61" t="str">
        <f>IFERROR(IF(AX159-AX158&lt;=0,"",AZ159/SQRT(Таблица_pr8[[#This Row],[Удельное сопротивление грунта, Ом·м]])),AZ159/SQRT(Таблица_pr8[[#This Row],[Удельное сопротивление грунта, Ом·м]]))</f>
        <v/>
      </c>
      <c r="BC159" s="55"/>
      <c r="BD159" s="52"/>
      <c r="BE159" s="67"/>
      <c r="BG159" s="61" t="str">
        <f>IFERROR(IF(BD159-AX178&lt;=0,"",BF159/SQRT(Таблица_pr9[[#This Row],[Удельное сопротивление грунта, Ом·м]])),BF159/SQRT(Таблица_pr9[[#This Row],[Удельное сопротивление грунта, Ом·м]]))</f>
        <v/>
      </c>
      <c r="BI159" s="55"/>
      <c r="BJ159" s="52"/>
      <c r="BK159" s="67"/>
      <c r="BM159" s="61" t="str">
        <f>IFERROR(IF(BJ159-BD188&lt;=0,"",BL159/SQRT(Таблица_pr10[[#This Row],[Удельное сопротивление грунта, Ом·м]])),BL159/SQRT(Таблица_pr10[[#This Row],[Удельное сопротивление грунта, Ом·м]]))</f>
        <v/>
      </c>
    </row>
    <row r="160" spans="1:65">
      <c r="A160" s="64">
        <v>155</v>
      </c>
      <c r="B160" s="52">
        <v>512.00000000000352</v>
      </c>
      <c r="C160" s="67">
        <v>56.2</v>
      </c>
      <c r="D160" s="61">
        <f t="shared" si="15"/>
        <v>100.00000000002274</v>
      </c>
      <c r="E160" s="61">
        <f>IFERROR(IF(B160-B159&lt;=0,"",D160/SQRT(Таблица_pr[[#This Row],[Удельное сопротивление грунта, Ом·м]])),D160/SQRT(Таблица_pr[[#This Row],[Удельное сопротивление грунта, Ом·м]]))</f>
        <v>13.339263212808238</v>
      </c>
      <c r="G160" s="188">
        <v>155</v>
      </c>
      <c r="H160" s="184">
        <v>512.00000000000352</v>
      </c>
      <c r="I160" s="187">
        <v>56.2</v>
      </c>
      <c r="J160" s="181">
        <f t="shared" si="16"/>
        <v>100.00000000002274</v>
      </c>
      <c r="K160" s="61">
        <f>IFERROR(IF(H160-H159&lt;=0,"",J160/SQRT(Таблица_pr1[[#This Row],[Удельное сопротивление грунта, Ом·м]])),J160/SQRT(Таблица_pr1[[#This Row],[Удельное сопротивление грунта, Ом·м]]))</f>
        <v>13.339263212808238</v>
      </c>
      <c r="Q160" s="61" t="str">
        <f>IFERROR(IF(N160-N159&lt;=0,"",P160/SQRT(Таблица_pr2[[#This Row],[Удельное сопротивление грунта, Ом·м]])),P160/SQRT(Таблица_pr2[[#This Row],[Удельное сопротивление грунта, Ом·м]]))</f>
        <v/>
      </c>
      <c r="W160" s="61" t="str">
        <f>IFERROR(IF(T160-T159&lt;=0,"",V160/SQRT(Таблица_pr3[[#This Row],[Удельное сопротивление грунта, Ом·м]])),V160/SQRT(Таблица_pr3[[#This Row],[Удельное сопротивление грунта, Ом·м]]))</f>
        <v/>
      </c>
      <c r="AC160" s="61" t="str">
        <f>IFERROR(IF(Z160-Z159&lt;=0,"",AB160/SQRT(Таблица_pr4[[#This Row],[Удельное сопротивление грунта, Ом·м]])),AB160/SQRT(Таблица_pr4[[#This Row],[Удельное сопротивление грунта, Ом·м]]))</f>
        <v/>
      </c>
      <c r="AI160" s="61" t="str">
        <f>IFERROR(IF(AF160-AF159&lt;=0,"",AH160/SQRT(Таблица_pr5[[#This Row],[Удельное сопротивление грунта, Ом·м]])),AH160/SQRT(Таблица_pr5[[#This Row],[Удельное сопротивление грунта, Ом·м]]))</f>
        <v/>
      </c>
      <c r="AO160" s="61" t="str">
        <f>IFERROR(IF(AL160-AL159&lt;=0,"",AN160/SQRT(Таблица_pr6[[#This Row],[Удельное сопротивление грунта, Ом·м]])),AN160/SQRT(Таблица_pr6[[#This Row],[Удельное сопротивление грунта, Ом·м]]))</f>
        <v/>
      </c>
      <c r="AQ160" s="55"/>
      <c r="AR160" s="52"/>
      <c r="AS160" s="67"/>
      <c r="AU160" s="61" t="str">
        <f>IFERROR(IF(AR160-AR159&lt;=0,"",AT160/SQRT(Таблица_pr7[[#This Row],[Удельное сопротивление грунта, Ом·м]])),AT160/SQRT(Таблица_pr7[[#This Row],[Удельное сопротивление грунта, Ом·м]]))</f>
        <v/>
      </c>
      <c r="BA160" s="61" t="str">
        <f>IFERROR(IF(AX160-AX159&lt;=0,"",AZ160/SQRT(Таблица_pr8[[#This Row],[Удельное сопротивление грунта, Ом·м]])),AZ160/SQRT(Таблица_pr8[[#This Row],[Удельное сопротивление грунта, Ом·м]]))</f>
        <v/>
      </c>
      <c r="BC160" s="55"/>
      <c r="BD160" s="52"/>
      <c r="BE160" s="67"/>
      <c r="BG160" s="61" t="str">
        <f>IFERROR(IF(BD160-AX179&lt;=0,"",BF160/SQRT(Таблица_pr9[[#This Row],[Удельное сопротивление грунта, Ом·м]])),BF160/SQRT(Таблица_pr9[[#This Row],[Удельное сопротивление грунта, Ом·м]]))</f>
        <v/>
      </c>
      <c r="BI160" s="55"/>
      <c r="BJ160" s="52"/>
      <c r="BK160" s="67"/>
      <c r="BM160" s="61" t="str">
        <f>IFERROR(IF(BJ160-BD189&lt;=0,"",BL160/SQRT(Таблица_pr10[[#This Row],[Удельное сопротивление грунта, Ом·м]])),BL160/SQRT(Таблица_pr10[[#This Row],[Удельное сопротивление грунта, Ом·м]]))</f>
        <v/>
      </c>
    </row>
    <row r="161" spans="1:65">
      <c r="A161" s="64">
        <v>156</v>
      </c>
      <c r="B161" s="52">
        <v>512.10000000000355</v>
      </c>
      <c r="C161" s="67">
        <v>57.3</v>
      </c>
      <c r="D161" s="61">
        <f t="shared" si="15"/>
        <v>100.00000000002274</v>
      </c>
      <c r="E161" s="61">
        <f>IFERROR(IF(B161-B160&lt;=0,"",D161/SQRT(Таблица_pr[[#This Row],[Удельное сопротивление грунта, Ом·м]])),D161/SQRT(Таблица_pr[[#This Row],[Удельное сопротивление грунта, Ом·м]]))</f>
        <v>13.210604445221547</v>
      </c>
      <c r="G161" s="189">
        <v>156</v>
      </c>
      <c r="H161" s="185">
        <v>512.10000000000355</v>
      </c>
      <c r="I161" s="186">
        <v>57.3</v>
      </c>
      <c r="J161" s="180">
        <f t="shared" si="16"/>
        <v>100.00000000002274</v>
      </c>
      <c r="K161" s="61">
        <f>IFERROR(IF(H161-H160&lt;=0,"",J161/SQRT(Таблица_pr1[[#This Row],[Удельное сопротивление грунта, Ом·м]])),J161/SQRT(Таблица_pr1[[#This Row],[Удельное сопротивление грунта, Ом·м]]))</f>
        <v>13.210604445221547</v>
      </c>
      <c r="Q161" s="61" t="str">
        <f>IFERROR(IF(N161-N160&lt;=0,"",P161/SQRT(Таблица_pr2[[#This Row],[Удельное сопротивление грунта, Ом·м]])),P161/SQRT(Таблица_pr2[[#This Row],[Удельное сопротивление грунта, Ом·м]]))</f>
        <v/>
      </c>
      <c r="W161" s="61" t="str">
        <f>IFERROR(IF(T161-T160&lt;=0,"",V161/SQRT(Таблица_pr3[[#This Row],[Удельное сопротивление грунта, Ом·м]])),V161/SQRT(Таблица_pr3[[#This Row],[Удельное сопротивление грунта, Ом·м]]))</f>
        <v/>
      </c>
      <c r="AC161" s="61" t="str">
        <f>IFERROR(IF(Z161-Z160&lt;=0,"",AB161/SQRT(Таблица_pr4[[#This Row],[Удельное сопротивление грунта, Ом·м]])),AB161/SQRT(Таблица_pr4[[#This Row],[Удельное сопротивление грунта, Ом·м]]))</f>
        <v/>
      </c>
      <c r="AI161" s="61" t="str">
        <f>IFERROR(IF(AF161-AF160&lt;=0,"",AH161/SQRT(Таблица_pr5[[#This Row],[Удельное сопротивление грунта, Ом·м]])),AH161/SQRT(Таблица_pr5[[#This Row],[Удельное сопротивление грунта, Ом·м]]))</f>
        <v/>
      </c>
      <c r="AO161" s="61" t="str">
        <f>IFERROR(IF(AL161-AL160&lt;=0,"",AN161/SQRT(Таблица_pr6[[#This Row],[Удельное сопротивление грунта, Ом·м]])),AN161/SQRT(Таблица_pr6[[#This Row],[Удельное сопротивление грунта, Ом·м]]))</f>
        <v/>
      </c>
      <c r="AQ161" s="55"/>
      <c r="AR161" s="52"/>
      <c r="AS161" s="67"/>
      <c r="AU161" s="61" t="str">
        <f>IFERROR(IF(AR161-AR160&lt;=0,"",AT161/SQRT(Таблица_pr7[[#This Row],[Удельное сопротивление грунта, Ом·м]])),AT161/SQRT(Таблица_pr7[[#This Row],[Удельное сопротивление грунта, Ом·м]]))</f>
        <v/>
      </c>
      <c r="BA161" s="61" t="str">
        <f>IFERROR(IF(AX161-AX160&lt;=0,"",AZ161/SQRT(Таблица_pr8[[#This Row],[Удельное сопротивление грунта, Ом·м]])),AZ161/SQRT(Таблица_pr8[[#This Row],[Удельное сопротивление грунта, Ом·м]]))</f>
        <v/>
      </c>
      <c r="BC161" s="55"/>
      <c r="BD161" s="52"/>
      <c r="BE161" s="67"/>
      <c r="BG161" s="61" t="str">
        <f>IFERROR(IF(BD161-AX180&lt;=0,"",BF161/SQRT(Таблица_pr9[[#This Row],[Удельное сопротивление грунта, Ом·м]])),BF161/SQRT(Таблица_pr9[[#This Row],[Удельное сопротивление грунта, Ом·м]]))</f>
        <v/>
      </c>
      <c r="BI161" s="55"/>
      <c r="BJ161" s="52"/>
      <c r="BK161" s="67"/>
      <c r="BM161" s="61" t="str">
        <f>IFERROR(IF(BJ161-BD190&lt;=0,"",BL161/SQRT(Таблица_pr10[[#This Row],[Удельное сопротивление грунта, Ом·м]])),BL161/SQRT(Таблица_pr10[[#This Row],[Удельное сопротивление грунта, Ом·м]]))</f>
        <v/>
      </c>
    </row>
    <row r="162" spans="1:65">
      <c r="A162" s="64">
        <v>157</v>
      </c>
      <c r="B162" s="52">
        <v>512.20000000000357</v>
      </c>
      <c r="C162" s="67">
        <v>54.5</v>
      </c>
      <c r="D162" s="61">
        <f t="shared" si="15"/>
        <v>100.00000000002274</v>
      </c>
      <c r="E162" s="61">
        <f>IFERROR(IF(B162-B161&lt;=0,"",D162/SQRT(Таблица_pr[[#This Row],[Удельное сопротивление грунта, Ом·м]])),D162/SQRT(Таблица_pr[[#This Row],[Удельное сопротивление грунта, Ом·м]]))</f>
        <v>13.545709229575007</v>
      </c>
      <c r="G162" s="188">
        <v>157</v>
      </c>
      <c r="H162" s="184">
        <v>512.20000000000357</v>
      </c>
      <c r="I162" s="187">
        <v>54.5</v>
      </c>
      <c r="J162" s="181">
        <f t="shared" si="16"/>
        <v>100.00000000002274</v>
      </c>
      <c r="K162" s="61">
        <f>IFERROR(IF(H162-H161&lt;=0,"",J162/SQRT(Таблица_pr1[[#This Row],[Удельное сопротивление грунта, Ом·м]])),J162/SQRT(Таблица_pr1[[#This Row],[Удельное сопротивление грунта, Ом·м]]))</f>
        <v>13.545709229575007</v>
      </c>
      <c r="Q162" s="61" t="str">
        <f>IFERROR(IF(N162-N161&lt;=0,"",P162/SQRT(Таблица_pr2[[#This Row],[Удельное сопротивление грунта, Ом·м]])),P162/SQRT(Таблица_pr2[[#This Row],[Удельное сопротивление грунта, Ом·м]]))</f>
        <v/>
      </c>
      <c r="W162" s="61" t="str">
        <f>IFERROR(IF(T162-T161&lt;=0,"",V162/SQRT(Таблица_pr3[[#This Row],[Удельное сопротивление грунта, Ом·м]])),V162/SQRT(Таблица_pr3[[#This Row],[Удельное сопротивление грунта, Ом·м]]))</f>
        <v/>
      </c>
      <c r="AC162" s="61" t="str">
        <f>IFERROR(IF(Z162-Z161&lt;=0,"",AB162/SQRT(Таблица_pr4[[#This Row],[Удельное сопротивление грунта, Ом·м]])),AB162/SQRT(Таблица_pr4[[#This Row],[Удельное сопротивление грунта, Ом·м]]))</f>
        <v/>
      </c>
      <c r="AI162" s="61" t="str">
        <f>IFERROR(IF(AF162-AF161&lt;=0,"",AH162/SQRT(Таблица_pr5[[#This Row],[Удельное сопротивление грунта, Ом·м]])),AH162/SQRT(Таблица_pr5[[#This Row],[Удельное сопротивление грунта, Ом·м]]))</f>
        <v/>
      </c>
      <c r="AO162" s="61" t="str">
        <f>IFERROR(IF(AL162-AL161&lt;=0,"",AN162/SQRT(Таблица_pr6[[#This Row],[Удельное сопротивление грунта, Ом·м]])),AN162/SQRT(Таблица_pr6[[#This Row],[Удельное сопротивление грунта, Ом·м]]))</f>
        <v/>
      </c>
      <c r="AQ162" s="55"/>
      <c r="AR162" s="52"/>
      <c r="AS162" s="67"/>
      <c r="AU162" s="61" t="str">
        <f>IFERROR(IF(AR162-AR161&lt;=0,"",AT162/SQRT(Таблица_pr7[[#This Row],[Удельное сопротивление грунта, Ом·м]])),AT162/SQRT(Таблица_pr7[[#This Row],[Удельное сопротивление грунта, Ом·м]]))</f>
        <v/>
      </c>
      <c r="BA162" s="61" t="str">
        <f>IFERROR(IF(AX162-AX161&lt;=0,"",AZ162/SQRT(Таблица_pr8[[#This Row],[Удельное сопротивление грунта, Ом·м]])),AZ162/SQRT(Таблица_pr8[[#This Row],[Удельное сопротивление грунта, Ом·м]]))</f>
        <v/>
      </c>
      <c r="BC162" s="55"/>
      <c r="BD162" s="52"/>
      <c r="BE162" s="67"/>
      <c r="BG162" s="61" t="str">
        <f>IFERROR(IF(BD162-AX181&lt;=0,"",BF162/SQRT(Таблица_pr9[[#This Row],[Удельное сопротивление грунта, Ом·м]])),BF162/SQRT(Таблица_pr9[[#This Row],[Удельное сопротивление грунта, Ом·м]]))</f>
        <v/>
      </c>
      <c r="BI162" s="55"/>
      <c r="BJ162" s="52"/>
      <c r="BK162" s="67"/>
      <c r="BM162" s="61" t="str">
        <f>IFERROR(IF(BJ162-BD191&lt;=0,"",BL162/SQRT(Таблица_pr10[[#This Row],[Удельное сопротивление грунта, Ом·м]])),BL162/SQRT(Таблица_pr10[[#This Row],[Удельное сопротивление грунта, Ом·м]]))</f>
        <v/>
      </c>
    </row>
    <row r="163" spans="1:65">
      <c r="A163" s="64">
        <v>158</v>
      </c>
      <c r="B163" s="52">
        <v>512.30000000000359</v>
      </c>
      <c r="C163" s="67">
        <v>49.3</v>
      </c>
      <c r="D163" s="61">
        <f t="shared" si="15"/>
        <v>100.00000000002274</v>
      </c>
      <c r="E163" s="61">
        <f>IFERROR(IF(B163-B162&lt;=0,"",D163/SQRT(Таблица_pr[[#This Row],[Удельное сопротивление грунта, Ом·м]])),D163/SQRT(Таблица_pr[[#This Row],[Удельное сопротивление грунта, Ом·м]]))</f>
        <v>14.242182297400365</v>
      </c>
      <c r="G163" s="189">
        <v>158</v>
      </c>
      <c r="H163" s="185">
        <v>512.30000000000359</v>
      </c>
      <c r="I163" s="186">
        <v>49.3</v>
      </c>
      <c r="J163" s="180">
        <f t="shared" si="16"/>
        <v>100.00000000002274</v>
      </c>
      <c r="K163" s="61">
        <f>IFERROR(IF(H163-H162&lt;=0,"",J163/SQRT(Таблица_pr1[[#This Row],[Удельное сопротивление грунта, Ом·м]])),J163/SQRT(Таблица_pr1[[#This Row],[Удельное сопротивление грунта, Ом·м]]))</f>
        <v>14.242182297400365</v>
      </c>
      <c r="Q163" s="61" t="str">
        <f>IFERROR(IF(N163-N162&lt;=0,"",P163/SQRT(Таблица_pr2[[#This Row],[Удельное сопротивление грунта, Ом·м]])),P163/SQRT(Таблица_pr2[[#This Row],[Удельное сопротивление грунта, Ом·м]]))</f>
        <v/>
      </c>
      <c r="W163" s="61" t="str">
        <f>IFERROR(IF(T163-T162&lt;=0,"",V163/SQRT(Таблица_pr3[[#This Row],[Удельное сопротивление грунта, Ом·м]])),V163/SQRT(Таблица_pr3[[#This Row],[Удельное сопротивление грунта, Ом·м]]))</f>
        <v/>
      </c>
      <c r="AC163" s="61" t="str">
        <f>IFERROR(IF(Z163-Z162&lt;=0,"",AB163/SQRT(Таблица_pr4[[#This Row],[Удельное сопротивление грунта, Ом·м]])),AB163/SQRT(Таблица_pr4[[#This Row],[Удельное сопротивление грунта, Ом·м]]))</f>
        <v/>
      </c>
      <c r="AI163" s="61" t="str">
        <f>IFERROR(IF(AF163-AF162&lt;=0,"",AH163/SQRT(Таблица_pr5[[#This Row],[Удельное сопротивление грунта, Ом·м]])),AH163/SQRT(Таблица_pr5[[#This Row],[Удельное сопротивление грунта, Ом·м]]))</f>
        <v/>
      </c>
      <c r="AO163" s="61" t="str">
        <f>IFERROR(IF(AL163-AL162&lt;=0,"",AN163/SQRT(Таблица_pr6[[#This Row],[Удельное сопротивление грунта, Ом·м]])),AN163/SQRT(Таблица_pr6[[#This Row],[Удельное сопротивление грунта, Ом·м]]))</f>
        <v/>
      </c>
      <c r="AQ163" s="55"/>
      <c r="AR163" s="52"/>
      <c r="AS163" s="67"/>
      <c r="AU163" s="61" t="str">
        <f>IFERROR(IF(AR163-AR162&lt;=0,"",AT163/SQRT(Таблица_pr7[[#This Row],[Удельное сопротивление грунта, Ом·м]])),AT163/SQRT(Таблица_pr7[[#This Row],[Удельное сопротивление грунта, Ом·м]]))</f>
        <v/>
      </c>
      <c r="BA163" s="61" t="str">
        <f>IFERROR(IF(AX163-AX162&lt;=0,"",AZ163/SQRT(Таблица_pr8[[#This Row],[Удельное сопротивление грунта, Ом·м]])),AZ163/SQRT(Таблица_pr8[[#This Row],[Удельное сопротивление грунта, Ом·м]]))</f>
        <v/>
      </c>
      <c r="BC163" s="55"/>
      <c r="BD163" s="52"/>
      <c r="BE163" s="67"/>
      <c r="BG163" s="61" t="str">
        <f>IFERROR(IF(BD163-AX182&lt;=0,"",BF163/SQRT(Таблица_pr9[[#This Row],[Удельное сопротивление грунта, Ом·м]])),BF163/SQRT(Таблица_pr9[[#This Row],[Удельное сопротивление грунта, Ом·м]]))</f>
        <v/>
      </c>
      <c r="BI163" s="55"/>
      <c r="BJ163" s="52"/>
      <c r="BK163" s="67"/>
      <c r="BM163" s="61" t="str">
        <f>IFERROR(IF(BJ163-BD192&lt;=0,"",BL163/SQRT(Таблица_pr10[[#This Row],[Удельное сопротивление грунта, Ом·м]])),BL163/SQRT(Таблица_pr10[[#This Row],[Удельное сопротивление грунта, Ом·м]]))</f>
        <v/>
      </c>
    </row>
    <row r="164" spans="1:65">
      <c r="A164" s="64">
        <v>159</v>
      </c>
      <c r="B164" s="52">
        <v>512.40000000000362</v>
      </c>
      <c r="C164" s="67">
        <v>48</v>
      </c>
      <c r="D164" s="61">
        <f t="shared" si="15"/>
        <v>100.00000000002274</v>
      </c>
      <c r="E164" s="61">
        <f>IFERROR(IF(B164-B163&lt;=0,"",D164/SQRT(Таблица_pr[[#This Row],[Удельное сопротивление грунта, Ом·м]])),D164/SQRT(Таблица_pr[[#This Row],[Удельное сопротивление грунта, Ом·м]]))</f>
        <v>14.433756729743926</v>
      </c>
      <c r="G164" s="188">
        <v>159</v>
      </c>
      <c r="H164" s="184">
        <v>512.40000000000362</v>
      </c>
      <c r="I164" s="187">
        <v>48</v>
      </c>
      <c r="J164" s="181">
        <f t="shared" si="16"/>
        <v>100.00000000002274</v>
      </c>
      <c r="K164" s="61">
        <f>IFERROR(IF(H164-H163&lt;=0,"",J164/SQRT(Таблица_pr1[[#This Row],[Удельное сопротивление грунта, Ом·м]])),J164/SQRT(Таблица_pr1[[#This Row],[Удельное сопротивление грунта, Ом·м]]))</f>
        <v>14.433756729743926</v>
      </c>
      <c r="Q164" s="61" t="str">
        <f>IFERROR(IF(N164-N163&lt;=0,"",P164/SQRT(Таблица_pr2[[#This Row],[Удельное сопротивление грунта, Ом·м]])),P164/SQRT(Таблица_pr2[[#This Row],[Удельное сопротивление грунта, Ом·м]]))</f>
        <v/>
      </c>
      <c r="W164" s="61" t="str">
        <f>IFERROR(IF(T164-T163&lt;=0,"",V164/SQRT(Таблица_pr3[[#This Row],[Удельное сопротивление грунта, Ом·м]])),V164/SQRT(Таблица_pr3[[#This Row],[Удельное сопротивление грунта, Ом·м]]))</f>
        <v/>
      </c>
      <c r="AC164" s="61" t="str">
        <f>IFERROR(IF(Z164-Z163&lt;=0,"",AB164/SQRT(Таблица_pr4[[#This Row],[Удельное сопротивление грунта, Ом·м]])),AB164/SQRT(Таблица_pr4[[#This Row],[Удельное сопротивление грунта, Ом·м]]))</f>
        <v/>
      </c>
      <c r="AI164" s="61" t="str">
        <f>IFERROR(IF(AF164-AF163&lt;=0,"",AH164/SQRT(Таблица_pr5[[#This Row],[Удельное сопротивление грунта, Ом·м]])),AH164/SQRT(Таблица_pr5[[#This Row],[Удельное сопротивление грунта, Ом·м]]))</f>
        <v/>
      </c>
      <c r="AO164" s="61" t="str">
        <f>IFERROR(IF(AL164-AL163&lt;=0,"",AN164/SQRT(Таблица_pr6[[#This Row],[Удельное сопротивление грунта, Ом·м]])),AN164/SQRT(Таблица_pr6[[#This Row],[Удельное сопротивление грунта, Ом·м]]))</f>
        <v/>
      </c>
      <c r="AQ164" s="55"/>
      <c r="AR164" s="52"/>
      <c r="AS164" s="67"/>
      <c r="AU164" s="61" t="str">
        <f>IFERROR(IF(AR164-AR163&lt;=0,"",AT164/SQRT(Таблица_pr7[[#This Row],[Удельное сопротивление грунта, Ом·м]])),AT164/SQRT(Таблица_pr7[[#This Row],[Удельное сопротивление грунта, Ом·м]]))</f>
        <v/>
      </c>
      <c r="BA164" s="61" t="str">
        <f>IFERROR(IF(AX164-AX163&lt;=0,"",AZ164/SQRT(Таблица_pr8[[#This Row],[Удельное сопротивление грунта, Ом·м]])),AZ164/SQRT(Таблица_pr8[[#This Row],[Удельное сопротивление грунта, Ом·м]]))</f>
        <v/>
      </c>
      <c r="BC164" s="55"/>
      <c r="BD164" s="52"/>
      <c r="BE164" s="67"/>
      <c r="BG164" s="61" t="str">
        <f>IFERROR(IF(BD164-AX183&lt;=0,"",BF164/SQRT(Таблица_pr9[[#This Row],[Удельное сопротивление грунта, Ом·м]])),BF164/SQRT(Таблица_pr9[[#This Row],[Удельное сопротивление грунта, Ом·м]]))</f>
        <v/>
      </c>
      <c r="BI164" s="55"/>
      <c r="BJ164" s="52"/>
      <c r="BK164" s="67"/>
      <c r="BM164" s="61" t="str">
        <f>IFERROR(IF(BJ164-BD193&lt;=0,"",BL164/SQRT(Таблица_pr10[[#This Row],[Удельное сопротивление грунта, Ом·м]])),BL164/SQRT(Таблица_pr10[[#This Row],[Удельное сопротивление грунта, Ом·м]]))</f>
        <v/>
      </c>
    </row>
    <row r="165" spans="1:65">
      <c r="A165" s="64">
        <v>160</v>
      </c>
      <c r="B165" s="52">
        <v>512.50000000000364</v>
      </c>
      <c r="C165" s="67">
        <v>45.3</v>
      </c>
      <c r="D165" s="61">
        <f t="shared" si="15"/>
        <v>100.00000000002274</v>
      </c>
      <c r="E165" s="61">
        <f>IFERROR(IF(B165-B164&lt;=0,"",D165/SQRT(Таблица_pr[[#This Row],[Удельное сопротивление грунта, Ом·м]])),D165/SQRT(Таблица_pr[[#This Row],[Удельное сопротивление грунта, Ом·м]]))</f>
        <v>14.857676530214274</v>
      </c>
      <c r="G165" s="189">
        <v>160</v>
      </c>
      <c r="H165" s="185">
        <v>512.50000000000364</v>
      </c>
      <c r="I165" s="186">
        <v>45.3</v>
      </c>
      <c r="J165" s="180">
        <f t="shared" si="16"/>
        <v>100.00000000002274</v>
      </c>
      <c r="K165" s="61">
        <f>IFERROR(IF(H165-H164&lt;=0,"",J165/SQRT(Таблица_pr1[[#This Row],[Удельное сопротивление грунта, Ом·м]])),J165/SQRT(Таблица_pr1[[#This Row],[Удельное сопротивление грунта, Ом·м]]))</f>
        <v>14.857676530214274</v>
      </c>
      <c r="Q165" s="61" t="str">
        <f>IFERROR(IF(N165-N164&lt;=0,"",P165/SQRT(Таблица_pr2[[#This Row],[Удельное сопротивление грунта, Ом·м]])),P165/SQRT(Таблица_pr2[[#This Row],[Удельное сопротивление грунта, Ом·м]]))</f>
        <v/>
      </c>
      <c r="W165" s="61" t="str">
        <f>IFERROR(IF(T165-T164&lt;=0,"",V165/SQRT(Таблица_pr3[[#This Row],[Удельное сопротивление грунта, Ом·м]])),V165/SQRT(Таблица_pr3[[#This Row],[Удельное сопротивление грунта, Ом·м]]))</f>
        <v/>
      </c>
      <c r="AC165" s="61" t="str">
        <f>IFERROR(IF(Z165-Z164&lt;=0,"",AB165/SQRT(Таблица_pr4[[#This Row],[Удельное сопротивление грунта, Ом·м]])),AB165/SQRT(Таблица_pr4[[#This Row],[Удельное сопротивление грунта, Ом·м]]))</f>
        <v/>
      </c>
      <c r="AI165" s="61" t="str">
        <f>IFERROR(IF(AF165-AF164&lt;=0,"",AH165/SQRT(Таблица_pr5[[#This Row],[Удельное сопротивление грунта, Ом·м]])),AH165/SQRT(Таблица_pr5[[#This Row],[Удельное сопротивление грунта, Ом·м]]))</f>
        <v/>
      </c>
      <c r="AO165" s="61" t="str">
        <f>IFERROR(IF(AL165-AL164&lt;=0,"",AN165/SQRT(Таблица_pr6[[#This Row],[Удельное сопротивление грунта, Ом·м]])),AN165/SQRT(Таблица_pr6[[#This Row],[Удельное сопротивление грунта, Ом·м]]))</f>
        <v/>
      </c>
      <c r="AQ165" s="55"/>
      <c r="AR165" s="52"/>
      <c r="AS165" s="67"/>
      <c r="AU165" s="61" t="str">
        <f>IFERROR(IF(AR165-AR164&lt;=0,"",AT165/SQRT(Таблица_pr7[[#This Row],[Удельное сопротивление грунта, Ом·м]])),AT165/SQRT(Таблица_pr7[[#This Row],[Удельное сопротивление грунта, Ом·м]]))</f>
        <v/>
      </c>
      <c r="BA165" s="61" t="str">
        <f>IFERROR(IF(AX165-AX164&lt;=0,"",AZ165/SQRT(Таблица_pr8[[#This Row],[Удельное сопротивление грунта, Ом·м]])),AZ165/SQRT(Таблица_pr8[[#This Row],[Удельное сопротивление грунта, Ом·м]]))</f>
        <v/>
      </c>
      <c r="BC165" s="55"/>
      <c r="BD165" s="52"/>
      <c r="BE165" s="67"/>
      <c r="BG165" s="61" t="str">
        <f>IFERROR(IF(BD165-AX184&lt;=0,"",BF165/SQRT(Таблица_pr9[[#This Row],[Удельное сопротивление грунта, Ом·м]])),BF165/SQRT(Таблица_pr9[[#This Row],[Удельное сопротивление грунта, Ом·м]]))</f>
        <v/>
      </c>
      <c r="BI165" s="55"/>
      <c r="BJ165" s="52"/>
      <c r="BK165" s="67"/>
      <c r="BM165" s="61" t="str">
        <f>IFERROR(IF(BJ165-BD194&lt;=0,"",BL165/SQRT(Таблица_pr10[[#This Row],[Удельное сопротивление грунта, Ом·м]])),BL165/SQRT(Таблица_pr10[[#This Row],[Удельное сопротивление грунта, Ом·м]]))</f>
        <v/>
      </c>
    </row>
    <row r="166" spans="1:65">
      <c r="A166" s="64">
        <v>161</v>
      </c>
      <c r="B166" s="52">
        <v>512.60000000000366</v>
      </c>
      <c r="C166" s="67">
        <v>43.2</v>
      </c>
      <c r="D166" s="61">
        <f t="shared" si="15"/>
        <v>100.00000000002274</v>
      </c>
      <c r="E166" s="61">
        <f>IFERROR(IF(B166-B165&lt;=0,"",D166/SQRT(Таблица_pr[[#This Row],[Удельное сопротивление грунта, Ом·м]])),D166/SQRT(Таблица_pr[[#This Row],[Удельное сопротивление грунта, Ом·м]]))</f>
        <v>15.214515486258072</v>
      </c>
      <c r="G166" s="188">
        <v>161</v>
      </c>
      <c r="H166" s="184">
        <v>512.60000000000366</v>
      </c>
      <c r="I166" s="187">
        <v>43.2</v>
      </c>
      <c r="J166" s="181">
        <f t="shared" si="16"/>
        <v>100.00000000002274</v>
      </c>
      <c r="K166" s="61">
        <f>IFERROR(IF(H166-H165&lt;=0,"",J166/SQRT(Таблица_pr1[[#This Row],[Удельное сопротивление грунта, Ом·м]])),J166/SQRT(Таблица_pr1[[#This Row],[Удельное сопротивление грунта, Ом·м]]))</f>
        <v>15.214515486258072</v>
      </c>
      <c r="Q166" s="61" t="str">
        <f>IFERROR(IF(N166-N165&lt;=0,"",P166/SQRT(Таблица_pr2[[#This Row],[Удельное сопротивление грунта, Ом·м]])),P166/SQRT(Таблица_pr2[[#This Row],[Удельное сопротивление грунта, Ом·м]]))</f>
        <v/>
      </c>
      <c r="W166" s="61" t="str">
        <f>IFERROR(IF(T166-T165&lt;=0,"",V166/SQRT(Таблица_pr3[[#This Row],[Удельное сопротивление грунта, Ом·м]])),V166/SQRT(Таблица_pr3[[#This Row],[Удельное сопротивление грунта, Ом·м]]))</f>
        <v/>
      </c>
      <c r="AC166" s="61" t="str">
        <f>IFERROR(IF(Z166-Z165&lt;=0,"",AB166/SQRT(Таблица_pr4[[#This Row],[Удельное сопротивление грунта, Ом·м]])),AB166/SQRT(Таблица_pr4[[#This Row],[Удельное сопротивление грунта, Ом·м]]))</f>
        <v/>
      </c>
      <c r="AI166" s="61" t="str">
        <f>IFERROR(IF(AF166-AF165&lt;=0,"",AH166/SQRT(Таблица_pr5[[#This Row],[Удельное сопротивление грунта, Ом·м]])),AH166/SQRT(Таблица_pr5[[#This Row],[Удельное сопротивление грунта, Ом·м]]))</f>
        <v/>
      </c>
      <c r="AO166" s="61" t="str">
        <f>IFERROR(IF(AL166-AL165&lt;=0,"",AN166/SQRT(Таблица_pr6[[#This Row],[Удельное сопротивление грунта, Ом·м]])),AN166/SQRT(Таблица_pr6[[#This Row],[Удельное сопротивление грунта, Ом·м]]))</f>
        <v/>
      </c>
      <c r="AQ166" s="55"/>
      <c r="AR166" s="52"/>
      <c r="AS166" s="67"/>
      <c r="AU166" s="61" t="str">
        <f>IFERROR(IF(AR166-AR165&lt;=0,"",AT166/SQRT(Таблица_pr7[[#This Row],[Удельное сопротивление грунта, Ом·м]])),AT166/SQRT(Таблица_pr7[[#This Row],[Удельное сопротивление грунта, Ом·м]]))</f>
        <v/>
      </c>
      <c r="BA166" s="61" t="str">
        <f>IFERROR(IF(AX166-AX165&lt;=0,"",AZ166/SQRT(Таблица_pr8[[#This Row],[Удельное сопротивление грунта, Ом·м]])),AZ166/SQRT(Таблица_pr8[[#This Row],[Удельное сопротивление грунта, Ом·м]]))</f>
        <v/>
      </c>
      <c r="BC166" s="55"/>
      <c r="BD166" s="52"/>
      <c r="BE166" s="67"/>
      <c r="BG166" s="61" t="str">
        <f>IFERROR(IF(BD166-AX185&lt;=0,"",BF166/SQRT(Таблица_pr9[[#This Row],[Удельное сопротивление грунта, Ом·м]])),BF166/SQRT(Таблица_pr9[[#This Row],[Удельное сопротивление грунта, Ом·м]]))</f>
        <v/>
      </c>
      <c r="BI166" s="55"/>
      <c r="BJ166" s="52"/>
      <c r="BK166" s="67"/>
      <c r="BM166" s="61" t="str">
        <f>IFERROR(IF(BJ166-BD195&lt;=0,"",BL166/SQRT(Таблица_pr10[[#This Row],[Удельное сопротивление грунта, Ом·м]])),BL166/SQRT(Таблица_pr10[[#This Row],[Удельное сопротивление грунта, Ом·м]]))</f>
        <v/>
      </c>
    </row>
    <row r="167" spans="1:65">
      <c r="A167" s="64">
        <v>162</v>
      </c>
      <c r="B167" s="52">
        <v>512.70000000000368</v>
      </c>
      <c r="C167" s="67">
        <v>40.4</v>
      </c>
      <c r="D167" s="61">
        <f t="shared" si="15"/>
        <v>100.00000000002274</v>
      </c>
      <c r="E167" s="61">
        <f>IFERROR(IF(B167-B166&lt;=0,"",D167/SQRT(Таблица_pr[[#This Row],[Удельное сопротивление грунта, Ом·м]])),D167/SQRT(Таблица_pr[[#This Row],[Удельное сопротивление грунта, Ом·м]]))</f>
        <v>15.732919388192393</v>
      </c>
      <c r="G167" s="189">
        <v>162</v>
      </c>
      <c r="H167" s="185">
        <v>512.70000000000368</v>
      </c>
      <c r="I167" s="186">
        <v>40.4</v>
      </c>
      <c r="J167" s="180">
        <f t="shared" si="16"/>
        <v>100.00000000002274</v>
      </c>
      <c r="K167" s="61">
        <f>IFERROR(IF(H167-H166&lt;=0,"",J167/SQRT(Таблица_pr1[[#This Row],[Удельное сопротивление грунта, Ом·м]])),J167/SQRT(Таблица_pr1[[#This Row],[Удельное сопротивление грунта, Ом·м]]))</f>
        <v>15.732919388192393</v>
      </c>
      <c r="Q167" s="61" t="str">
        <f>IFERROR(IF(N167-N166&lt;=0,"",P167/SQRT(Таблица_pr2[[#This Row],[Удельное сопротивление грунта, Ом·м]])),P167/SQRT(Таблица_pr2[[#This Row],[Удельное сопротивление грунта, Ом·м]]))</f>
        <v/>
      </c>
      <c r="W167" s="61" t="str">
        <f>IFERROR(IF(T167-T166&lt;=0,"",V167/SQRT(Таблица_pr3[[#This Row],[Удельное сопротивление грунта, Ом·м]])),V167/SQRT(Таблица_pr3[[#This Row],[Удельное сопротивление грунта, Ом·м]]))</f>
        <v/>
      </c>
      <c r="AC167" s="61" t="str">
        <f>IFERROR(IF(Z167-Z166&lt;=0,"",AB167/SQRT(Таблица_pr4[[#This Row],[Удельное сопротивление грунта, Ом·м]])),AB167/SQRT(Таблица_pr4[[#This Row],[Удельное сопротивление грунта, Ом·м]]))</f>
        <v/>
      </c>
      <c r="AI167" s="61" t="str">
        <f>IFERROR(IF(AF167-AF166&lt;=0,"",AH167/SQRT(Таблица_pr5[[#This Row],[Удельное сопротивление грунта, Ом·м]])),AH167/SQRT(Таблица_pr5[[#This Row],[Удельное сопротивление грунта, Ом·м]]))</f>
        <v/>
      </c>
      <c r="AO167" s="61" t="str">
        <f>IFERROR(IF(AL167-AL166&lt;=0,"",AN167/SQRT(Таблица_pr6[[#This Row],[Удельное сопротивление грунта, Ом·м]])),AN167/SQRT(Таблица_pr6[[#This Row],[Удельное сопротивление грунта, Ом·м]]))</f>
        <v/>
      </c>
      <c r="AQ167" s="55"/>
      <c r="AR167" s="52"/>
      <c r="AS167" s="67"/>
      <c r="AU167" s="61" t="str">
        <f>IFERROR(IF(AR167-AR166&lt;=0,"",AT167/SQRT(Таблица_pr7[[#This Row],[Удельное сопротивление грунта, Ом·м]])),AT167/SQRT(Таблица_pr7[[#This Row],[Удельное сопротивление грунта, Ом·м]]))</f>
        <v/>
      </c>
      <c r="BA167" s="61" t="str">
        <f>IFERROR(IF(AX167-AX166&lt;=0,"",AZ167/SQRT(Таблица_pr8[[#This Row],[Удельное сопротивление грунта, Ом·м]])),AZ167/SQRT(Таблица_pr8[[#This Row],[Удельное сопротивление грунта, Ом·м]]))</f>
        <v/>
      </c>
      <c r="BC167" s="55"/>
      <c r="BD167" s="52"/>
      <c r="BE167" s="67"/>
      <c r="BG167" s="61" t="str">
        <f>IFERROR(IF(BD167-AX186&lt;=0,"",BF167/SQRT(Таблица_pr9[[#This Row],[Удельное сопротивление грунта, Ом·м]])),BF167/SQRT(Таблица_pr9[[#This Row],[Удельное сопротивление грунта, Ом·м]]))</f>
        <v/>
      </c>
      <c r="BI167" s="55"/>
      <c r="BJ167" s="52"/>
      <c r="BK167" s="67"/>
      <c r="BM167" s="61" t="str">
        <f>IFERROR(IF(BJ167-BD196&lt;=0,"",BL167/SQRT(Таблица_pr10[[#This Row],[Удельное сопротивление грунта, Ом·м]])),BL167/SQRT(Таблица_pr10[[#This Row],[Удельное сопротивление грунта, Ом·м]]))</f>
        <v/>
      </c>
    </row>
    <row r="168" spans="1:65">
      <c r="A168" s="64">
        <v>163</v>
      </c>
      <c r="B168" s="52">
        <v>512.80000000000371</v>
      </c>
      <c r="C168" s="67">
        <v>43</v>
      </c>
      <c r="D168" s="61">
        <f t="shared" si="15"/>
        <v>100.00000000002274</v>
      </c>
      <c r="E168" s="61">
        <f>IFERROR(IF(B168-B167&lt;=0,"",D168/SQRT(Таблица_pr[[#This Row],[Удельное сопротивление грунта, Ом·м]])),D168/SQRT(Таблица_pr[[#This Row],[Удельное сопротивление грунта, Ом·м]]))</f>
        <v>15.249857033263934</v>
      </c>
      <c r="G168" s="188">
        <v>163</v>
      </c>
      <c r="H168" s="184">
        <v>512.80000000000371</v>
      </c>
      <c r="I168" s="187">
        <v>43</v>
      </c>
      <c r="J168" s="181">
        <f t="shared" si="16"/>
        <v>100.00000000002274</v>
      </c>
      <c r="K168" s="61">
        <f>IFERROR(IF(H168-H167&lt;=0,"",J168/SQRT(Таблица_pr1[[#This Row],[Удельное сопротивление грунта, Ом·м]])),J168/SQRT(Таблица_pr1[[#This Row],[Удельное сопротивление грунта, Ом·м]]))</f>
        <v>15.249857033263934</v>
      </c>
      <c r="Q168" s="61" t="str">
        <f>IFERROR(IF(N168-N167&lt;=0,"",P168/SQRT(Таблица_pr2[[#This Row],[Удельное сопротивление грунта, Ом·м]])),P168/SQRT(Таблица_pr2[[#This Row],[Удельное сопротивление грунта, Ом·м]]))</f>
        <v/>
      </c>
      <c r="W168" s="61" t="str">
        <f>IFERROR(IF(T168-T167&lt;=0,"",V168/SQRT(Таблица_pr3[[#This Row],[Удельное сопротивление грунта, Ом·м]])),V168/SQRT(Таблица_pr3[[#This Row],[Удельное сопротивление грунта, Ом·м]]))</f>
        <v/>
      </c>
      <c r="AC168" s="61" t="str">
        <f>IFERROR(IF(Z168-Z167&lt;=0,"",AB168/SQRT(Таблица_pr4[[#This Row],[Удельное сопротивление грунта, Ом·м]])),AB168/SQRT(Таблица_pr4[[#This Row],[Удельное сопротивление грунта, Ом·м]]))</f>
        <v/>
      </c>
      <c r="AI168" s="61" t="str">
        <f>IFERROR(IF(AF168-AF167&lt;=0,"",AH168/SQRT(Таблица_pr5[[#This Row],[Удельное сопротивление грунта, Ом·м]])),AH168/SQRT(Таблица_pr5[[#This Row],[Удельное сопротивление грунта, Ом·м]]))</f>
        <v/>
      </c>
      <c r="AK168" s="55"/>
      <c r="AL168" s="52"/>
      <c r="AM168" s="67"/>
      <c r="AN168" s="61" t="str">
        <f>IFERROR(IF(AL168-BD87&lt;=0,"",(AL168-BD87)*1000),100)</f>
        <v/>
      </c>
      <c r="AO168" s="61" t="str">
        <f>IFERROR(IF(AL168-AL167&lt;=0,"",AN168/SQRT(Таблица_pr6[[#This Row],[Удельное сопротивление грунта, Ом·м]])),AN168/SQRT(Таблица_pr6[[#This Row],[Удельное сопротивление грунта, Ом·м]]))</f>
        <v/>
      </c>
      <c r="AQ168" s="55"/>
      <c r="AR168" s="52"/>
      <c r="AS168" s="67"/>
      <c r="AU168" s="61" t="str">
        <f>IFERROR(IF(AR168-AR167&lt;=0,"",AT168/SQRT(Таблица_pr7[[#This Row],[Удельное сопротивление грунта, Ом·м]])),AT168/SQRT(Таблица_pr7[[#This Row],[Удельное сопротивление грунта, Ом·м]]))</f>
        <v/>
      </c>
      <c r="AW168" s="55"/>
      <c r="AX168" s="52"/>
      <c r="AY168" s="67"/>
      <c r="AZ168" s="61" t="str">
        <f>IFERROR(IF(AX168-BD137&lt;=0,"",(AX168-BD137)*1000),100)</f>
        <v/>
      </c>
      <c r="BA168" s="61" t="str">
        <f>IFERROR(IF(AX168-AX167&lt;=0,"",AZ168/SQRT(Таблица_pr8[[#This Row],[Удельное сопротивление грунта, Ом·м]])),AZ168/SQRT(Таблица_pr8[[#This Row],[Удельное сопротивление грунта, Ом·м]]))</f>
        <v/>
      </c>
      <c r="BC168" s="55"/>
      <c r="BD168" s="52"/>
      <c r="BE168" s="67"/>
      <c r="BG168" s="61" t="str">
        <f>IFERROR(IF(BD168-AX187&lt;=0,"",BF168/SQRT(Таблица_pr9[[#This Row],[Удельное сопротивление грунта, Ом·м]])),BF168/SQRT(Таблица_pr9[[#This Row],[Удельное сопротивление грунта, Ом·м]]))</f>
        <v/>
      </c>
      <c r="BI168" s="55"/>
      <c r="BJ168" s="52"/>
      <c r="BK168" s="67"/>
      <c r="BM168" s="61" t="str">
        <f>IFERROR(IF(BJ168-BD197&lt;=0,"",BL168/SQRT(Таблица_pr10[[#This Row],[Удельное сопротивление грунта, Ом·м]])),BL168/SQRT(Таблица_pr10[[#This Row],[Удельное сопротивление грунта, Ом·м]]))</f>
        <v/>
      </c>
    </row>
    <row r="169" spans="1:65">
      <c r="A169" s="64">
        <v>164</v>
      </c>
      <c r="B169" s="52">
        <v>512.90000000000373</v>
      </c>
      <c r="C169" s="67">
        <v>36</v>
      </c>
      <c r="D169" s="61">
        <f t="shared" si="15"/>
        <v>100.00000000002274</v>
      </c>
      <c r="E169" s="61">
        <f>IFERROR(IF(B169-B168&lt;=0,"",D169/SQRT(Таблица_pr[[#This Row],[Удельное сопротивление грунта, Ом·м]])),D169/SQRT(Таблица_pr[[#This Row],[Удельное сопротивление грунта, Ом·м]]))</f>
        <v>16.666666666670455</v>
      </c>
      <c r="G169" s="189">
        <v>164</v>
      </c>
      <c r="H169" s="185">
        <v>512.90000000000373</v>
      </c>
      <c r="I169" s="186">
        <v>36</v>
      </c>
      <c r="J169" s="180">
        <f t="shared" si="16"/>
        <v>100.00000000002274</v>
      </c>
      <c r="K169" s="61">
        <f>IFERROR(IF(H169-H168&lt;=0,"",J169/SQRT(Таблица_pr1[[#This Row],[Удельное сопротивление грунта, Ом·м]])),J169/SQRT(Таблица_pr1[[#This Row],[Удельное сопротивление грунта, Ом·м]]))</f>
        <v>16.666666666670455</v>
      </c>
      <c r="Q169" s="61" t="str">
        <f>IFERROR(IF(N169-N168&lt;=0,"",P169/SQRT(Таблица_pr2[[#This Row],[Удельное сопротивление грунта, Ом·м]])),P169/SQRT(Таблица_pr2[[#This Row],[Удельное сопротивление грунта, Ом·м]]))</f>
        <v/>
      </c>
      <c r="W169" s="61" t="str">
        <f>IFERROR(IF(T169-T168&lt;=0,"",V169/SQRT(Таблица_pr3[[#This Row],[Удельное сопротивление грунта, Ом·м]])),V169/SQRT(Таблица_pr3[[#This Row],[Удельное сопротивление грунта, Ом·м]]))</f>
        <v/>
      </c>
      <c r="AC169" s="61" t="str">
        <f>IFERROR(IF(Z169-Z168&lt;=0,"",AB169/SQRT(Таблица_pr4[[#This Row],[Удельное сопротивление грунта, Ом·м]])),AB169/SQRT(Таблица_pr4[[#This Row],[Удельное сопротивление грунта, Ом·м]]))</f>
        <v/>
      </c>
      <c r="AI169" s="61" t="str">
        <f>IFERROR(IF(AF169-AF168&lt;=0,"",AH169/SQRT(Таблица_pr5[[#This Row],[Удельное сопротивление грунта, Ом·м]])),AH169/SQRT(Таблица_pr5[[#This Row],[Удельное сопротивление грунта, Ом·м]]))</f>
        <v/>
      </c>
      <c r="AK169" s="55"/>
      <c r="AL169" s="52"/>
      <c r="AM169" s="67"/>
      <c r="AN169" s="61" t="str">
        <f t="shared" ref="AN169:AN198" si="17">IFERROR(IF(AL169-AL168&lt;=0,"",(AL169-AL168)*1000),100)</f>
        <v/>
      </c>
      <c r="AO169" s="61" t="str">
        <f>IFERROR(IF(AL169-AL168&lt;=0,"",AN169/SQRT(Таблица_pr6[[#This Row],[Удельное сопротивление грунта, Ом·м]])),AN169/SQRT(Таблица_pr6[[#This Row],[Удельное сопротивление грунта, Ом·м]]))</f>
        <v/>
      </c>
      <c r="AQ169" s="55"/>
      <c r="AR169" s="52"/>
      <c r="AS169" s="67"/>
      <c r="AU169" s="61" t="str">
        <f>IFERROR(IF(AR169-AR168&lt;=0,"",AT169/SQRT(Таблица_pr7[[#This Row],[Удельное сопротивление грунта, Ом·м]])),AT169/SQRT(Таблица_pr7[[#This Row],[Удельное сопротивление грунта, Ом·м]]))</f>
        <v/>
      </c>
      <c r="AW169" s="55"/>
      <c r="AX169" s="52"/>
      <c r="AY169" s="67"/>
      <c r="AZ169" s="61" t="str">
        <f t="shared" ref="AZ169:AZ198" si="18">IFERROR(IF(AX169-AX168&lt;=0,"",(AX169-AX168)*1000),100)</f>
        <v/>
      </c>
      <c r="BA169" s="61" t="str">
        <f>IFERROR(IF(AX169-AX168&lt;=0,"",AZ169/SQRT(Таблица_pr8[[#This Row],[Удельное сопротивление грунта, Ом·м]])),AZ169/SQRT(Таблица_pr8[[#This Row],[Удельное сопротивление грунта, Ом·м]]))</f>
        <v/>
      </c>
      <c r="BC169" s="55"/>
      <c r="BD169" s="52"/>
      <c r="BE169" s="67"/>
      <c r="BG169" s="61" t="str">
        <f>IFERROR(IF(BD169-AX188&lt;=0,"",BF169/SQRT(Таблица_pr9[[#This Row],[Удельное сопротивление грунта, Ом·м]])),BF169/SQRT(Таблица_pr9[[#This Row],[Удельное сопротивление грунта, Ом·м]]))</f>
        <v/>
      </c>
      <c r="BI169" s="55"/>
      <c r="BJ169" s="52"/>
      <c r="BK169" s="67"/>
      <c r="BM169" s="61" t="str">
        <f>IFERROR(IF(BJ169-BD198&lt;=0,"",BL169/SQRT(Таблица_pr10[[#This Row],[Удельное сопротивление грунта, Ом·м]])),BL169/SQRT(Таблица_pr10[[#This Row],[Удельное сопротивление грунта, Ом·м]]))</f>
        <v/>
      </c>
    </row>
    <row r="170" spans="1:65">
      <c r="A170" s="64">
        <v>165</v>
      </c>
      <c r="B170" s="52">
        <v>513.00000000000375</v>
      </c>
      <c r="C170" s="67">
        <v>39.299999999999997</v>
      </c>
      <c r="D170" s="61">
        <f t="shared" si="15"/>
        <v>100.00000000002274</v>
      </c>
      <c r="E170" s="61">
        <f>IFERROR(IF(B170-B169&lt;=0,"",D170/SQRT(Таблица_pr[[#This Row],[Удельное сопротивление грунта, Ом·м]])),D170/SQRT(Таблица_pr[[#This Row],[Удельное сопротивление грунта, Ом·м]]))</f>
        <v>15.951580680571038</v>
      </c>
      <c r="G170" s="188">
        <v>165</v>
      </c>
      <c r="H170" s="184">
        <v>513.00000000000375</v>
      </c>
      <c r="I170" s="187">
        <v>39.299999999999997</v>
      </c>
      <c r="J170" s="181">
        <f t="shared" si="16"/>
        <v>100.00000000002274</v>
      </c>
      <c r="K170" s="61">
        <f>IFERROR(IF(H170-H169&lt;=0,"",J170/SQRT(Таблица_pr1[[#This Row],[Удельное сопротивление грунта, Ом·м]])),J170/SQRT(Таблица_pr1[[#This Row],[Удельное сопротивление грунта, Ом·м]]))</f>
        <v>15.951580680571038</v>
      </c>
      <c r="Q170" s="61" t="str">
        <f>IFERROR(IF(N170-N169&lt;=0,"",P170/SQRT(Таблица_pr2[[#This Row],[Удельное сопротивление грунта, Ом·м]])),P170/SQRT(Таблица_pr2[[#This Row],[Удельное сопротивление грунта, Ом·м]]))</f>
        <v/>
      </c>
      <c r="W170" s="61" t="str">
        <f>IFERROR(IF(T170-T169&lt;=0,"",V170/SQRT(Таблица_pr3[[#This Row],[Удельное сопротивление грунта, Ом·м]])),V170/SQRT(Таблица_pr3[[#This Row],[Удельное сопротивление грунта, Ом·м]]))</f>
        <v/>
      </c>
      <c r="AC170" s="61" t="str">
        <f>IFERROR(IF(Z170-Z169&lt;=0,"",AB170/SQRT(Таблица_pr4[[#This Row],[Удельное сопротивление грунта, Ом·м]])),AB170/SQRT(Таблица_pr4[[#This Row],[Удельное сопротивление грунта, Ом·м]]))</f>
        <v/>
      </c>
      <c r="AI170" s="61" t="str">
        <f>IFERROR(IF(AF170-AF169&lt;=0,"",AH170/SQRT(Таблица_pr5[[#This Row],[Удельное сопротивление грунта, Ом·м]])),AH170/SQRT(Таблица_pr5[[#This Row],[Удельное сопротивление грунта, Ом·м]]))</f>
        <v/>
      </c>
      <c r="AK170" s="55"/>
      <c r="AL170" s="52"/>
      <c r="AM170" s="67"/>
      <c r="AN170" s="61" t="str">
        <f t="shared" si="17"/>
        <v/>
      </c>
      <c r="AO170" s="61" t="str">
        <f>IFERROR(IF(AL170-AL169&lt;=0,"",AN170/SQRT(Таблица_pr6[[#This Row],[Удельное сопротивление грунта, Ом·м]])),AN170/SQRT(Таблица_pr6[[#This Row],[Удельное сопротивление грунта, Ом·м]]))</f>
        <v/>
      </c>
      <c r="AQ170" s="55"/>
      <c r="AR170" s="52"/>
      <c r="AS170" s="67"/>
      <c r="AU170" s="61" t="str">
        <f>IFERROR(IF(AR170-AR169&lt;=0,"",AT170/SQRT(Таблица_pr7[[#This Row],[Удельное сопротивление грунта, Ом·м]])),AT170/SQRT(Таблица_pr7[[#This Row],[Удельное сопротивление грунта, Ом·м]]))</f>
        <v/>
      </c>
      <c r="AW170" s="55"/>
      <c r="AX170" s="52"/>
      <c r="AY170" s="67"/>
      <c r="AZ170" s="61" t="str">
        <f t="shared" si="18"/>
        <v/>
      </c>
      <c r="BA170" s="61" t="str">
        <f>IFERROR(IF(AX170-AX169&lt;=0,"",AZ170/SQRT(Таблица_pr8[[#This Row],[Удельное сопротивление грунта, Ом·м]])),AZ170/SQRT(Таблица_pr8[[#This Row],[Удельное сопротивление грунта, Ом·м]]))</f>
        <v/>
      </c>
      <c r="BC170" s="55"/>
      <c r="BD170" s="52"/>
      <c r="BE170" s="67"/>
      <c r="BG170" s="61" t="str">
        <f>IFERROR(IF(BD170-AX189&lt;=0,"",BF170/SQRT(Таблица_pr9[[#This Row],[Удельное сопротивление грунта, Ом·м]])),BF170/SQRT(Таблица_pr9[[#This Row],[Удельное сопротивление грунта, Ом·м]]))</f>
        <v/>
      </c>
      <c r="BI170" s="55"/>
      <c r="BJ170" s="52"/>
      <c r="BK170" s="67"/>
      <c r="BM170" s="61" t="str">
        <f>IFERROR(IF(BJ170-BD199&lt;=0,"",BL170/SQRT(Таблица_pr10[[#This Row],[Удельное сопротивление грунта, Ом·м]])),BL170/SQRT(Таблица_pr10[[#This Row],[Удельное сопротивление грунта, Ом·м]]))</f>
        <v/>
      </c>
    </row>
    <row r="171" spans="1:65">
      <c r="A171" s="64">
        <v>166</v>
      </c>
      <c r="B171" s="52">
        <v>513.10000000000377</v>
      </c>
      <c r="C171" s="67">
        <v>55.3</v>
      </c>
      <c r="D171" s="61">
        <f t="shared" si="15"/>
        <v>100.00000000002274</v>
      </c>
      <c r="E171" s="61">
        <f>IFERROR(IF(B171-B170&lt;=0,"",D171/SQRT(Таблица_pr[[#This Row],[Удельное сопротивление грунта, Ом·м]])),D171/SQRT(Таблица_pr[[#This Row],[Удельное сопротивление грунта, Ом·м]]))</f>
        <v>13.447372472030693</v>
      </c>
      <c r="G171" s="189">
        <v>166</v>
      </c>
      <c r="H171" s="185">
        <v>513.10000000000377</v>
      </c>
      <c r="I171" s="186">
        <v>55.3</v>
      </c>
      <c r="J171" s="180">
        <f t="shared" si="16"/>
        <v>100.00000000002274</v>
      </c>
      <c r="K171" s="61">
        <f>IFERROR(IF(H171-H170&lt;=0,"",J171/SQRT(Таблица_pr1[[#This Row],[Удельное сопротивление грунта, Ом·м]])),J171/SQRT(Таблица_pr1[[#This Row],[Удельное сопротивление грунта, Ом·м]]))</f>
        <v>13.447372472030693</v>
      </c>
      <c r="Q171" s="61" t="str">
        <f>IFERROR(IF(N171-N170&lt;=0,"",P171/SQRT(Таблица_pr2[[#This Row],[Удельное сопротивление грунта, Ом·м]])),P171/SQRT(Таблица_pr2[[#This Row],[Удельное сопротивление грунта, Ом·м]]))</f>
        <v/>
      </c>
      <c r="W171" s="61" t="str">
        <f>IFERROR(IF(T171-T170&lt;=0,"",V171/SQRT(Таблица_pr3[[#This Row],[Удельное сопротивление грунта, Ом·м]])),V171/SQRT(Таблица_pr3[[#This Row],[Удельное сопротивление грунта, Ом·м]]))</f>
        <v/>
      </c>
      <c r="AC171" s="61" t="str">
        <f>IFERROR(IF(Z171-Z170&lt;=0,"",AB171/SQRT(Таблица_pr4[[#This Row],[Удельное сопротивление грунта, Ом·м]])),AB171/SQRT(Таблица_pr4[[#This Row],[Удельное сопротивление грунта, Ом·м]]))</f>
        <v/>
      </c>
      <c r="AI171" s="61" t="str">
        <f>IFERROR(IF(AF171-AF170&lt;=0,"",AH171/SQRT(Таблица_pr5[[#This Row],[Удельное сопротивление грунта, Ом·м]])),AH171/SQRT(Таблица_pr5[[#This Row],[Удельное сопротивление грунта, Ом·м]]))</f>
        <v/>
      </c>
      <c r="AK171" s="55"/>
      <c r="AL171" s="52"/>
      <c r="AM171" s="67"/>
      <c r="AN171" s="61" t="str">
        <f t="shared" si="17"/>
        <v/>
      </c>
      <c r="AO171" s="61" t="str">
        <f>IFERROR(IF(AL171-AL170&lt;=0,"",AN171/SQRT(Таблица_pr6[[#This Row],[Удельное сопротивление грунта, Ом·м]])),AN171/SQRT(Таблица_pr6[[#This Row],[Удельное сопротивление грунта, Ом·м]]))</f>
        <v/>
      </c>
      <c r="AQ171" s="55"/>
      <c r="AR171" s="52"/>
      <c r="AS171" s="67"/>
      <c r="AU171" s="61" t="str">
        <f>IFERROR(IF(AR171-AR170&lt;=0,"",AT171/SQRT(Таблица_pr7[[#This Row],[Удельное сопротивление грунта, Ом·м]])),AT171/SQRT(Таблица_pr7[[#This Row],[Удельное сопротивление грунта, Ом·м]]))</f>
        <v/>
      </c>
      <c r="AW171" s="55"/>
      <c r="AX171" s="52"/>
      <c r="AY171" s="67"/>
      <c r="AZ171" s="61" t="str">
        <f t="shared" si="18"/>
        <v/>
      </c>
      <c r="BA171" s="61" t="str">
        <f>IFERROR(IF(AX171-AX170&lt;=0,"",AZ171/SQRT(Таблица_pr8[[#This Row],[Удельное сопротивление грунта, Ом·м]])),AZ171/SQRT(Таблица_pr8[[#This Row],[Удельное сопротивление грунта, Ом·м]]))</f>
        <v/>
      </c>
      <c r="BC171" s="55"/>
      <c r="BD171" s="52"/>
      <c r="BE171" s="67"/>
      <c r="BG171" s="61" t="str">
        <f>IFERROR(IF(BD171-AX190&lt;=0,"",BF171/SQRT(Таблица_pr9[[#This Row],[Удельное сопротивление грунта, Ом·м]])),BF171/SQRT(Таблица_pr9[[#This Row],[Удельное сопротивление грунта, Ом·м]]))</f>
        <v/>
      </c>
      <c r="BI171" s="55"/>
      <c r="BJ171" s="52"/>
      <c r="BK171" s="67"/>
      <c r="BM171" s="61" t="str">
        <f>IFERROR(IF(BJ171-BD200&lt;=0,"",BL171/SQRT(Таблица_pr10[[#This Row],[Удельное сопротивление грунта, Ом·м]])),BL171/SQRT(Таблица_pr10[[#This Row],[Удельное сопротивление грунта, Ом·м]]))</f>
        <v/>
      </c>
    </row>
    <row r="172" spans="1:65">
      <c r="A172" s="64">
        <v>167</v>
      </c>
      <c r="B172" s="52">
        <v>513.2000000000038</v>
      </c>
      <c r="C172" s="67">
        <v>28.5</v>
      </c>
      <c r="D172" s="61">
        <f t="shared" si="15"/>
        <v>100.00000000002274</v>
      </c>
      <c r="E172" s="61">
        <f>IFERROR(IF(B172-B171&lt;=0,"",D172/SQRT(Таблица_pr[[#This Row],[Удельное сопротивление грунта, Ом·м]])),D172/SQRT(Таблица_pr[[#This Row],[Удельное сопротивление грунта, Ом·м]]))</f>
        <v>18.731716231638138</v>
      </c>
      <c r="G172" s="188">
        <v>167</v>
      </c>
      <c r="H172" s="184">
        <v>513.2000000000038</v>
      </c>
      <c r="I172" s="187">
        <v>28.5</v>
      </c>
      <c r="J172" s="181">
        <f t="shared" si="16"/>
        <v>100.00000000002274</v>
      </c>
      <c r="K172" s="61">
        <f>IFERROR(IF(H172-H171&lt;=0,"",J172/SQRT(Таблица_pr1[[#This Row],[Удельное сопротивление грунта, Ом·м]])),J172/SQRT(Таблица_pr1[[#This Row],[Удельное сопротивление грунта, Ом·м]]))</f>
        <v>18.731716231638138</v>
      </c>
      <c r="Q172" s="61" t="str">
        <f>IFERROR(IF(N172-N171&lt;=0,"",P172/SQRT(Таблица_pr2[[#This Row],[Удельное сопротивление грунта, Ом·м]])),P172/SQRT(Таблица_pr2[[#This Row],[Удельное сопротивление грунта, Ом·м]]))</f>
        <v/>
      </c>
      <c r="W172" s="61" t="str">
        <f>IFERROR(IF(T172-T171&lt;=0,"",V172/SQRT(Таблица_pr3[[#This Row],[Удельное сопротивление грунта, Ом·м]])),V172/SQRT(Таблица_pr3[[#This Row],[Удельное сопротивление грунта, Ом·м]]))</f>
        <v/>
      </c>
      <c r="AC172" s="61" t="str">
        <f>IFERROR(IF(Z172-Z171&lt;=0,"",AB172/SQRT(Таблица_pr4[[#This Row],[Удельное сопротивление грунта, Ом·м]])),AB172/SQRT(Таблица_pr4[[#This Row],[Удельное сопротивление грунта, Ом·м]]))</f>
        <v/>
      </c>
      <c r="AI172" s="61" t="str">
        <f>IFERROR(IF(AF172-AF171&lt;=0,"",AH172/SQRT(Таблица_pr5[[#This Row],[Удельное сопротивление грунта, Ом·м]])),AH172/SQRT(Таблица_pr5[[#This Row],[Удельное сопротивление грунта, Ом·м]]))</f>
        <v/>
      </c>
      <c r="AK172" s="55"/>
      <c r="AL172" s="52"/>
      <c r="AM172" s="67"/>
      <c r="AN172" s="61" t="str">
        <f t="shared" si="17"/>
        <v/>
      </c>
      <c r="AO172" s="61" t="str">
        <f>IFERROR(IF(AL172-AL171&lt;=0,"",AN172/SQRT(Таблица_pr6[[#This Row],[Удельное сопротивление грунта, Ом·м]])),AN172/SQRT(Таблица_pr6[[#This Row],[Удельное сопротивление грунта, Ом·м]]))</f>
        <v/>
      </c>
      <c r="AQ172" s="55"/>
      <c r="AR172" s="52"/>
      <c r="AS172" s="67"/>
      <c r="AU172" s="61" t="str">
        <f>IFERROR(IF(AR172-AR171&lt;=0,"",AT172/SQRT(Таблица_pr7[[#This Row],[Удельное сопротивление грунта, Ом·м]])),AT172/SQRT(Таблица_pr7[[#This Row],[Удельное сопротивление грунта, Ом·м]]))</f>
        <v/>
      </c>
      <c r="AW172" s="55"/>
      <c r="AX172" s="52"/>
      <c r="AY172" s="67"/>
      <c r="AZ172" s="61" t="str">
        <f t="shared" si="18"/>
        <v/>
      </c>
      <c r="BA172" s="61" t="str">
        <f>IFERROR(IF(AX172-AX171&lt;=0,"",AZ172/SQRT(Таблица_pr8[[#This Row],[Удельное сопротивление грунта, Ом·м]])),AZ172/SQRT(Таблица_pr8[[#This Row],[Удельное сопротивление грунта, Ом·м]]))</f>
        <v/>
      </c>
      <c r="BC172" s="55"/>
      <c r="BD172" s="52"/>
      <c r="BE172" s="67"/>
      <c r="BG172" s="61" t="str">
        <f>IFERROR(IF(BD172-AX191&lt;=0,"",BF172/SQRT(Таблица_pr9[[#This Row],[Удельное сопротивление грунта, Ом·м]])),BF172/SQRT(Таблица_pr9[[#This Row],[Удельное сопротивление грунта, Ом·м]]))</f>
        <v/>
      </c>
      <c r="BI172" s="55"/>
      <c r="BJ172" s="52"/>
      <c r="BK172" s="67"/>
      <c r="BM172" s="61" t="str">
        <f>IFERROR(IF(BJ172-BD201&lt;=0,"",BL172/SQRT(Таблица_pr10[[#This Row],[Удельное сопротивление грунта, Ом·м]])),BL172/SQRT(Таблица_pr10[[#This Row],[Удельное сопротивление грунта, Ом·м]]))</f>
        <v/>
      </c>
    </row>
    <row r="173" spans="1:65">
      <c r="A173" s="64">
        <v>168</v>
      </c>
      <c r="B173" s="52">
        <v>513.30000000000382</v>
      </c>
      <c r="C173" s="67">
        <v>29.6</v>
      </c>
      <c r="D173" s="61">
        <f t="shared" si="15"/>
        <v>100.00000000002274</v>
      </c>
      <c r="E173" s="61">
        <f>IFERROR(IF(B173-B172&lt;=0,"",D173/SQRT(Таблица_pr[[#This Row],[Удельное сопротивление грунта, Ом·м]])),D173/SQRT(Таблица_pr[[#This Row],[Удельное сопротивление грунта, Ом·м]]))</f>
        <v>18.380365552349375</v>
      </c>
      <c r="G173" s="189">
        <v>168</v>
      </c>
      <c r="H173" s="185">
        <v>513.30000000000382</v>
      </c>
      <c r="I173" s="186">
        <v>29.6</v>
      </c>
      <c r="J173" s="180">
        <f t="shared" si="16"/>
        <v>100.00000000002274</v>
      </c>
      <c r="K173" s="61">
        <f>IFERROR(IF(H173-H172&lt;=0,"",J173/SQRT(Таблица_pr1[[#This Row],[Удельное сопротивление грунта, Ом·м]])),J173/SQRT(Таблица_pr1[[#This Row],[Удельное сопротивление грунта, Ом·м]]))</f>
        <v>18.380365552349375</v>
      </c>
      <c r="Q173" s="61" t="str">
        <f>IFERROR(IF(N173-N172&lt;=0,"",P173/SQRT(Таблица_pr2[[#This Row],[Удельное сопротивление грунта, Ом·м]])),P173/SQRT(Таблица_pr2[[#This Row],[Удельное сопротивление грунта, Ом·м]]))</f>
        <v/>
      </c>
      <c r="W173" s="61" t="str">
        <f>IFERROR(IF(T173-T172&lt;=0,"",V173/SQRT(Таблица_pr3[[#This Row],[Удельное сопротивление грунта, Ом·м]])),V173/SQRT(Таблица_pr3[[#This Row],[Удельное сопротивление грунта, Ом·м]]))</f>
        <v/>
      </c>
      <c r="AC173" s="61" t="str">
        <f>IFERROR(IF(Z173-Z172&lt;=0,"",AB173/SQRT(Таблица_pr4[[#This Row],[Удельное сопротивление грунта, Ом·м]])),AB173/SQRT(Таблица_pr4[[#This Row],[Удельное сопротивление грунта, Ом·м]]))</f>
        <v/>
      </c>
      <c r="AE173" s="55"/>
      <c r="AF173" s="52"/>
      <c r="AG173" s="67"/>
      <c r="AI173" s="61" t="str">
        <f>IFERROR(IF(AF173-AF172&lt;=0,"",AH173/SQRT(Таблица_pr5[[#This Row],[Удельное сопротивление грунта, Ом·м]])),AH173/SQRT(Таблица_pr5[[#This Row],[Удельное сопротивление грунта, Ом·м]]))</f>
        <v/>
      </c>
      <c r="AK173" s="55"/>
      <c r="AL173" s="52"/>
      <c r="AM173" s="67"/>
      <c r="AN173" s="61" t="str">
        <f t="shared" si="17"/>
        <v/>
      </c>
      <c r="AO173" s="61" t="str">
        <f>IFERROR(IF(AL173-AL172&lt;=0,"",AN173/SQRT(Таблица_pr6[[#This Row],[Удельное сопротивление грунта, Ом·м]])),AN173/SQRT(Таблица_pr6[[#This Row],[Удельное сопротивление грунта, Ом·м]]))</f>
        <v/>
      </c>
      <c r="AQ173" s="55"/>
      <c r="AR173" s="52"/>
      <c r="AS173" s="67"/>
      <c r="AU173" s="61" t="str">
        <f>IFERROR(IF(AR173-AR172&lt;=0,"",AT173/SQRT(Таблица_pr7[[#This Row],[Удельное сопротивление грунта, Ом·м]])),AT173/SQRT(Таблица_pr7[[#This Row],[Удельное сопротивление грунта, Ом·м]]))</f>
        <v/>
      </c>
      <c r="AW173" s="55"/>
      <c r="AX173" s="52"/>
      <c r="AY173" s="67"/>
      <c r="AZ173" s="61" t="str">
        <f t="shared" si="18"/>
        <v/>
      </c>
      <c r="BA173" s="61" t="str">
        <f>IFERROR(IF(AX173-AX172&lt;=0,"",AZ173/SQRT(Таблица_pr8[[#This Row],[Удельное сопротивление грунта, Ом·м]])),AZ173/SQRT(Таблица_pr8[[#This Row],[Удельное сопротивление грунта, Ом·м]]))</f>
        <v/>
      </c>
      <c r="BC173" s="55"/>
      <c r="BD173" s="52"/>
      <c r="BE173" s="67"/>
      <c r="BG173" s="61" t="str">
        <f>IFERROR(IF(BD173-AX192&lt;=0,"",BF173/SQRT(Таблица_pr9[[#This Row],[Удельное сопротивление грунта, Ом·м]])),BF173/SQRT(Таблица_pr9[[#This Row],[Удельное сопротивление грунта, Ом·м]]))</f>
        <v/>
      </c>
      <c r="BI173" s="55"/>
      <c r="BJ173" s="52"/>
      <c r="BK173" s="67"/>
      <c r="BM173" s="61" t="str">
        <f>IFERROR(IF(BJ173-BD202&lt;=0,"",BL173/SQRT(Таблица_pr10[[#This Row],[Удельное сопротивление грунта, Ом·м]])),BL173/SQRT(Таблица_pr10[[#This Row],[Удельное сопротивление грунта, Ом·м]]))</f>
        <v/>
      </c>
    </row>
    <row r="174" spans="1:65">
      <c r="A174" s="64">
        <v>169</v>
      </c>
      <c r="B174" s="52">
        <v>513.40000000000384</v>
      </c>
      <c r="C174" s="67">
        <v>31.8</v>
      </c>
      <c r="D174" s="61">
        <f t="shared" si="15"/>
        <v>100.00000000002274</v>
      </c>
      <c r="E174" s="61">
        <f>IFERROR(IF(B174-B173&lt;=0,"",D174/SQRT(Таблица_pr[[#This Row],[Удельное сопротивление грунта, Ом·м]])),D174/SQRT(Таблица_pr[[#This Row],[Удельное сопротивление грунта, Ом·м]]))</f>
        <v>17.733172553301749</v>
      </c>
      <c r="G174" s="188">
        <v>169</v>
      </c>
      <c r="H174" s="184">
        <v>513.40000000000384</v>
      </c>
      <c r="I174" s="187">
        <v>31.8</v>
      </c>
      <c r="J174" s="181">
        <f t="shared" si="16"/>
        <v>100.00000000002274</v>
      </c>
      <c r="K174" s="61">
        <f>IFERROR(IF(H174-H173&lt;=0,"",J174/SQRT(Таблица_pr1[[#This Row],[Удельное сопротивление грунта, Ом·м]])),J174/SQRT(Таблица_pr1[[#This Row],[Удельное сопротивление грунта, Ом·м]]))</f>
        <v>17.733172553301749</v>
      </c>
      <c r="Q174" s="61" t="str">
        <f>IFERROR(IF(N174-N173&lt;=0,"",P174/SQRT(Таблица_pr2[[#This Row],[Удельное сопротивление грунта, Ом·м]])),P174/SQRT(Таблица_pr2[[#This Row],[Удельное сопротивление грунта, Ом·м]]))</f>
        <v/>
      </c>
      <c r="W174" s="61" t="str">
        <f>IFERROR(IF(T174-T173&lt;=0,"",V174/SQRT(Таблица_pr3[[#This Row],[Удельное сопротивление грунта, Ом·м]])),V174/SQRT(Таблица_pr3[[#This Row],[Удельное сопротивление грунта, Ом·м]]))</f>
        <v/>
      </c>
      <c r="AC174" s="61" t="str">
        <f>IFERROR(IF(Z174-Z173&lt;=0,"",AB174/SQRT(Таблица_pr4[[#This Row],[Удельное сопротивление грунта, Ом·м]])),AB174/SQRT(Таблица_pr4[[#This Row],[Удельное сопротивление грунта, Ом·м]]))</f>
        <v/>
      </c>
      <c r="AE174" s="55"/>
      <c r="AF174" s="52"/>
      <c r="AG174" s="67"/>
      <c r="AI174" s="61" t="str">
        <f>IFERROR(IF(AF174-AF173&lt;=0,"",AH174/SQRT(Таблица_pr5[[#This Row],[Удельное сопротивление грунта, Ом·м]])),AH174/SQRT(Таблица_pr5[[#This Row],[Удельное сопротивление грунта, Ом·м]]))</f>
        <v/>
      </c>
      <c r="AK174" s="55"/>
      <c r="AL174" s="52"/>
      <c r="AM174" s="67"/>
      <c r="AN174" s="61" t="str">
        <f t="shared" si="17"/>
        <v/>
      </c>
      <c r="AO174" s="61" t="str">
        <f>IFERROR(IF(AL174-AL173&lt;=0,"",AN174/SQRT(Таблица_pr6[[#This Row],[Удельное сопротивление грунта, Ом·м]])),AN174/SQRT(Таблица_pr6[[#This Row],[Удельное сопротивление грунта, Ом·м]]))</f>
        <v/>
      </c>
      <c r="AQ174" s="55"/>
      <c r="AR174" s="52"/>
      <c r="AS174" s="67"/>
      <c r="AU174" s="61" t="str">
        <f>IFERROR(IF(AR174-AR173&lt;=0,"",AT174/SQRT(Таблица_pr7[[#This Row],[Удельное сопротивление грунта, Ом·м]])),AT174/SQRT(Таблица_pr7[[#This Row],[Удельное сопротивление грунта, Ом·м]]))</f>
        <v/>
      </c>
      <c r="AW174" s="55"/>
      <c r="AX174" s="52"/>
      <c r="AY174" s="67"/>
      <c r="AZ174" s="61" t="str">
        <f t="shared" si="18"/>
        <v/>
      </c>
      <c r="BA174" s="61" t="str">
        <f>IFERROR(IF(AX174-AX173&lt;=0,"",AZ174/SQRT(Таблица_pr8[[#This Row],[Удельное сопротивление грунта, Ом·м]])),AZ174/SQRT(Таблица_pr8[[#This Row],[Удельное сопротивление грунта, Ом·м]]))</f>
        <v/>
      </c>
      <c r="BC174" s="55"/>
      <c r="BD174" s="52"/>
      <c r="BE174" s="67"/>
      <c r="BG174" s="61" t="str">
        <f>IFERROR(IF(BD174-AX193&lt;=0,"",BF174/SQRT(Таблица_pr9[[#This Row],[Удельное сопротивление грунта, Ом·м]])),BF174/SQRT(Таблица_pr9[[#This Row],[Удельное сопротивление грунта, Ом·м]]))</f>
        <v/>
      </c>
      <c r="BI174" s="55"/>
      <c r="BJ174" s="52"/>
      <c r="BK174" s="67"/>
      <c r="BM174" s="61" t="str">
        <f>IFERROR(IF(BJ174-BD203&lt;=0,"",BL174/SQRT(Таблица_pr10[[#This Row],[Удельное сопротивление грунта, Ом·м]])),BL174/SQRT(Таблица_pr10[[#This Row],[Удельное сопротивление грунта, Ом·м]]))</f>
        <v/>
      </c>
    </row>
    <row r="175" spans="1:65">
      <c r="A175" s="64">
        <v>170</v>
      </c>
      <c r="B175" s="52">
        <v>513.50000000000387</v>
      </c>
      <c r="C175" s="67">
        <v>32</v>
      </c>
      <c r="D175" s="61">
        <f t="shared" si="15"/>
        <v>100.00000000002274</v>
      </c>
      <c r="E175" s="61">
        <f>IFERROR(IF(B175-B174&lt;=0,"",D175/SQRT(Таблица_pr[[#This Row],[Удельное сопротивление грунта, Ом·м]])),D175/SQRT(Таблица_pr[[#This Row],[Удельное сопротивление грунта, Ом·м]]))</f>
        <v>17.677669529667707</v>
      </c>
      <c r="G175" s="189">
        <v>170</v>
      </c>
      <c r="H175" s="185">
        <v>513.50000000000387</v>
      </c>
      <c r="I175" s="186">
        <v>32</v>
      </c>
      <c r="J175" s="180">
        <f t="shared" si="16"/>
        <v>100.00000000002274</v>
      </c>
      <c r="K175" s="61">
        <f>IFERROR(IF(H175-H174&lt;=0,"",J175/SQRT(Таблица_pr1[[#This Row],[Удельное сопротивление грунта, Ом·м]])),J175/SQRT(Таблица_pr1[[#This Row],[Удельное сопротивление грунта, Ом·м]]))</f>
        <v>17.677669529667707</v>
      </c>
      <c r="Q175" s="61" t="str">
        <f>IFERROR(IF(N175-N174&lt;=0,"",P175/SQRT(Таблица_pr2[[#This Row],[Удельное сопротивление грунта, Ом·м]])),P175/SQRT(Таблица_pr2[[#This Row],[Удельное сопротивление грунта, Ом·м]]))</f>
        <v/>
      </c>
      <c r="W175" s="61" t="str">
        <f>IFERROR(IF(T175-T174&lt;=0,"",V175/SQRT(Таблица_pr3[[#This Row],[Удельное сопротивление грунта, Ом·м]])),V175/SQRT(Таблица_pr3[[#This Row],[Удельное сопротивление грунта, Ом·м]]))</f>
        <v/>
      </c>
      <c r="AC175" s="61" t="str">
        <f>IFERROR(IF(Z175-Z174&lt;=0,"",AB175/SQRT(Таблица_pr4[[#This Row],[Удельное сопротивление грунта, Ом·м]])),AB175/SQRT(Таблица_pr4[[#This Row],[Удельное сопротивление грунта, Ом·м]]))</f>
        <v/>
      </c>
      <c r="AE175" s="55"/>
      <c r="AF175" s="52"/>
      <c r="AG175" s="67"/>
      <c r="AI175" s="61" t="str">
        <f>IFERROR(IF(AF175-AF174&lt;=0,"",AH175/SQRT(Таблица_pr5[[#This Row],[Удельное сопротивление грунта, Ом·м]])),AH175/SQRT(Таблица_pr5[[#This Row],[Удельное сопротивление грунта, Ом·м]]))</f>
        <v/>
      </c>
      <c r="AK175" s="55"/>
      <c r="AL175" s="52"/>
      <c r="AM175" s="67"/>
      <c r="AN175" s="61" t="str">
        <f t="shared" si="17"/>
        <v/>
      </c>
      <c r="AO175" s="61" t="str">
        <f>IFERROR(IF(AL175-AL174&lt;=0,"",AN175/SQRT(Таблица_pr6[[#This Row],[Удельное сопротивление грунта, Ом·м]])),AN175/SQRT(Таблица_pr6[[#This Row],[Удельное сопротивление грунта, Ом·м]]))</f>
        <v/>
      </c>
      <c r="AQ175" s="55"/>
      <c r="AR175" s="52"/>
      <c r="AS175" s="67"/>
      <c r="AU175" s="61" t="str">
        <f>IFERROR(IF(AR175-AR174&lt;=0,"",AT175/SQRT(Таблица_pr7[[#This Row],[Удельное сопротивление грунта, Ом·м]])),AT175/SQRT(Таблица_pr7[[#This Row],[Удельное сопротивление грунта, Ом·м]]))</f>
        <v/>
      </c>
      <c r="AW175" s="55"/>
      <c r="AX175" s="52"/>
      <c r="AY175" s="67"/>
      <c r="AZ175" s="61" t="str">
        <f t="shared" si="18"/>
        <v/>
      </c>
      <c r="BA175" s="61" t="str">
        <f>IFERROR(IF(AX175-AX174&lt;=0,"",AZ175/SQRT(Таблица_pr8[[#This Row],[Удельное сопротивление грунта, Ом·м]])),AZ175/SQRT(Таблица_pr8[[#This Row],[Удельное сопротивление грунта, Ом·м]]))</f>
        <v/>
      </c>
      <c r="BC175" s="55"/>
      <c r="BD175" s="52"/>
      <c r="BE175" s="67"/>
      <c r="BG175" s="61" t="str">
        <f>IFERROR(IF(BD175-AX194&lt;=0,"",BF175/SQRT(Таблица_pr9[[#This Row],[Удельное сопротивление грунта, Ом·м]])),BF175/SQRT(Таблица_pr9[[#This Row],[Удельное сопротивление грунта, Ом·м]]))</f>
        <v/>
      </c>
      <c r="BI175" s="55"/>
      <c r="BJ175" s="52"/>
      <c r="BK175" s="67"/>
      <c r="BM175" s="61" t="str">
        <f>IFERROR(IF(BJ175-BD204&lt;=0,"",BL175/SQRT(Таблица_pr10[[#This Row],[Удельное сопротивление грунта, Ом·м]])),BL175/SQRT(Таблица_pr10[[#This Row],[Удельное сопротивление грунта, Ом·м]]))</f>
        <v/>
      </c>
    </row>
    <row r="176" spans="1:65">
      <c r="A176" s="64">
        <v>171</v>
      </c>
      <c r="B176" s="52">
        <v>513.60000000000389</v>
      </c>
      <c r="C176" s="67">
        <v>25</v>
      </c>
      <c r="D176" s="61">
        <f t="shared" si="15"/>
        <v>100.00000000002274</v>
      </c>
      <c r="E176" s="61">
        <f>IFERROR(IF(B176-B175&lt;=0,"",D176/SQRT(Таблица_pr[[#This Row],[Удельное сопротивление грунта, Ом·м]])),D176/SQRT(Таблица_pr[[#This Row],[Удельное сопротивление грунта, Ом·м]]))</f>
        <v>20.000000000004547</v>
      </c>
      <c r="G176" s="188">
        <v>171</v>
      </c>
      <c r="H176" s="184">
        <v>513.60000000000389</v>
      </c>
      <c r="I176" s="187">
        <v>25</v>
      </c>
      <c r="J176" s="181">
        <f t="shared" si="16"/>
        <v>100.00000000002274</v>
      </c>
      <c r="K176" s="61">
        <f>IFERROR(IF(H176-H175&lt;=0,"",J176/SQRT(Таблица_pr1[[#This Row],[Удельное сопротивление грунта, Ом·м]])),J176/SQRT(Таблица_pr1[[#This Row],[Удельное сопротивление грунта, Ом·м]]))</f>
        <v>20.000000000004547</v>
      </c>
      <c r="Q176" s="61" t="str">
        <f>IFERROR(IF(N176-N175&lt;=0,"",P176/SQRT(Таблица_pr2[[#This Row],[Удельное сопротивление грунта, Ом·м]])),P176/SQRT(Таблица_pr2[[#This Row],[Удельное сопротивление грунта, Ом·м]]))</f>
        <v/>
      </c>
      <c r="W176" s="61" t="str">
        <f>IFERROR(IF(T176-T175&lt;=0,"",V176/SQRT(Таблица_pr3[[#This Row],[Удельное сопротивление грунта, Ом·м]])),V176/SQRT(Таблица_pr3[[#This Row],[Удельное сопротивление грунта, Ом·м]]))</f>
        <v/>
      </c>
      <c r="AC176" s="61" t="str">
        <f>IFERROR(IF(Z176-Z175&lt;=0,"",AB176/SQRT(Таблица_pr4[[#This Row],[Удельное сопротивление грунта, Ом·м]])),AB176/SQRT(Таблица_pr4[[#This Row],[Удельное сопротивление грунта, Ом·м]]))</f>
        <v/>
      </c>
      <c r="AE176" s="55"/>
      <c r="AF176" s="52"/>
      <c r="AG176" s="67"/>
      <c r="AI176" s="61" t="str">
        <f>IFERROR(IF(AF176-AF175&lt;=0,"",AH176/SQRT(Таблица_pr5[[#This Row],[Удельное сопротивление грунта, Ом·м]])),AH176/SQRT(Таблица_pr5[[#This Row],[Удельное сопротивление грунта, Ом·м]]))</f>
        <v/>
      </c>
      <c r="AK176" s="55"/>
      <c r="AL176" s="52"/>
      <c r="AM176" s="67"/>
      <c r="AN176" s="61" t="str">
        <f t="shared" si="17"/>
        <v/>
      </c>
      <c r="AO176" s="61" t="str">
        <f>IFERROR(IF(AL176-AL175&lt;=0,"",AN176/SQRT(Таблица_pr6[[#This Row],[Удельное сопротивление грунта, Ом·м]])),AN176/SQRT(Таблица_pr6[[#This Row],[Удельное сопротивление грунта, Ом·м]]))</f>
        <v/>
      </c>
      <c r="AQ176" s="55"/>
      <c r="AR176" s="52"/>
      <c r="AS176" s="67"/>
      <c r="AU176" s="61" t="str">
        <f>IFERROR(IF(AR176-AR175&lt;=0,"",AT176/SQRT(Таблица_pr7[[#This Row],[Удельное сопротивление грунта, Ом·м]])),AT176/SQRT(Таблица_pr7[[#This Row],[Удельное сопротивление грунта, Ом·м]]))</f>
        <v/>
      </c>
      <c r="AW176" s="55"/>
      <c r="AX176" s="52"/>
      <c r="AY176" s="67"/>
      <c r="AZ176" s="61" t="str">
        <f t="shared" si="18"/>
        <v/>
      </c>
      <c r="BA176" s="61" t="str">
        <f>IFERROR(IF(AX176-AX175&lt;=0,"",AZ176/SQRT(Таблица_pr8[[#This Row],[Удельное сопротивление грунта, Ом·м]])),AZ176/SQRT(Таблица_pr8[[#This Row],[Удельное сопротивление грунта, Ом·м]]))</f>
        <v/>
      </c>
      <c r="BC176" s="55"/>
      <c r="BD176" s="52"/>
      <c r="BE176" s="67"/>
      <c r="BG176" s="61" t="str">
        <f>IFERROR(IF(BD176-AX195&lt;=0,"",BF176/SQRT(Таблица_pr9[[#This Row],[Удельное сопротивление грунта, Ом·м]])),BF176/SQRT(Таблица_pr9[[#This Row],[Удельное сопротивление грунта, Ом·м]]))</f>
        <v/>
      </c>
      <c r="BI176" s="55"/>
      <c r="BJ176" s="52"/>
      <c r="BK176" s="67"/>
      <c r="BM176" s="61" t="str">
        <f>IFERROR(IF(BJ176-BD205&lt;=0,"",BL176/SQRT(Таблица_pr10[[#This Row],[Удельное сопротивление грунта, Ом·м]])),BL176/SQRT(Таблица_pr10[[#This Row],[Удельное сопротивление грунта, Ом·м]]))</f>
        <v/>
      </c>
    </row>
    <row r="177" spans="1:65">
      <c r="A177" s="64">
        <v>172</v>
      </c>
      <c r="B177" s="52">
        <v>513.70000000000391</v>
      </c>
      <c r="C177" s="67">
        <v>27.3</v>
      </c>
      <c r="D177" s="61">
        <f t="shared" si="15"/>
        <v>100.00000000002274</v>
      </c>
      <c r="E177" s="61">
        <f>IFERROR(IF(B177-B176&lt;=0,"",D177/SQRT(Таблица_pr[[#This Row],[Удельное сопротивление грунта, Ом·м]])),D177/SQRT(Таблица_pr[[#This Row],[Удельное сопротивление грунта, Ом·м]]))</f>
        <v>19.138975058778168</v>
      </c>
      <c r="G177" s="189">
        <v>172</v>
      </c>
      <c r="H177" s="185">
        <v>513.70000000000391</v>
      </c>
      <c r="I177" s="186">
        <v>27.3</v>
      </c>
      <c r="J177" s="180">
        <f t="shared" si="16"/>
        <v>100.00000000002274</v>
      </c>
      <c r="K177" s="61">
        <f>IFERROR(IF(H177-H176&lt;=0,"",J177/SQRT(Таблица_pr1[[#This Row],[Удельное сопротивление грунта, Ом·м]])),J177/SQRT(Таблица_pr1[[#This Row],[Удельное сопротивление грунта, Ом·м]]))</f>
        <v>19.138975058778168</v>
      </c>
      <c r="Q177" s="61" t="str">
        <f>IFERROR(IF(N177-N176&lt;=0,"",P177/SQRT(Таблица_pr2[[#This Row],[Удельное сопротивление грунта, Ом·м]])),P177/SQRT(Таблица_pr2[[#This Row],[Удельное сопротивление грунта, Ом·м]]))</f>
        <v/>
      </c>
      <c r="W177" s="61" t="str">
        <f>IFERROR(IF(T177-T176&lt;=0,"",V177/SQRT(Таблица_pr3[[#This Row],[Удельное сопротивление грунта, Ом·м]])),V177/SQRT(Таблица_pr3[[#This Row],[Удельное сопротивление грунта, Ом·м]]))</f>
        <v/>
      </c>
      <c r="AC177" s="61" t="str">
        <f>IFERROR(IF(Z177-Z176&lt;=0,"",AB177/SQRT(Таблица_pr4[[#This Row],[Удельное сопротивление грунта, Ом·м]])),AB177/SQRT(Таблица_pr4[[#This Row],[Удельное сопротивление грунта, Ом·м]]))</f>
        <v/>
      </c>
      <c r="AE177" s="55"/>
      <c r="AF177" s="52"/>
      <c r="AG177" s="67"/>
      <c r="AI177" s="61" t="str">
        <f>IFERROR(IF(AF177-AF176&lt;=0,"",AH177/SQRT(Таблица_pr5[[#This Row],[Удельное сопротивление грунта, Ом·м]])),AH177/SQRT(Таблица_pr5[[#This Row],[Удельное сопротивление грунта, Ом·м]]))</f>
        <v/>
      </c>
      <c r="AK177" s="55"/>
      <c r="AL177" s="52"/>
      <c r="AM177" s="67"/>
      <c r="AN177" s="61" t="str">
        <f t="shared" si="17"/>
        <v/>
      </c>
      <c r="AO177" s="61" t="str">
        <f>IFERROR(IF(AL177-AL176&lt;=0,"",AN177/SQRT(Таблица_pr6[[#This Row],[Удельное сопротивление грунта, Ом·м]])),AN177/SQRT(Таблица_pr6[[#This Row],[Удельное сопротивление грунта, Ом·м]]))</f>
        <v/>
      </c>
      <c r="AQ177" s="55"/>
      <c r="AR177" s="52"/>
      <c r="AS177" s="67"/>
      <c r="AU177" s="61" t="str">
        <f>IFERROR(IF(AR177-AR176&lt;=0,"",AT177/SQRT(Таблица_pr7[[#This Row],[Удельное сопротивление грунта, Ом·м]])),AT177/SQRT(Таблица_pr7[[#This Row],[Удельное сопротивление грунта, Ом·м]]))</f>
        <v/>
      </c>
      <c r="AW177" s="55"/>
      <c r="AX177" s="52"/>
      <c r="AY177" s="67"/>
      <c r="AZ177" s="61" t="str">
        <f t="shared" si="18"/>
        <v/>
      </c>
      <c r="BA177" s="61" t="str">
        <f>IFERROR(IF(AX177-AX176&lt;=0,"",AZ177/SQRT(Таблица_pr8[[#This Row],[Удельное сопротивление грунта, Ом·м]])),AZ177/SQRT(Таблица_pr8[[#This Row],[Удельное сопротивление грунта, Ом·м]]))</f>
        <v/>
      </c>
      <c r="BC177" s="55"/>
      <c r="BD177" s="52"/>
      <c r="BE177" s="67"/>
      <c r="BG177" s="61" t="str">
        <f>IFERROR(IF(BD177-AX196&lt;=0,"",BF177/SQRT(Таблица_pr9[[#This Row],[Удельное сопротивление грунта, Ом·м]])),BF177/SQRT(Таблица_pr9[[#This Row],[Удельное сопротивление грунта, Ом·м]]))</f>
        <v/>
      </c>
      <c r="BI177" s="55"/>
      <c r="BJ177" s="52"/>
      <c r="BK177" s="67"/>
      <c r="BM177" s="61" t="str">
        <f>IFERROR(IF(BJ177-BD206&lt;=0,"",BL177/SQRT(Таблица_pr10[[#This Row],[Удельное сопротивление грунта, Ом·м]])),BL177/SQRT(Таблица_pr10[[#This Row],[Удельное сопротивление грунта, Ом·м]]))</f>
        <v/>
      </c>
    </row>
    <row r="178" spans="1:65">
      <c r="A178" s="64">
        <v>173</v>
      </c>
      <c r="B178" s="52">
        <v>513.80000000000393</v>
      </c>
      <c r="C178" s="67">
        <v>27.4</v>
      </c>
      <c r="D178" s="61">
        <f t="shared" si="15"/>
        <v>100.00000000002274</v>
      </c>
      <c r="E178" s="61">
        <f>IFERROR(IF(B178-B177&lt;=0,"",D178/SQRT(Таблица_pr[[#This Row],[Удельное сопротивление грунта, Ом·м]])),D178/SQRT(Таблица_pr[[#This Row],[Удельное сопротивление грунта, Ом·м]]))</f>
        <v>19.104017997526096</v>
      </c>
      <c r="G178" s="188">
        <v>173</v>
      </c>
      <c r="H178" s="184">
        <v>513.80000000000393</v>
      </c>
      <c r="I178" s="187">
        <v>27.4</v>
      </c>
      <c r="J178" s="181">
        <f t="shared" si="16"/>
        <v>100.00000000002274</v>
      </c>
      <c r="K178" s="61">
        <f>IFERROR(IF(H178-H177&lt;=0,"",J178/SQRT(Таблица_pr1[[#This Row],[Удельное сопротивление грунта, Ом·м]])),J178/SQRT(Таблица_pr1[[#This Row],[Удельное сопротивление грунта, Ом·м]]))</f>
        <v>19.104017997526096</v>
      </c>
      <c r="Q178" s="61" t="str">
        <f>IFERROR(IF(N178-N177&lt;=0,"",P178/SQRT(Таблица_pr2[[#This Row],[Удельное сопротивление грунта, Ом·м]])),P178/SQRT(Таблица_pr2[[#This Row],[Удельное сопротивление грунта, Ом·м]]))</f>
        <v/>
      </c>
      <c r="W178" s="61" t="str">
        <f>IFERROR(IF(T178-T177&lt;=0,"",V178/SQRT(Таблица_pr3[[#This Row],[Удельное сопротивление грунта, Ом·м]])),V178/SQRT(Таблица_pr3[[#This Row],[Удельное сопротивление грунта, Ом·м]]))</f>
        <v/>
      </c>
      <c r="AC178" s="61" t="str">
        <f>IFERROR(IF(Z178-Z177&lt;=0,"",AB178/SQRT(Таблица_pr4[[#This Row],[Удельное сопротивление грунта, Ом·м]])),AB178/SQRT(Таблица_pr4[[#This Row],[Удельное сопротивление грунта, Ом·м]]))</f>
        <v/>
      </c>
      <c r="AE178" s="55"/>
      <c r="AF178" s="52"/>
      <c r="AG178" s="67"/>
      <c r="AI178" s="61" t="str">
        <f>IFERROR(IF(AF178-AF177&lt;=0,"",AH178/SQRT(Таблица_pr5[[#This Row],[Удельное сопротивление грунта, Ом·м]])),AH178/SQRT(Таблица_pr5[[#This Row],[Удельное сопротивление грунта, Ом·м]]))</f>
        <v/>
      </c>
      <c r="AK178" s="55"/>
      <c r="AL178" s="52"/>
      <c r="AM178" s="67"/>
      <c r="AN178" s="61" t="str">
        <f t="shared" si="17"/>
        <v/>
      </c>
      <c r="AO178" s="61" t="str">
        <f>IFERROR(IF(AL178-AL177&lt;=0,"",AN178/SQRT(Таблица_pr6[[#This Row],[Удельное сопротивление грунта, Ом·м]])),AN178/SQRT(Таблица_pr6[[#This Row],[Удельное сопротивление грунта, Ом·м]]))</f>
        <v/>
      </c>
      <c r="AQ178" s="55"/>
      <c r="AR178" s="52"/>
      <c r="AS178" s="67"/>
      <c r="AU178" s="61" t="str">
        <f>IFERROR(IF(AR178-AR177&lt;=0,"",AT178/SQRT(Таблица_pr7[[#This Row],[Удельное сопротивление грунта, Ом·м]])),AT178/SQRT(Таблица_pr7[[#This Row],[Удельное сопротивление грунта, Ом·м]]))</f>
        <v/>
      </c>
      <c r="AW178" s="55"/>
      <c r="AX178" s="52"/>
      <c r="AY178" s="67"/>
      <c r="AZ178" s="61" t="str">
        <f t="shared" si="18"/>
        <v/>
      </c>
      <c r="BA178" s="61" t="str">
        <f>IFERROR(IF(AX178-AX177&lt;=0,"",AZ178/SQRT(Таблица_pr8[[#This Row],[Удельное сопротивление грунта, Ом·м]])),AZ178/SQRT(Таблица_pr8[[#This Row],[Удельное сопротивление грунта, Ом·м]]))</f>
        <v/>
      </c>
      <c r="BC178" s="55"/>
      <c r="BD178" s="52"/>
      <c r="BE178" s="67"/>
      <c r="BG178" s="61" t="str">
        <f>IFERROR(IF(BD178-AX197&lt;=0,"",BF178/SQRT(Таблица_pr9[[#This Row],[Удельное сопротивление грунта, Ом·м]])),BF178/SQRT(Таблица_pr9[[#This Row],[Удельное сопротивление грунта, Ом·м]]))</f>
        <v/>
      </c>
      <c r="BI178" s="55"/>
      <c r="BJ178" s="52"/>
      <c r="BK178" s="67"/>
      <c r="BM178" s="61" t="str">
        <f>IFERROR(IF(BJ178-BD207&lt;=0,"",BL178/SQRT(Таблица_pr10[[#This Row],[Удельное сопротивление грунта, Ом·м]])),BL178/SQRT(Таблица_pr10[[#This Row],[Удельное сопротивление грунта, Ом·м]]))</f>
        <v/>
      </c>
    </row>
    <row r="179" spans="1:65">
      <c r="A179" s="64">
        <v>174</v>
      </c>
      <c r="B179" s="52">
        <v>513.90000000000396</v>
      </c>
      <c r="C179" s="67">
        <v>22.8</v>
      </c>
      <c r="D179" s="61">
        <f t="shared" si="15"/>
        <v>100.00000000002274</v>
      </c>
      <c r="E179" s="61">
        <f>IFERROR(IF(B179-B178&lt;=0,"",D179/SQRT(Таблица_pr[[#This Row],[Удельное сопротивление грунта, Ом·м]])),D179/SQRT(Таблица_pr[[#This Row],[Удельное сопротивление грунта, Ом·м]]))</f>
        <v>20.942695414589537</v>
      </c>
      <c r="G179" s="189">
        <v>174</v>
      </c>
      <c r="H179" s="185">
        <v>513.90000000000396</v>
      </c>
      <c r="I179" s="186">
        <v>22.8</v>
      </c>
      <c r="J179" s="180">
        <f t="shared" si="16"/>
        <v>100.00000000002274</v>
      </c>
      <c r="K179" s="61">
        <f>IFERROR(IF(H179-H178&lt;=0,"",J179/SQRT(Таблица_pr1[[#This Row],[Удельное сопротивление грунта, Ом·м]])),J179/SQRT(Таблица_pr1[[#This Row],[Удельное сопротивление грунта, Ом·м]]))</f>
        <v>20.942695414589537</v>
      </c>
      <c r="Q179" s="61" t="str">
        <f>IFERROR(IF(N179-N178&lt;=0,"",P179/SQRT(Таблица_pr2[[#This Row],[Удельное сопротивление грунта, Ом·м]])),P179/SQRT(Таблица_pr2[[#This Row],[Удельное сопротивление грунта, Ом·м]]))</f>
        <v/>
      </c>
      <c r="W179" s="61" t="str">
        <f>IFERROR(IF(T179-T178&lt;=0,"",V179/SQRT(Таблица_pr3[[#This Row],[Удельное сопротивление грунта, Ом·м]])),V179/SQRT(Таблица_pr3[[#This Row],[Удельное сопротивление грунта, Ом·м]]))</f>
        <v/>
      </c>
      <c r="AC179" s="61" t="str">
        <f>IFERROR(IF(Z179-Z178&lt;=0,"",AB179/SQRT(Таблица_pr4[[#This Row],[Удельное сопротивление грунта, Ом·м]])),AB179/SQRT(Таблица_pr4[[#This Row],[Удельное сопротивление грунта, Ом·м]]))</f>
        <v/>
      </c>
      <c r="AE179" s="55"/>
      <c r="AF179" s="52"/>
      <c r="AG179" s="67"/>
      <c r="AI179" s="61" t="str">
        <f>IFERROR(IF(AF179-AF178&lt;=0,"",AH179/SQRT(Таблица_pr5[[#This Row],[Удельное сопротивление грунта, Ом·м]])),AH179/SQRT(Таблица_pr5[[#This Row],[Удельное сопротивление грунта, Ом·м]]))</f>
        <v/>
      </c>
      <c r="AK179" s="55"/>
      <c r="AL179" s="52"/>
      <c r="AM179" s="67"/>
      <c r="AN179" s="61" t="str">
        <f t="shared" si="17"/>
        <v/>
      </c>
      <c r="AO179" s="61" t="str">
        <f>IFERROR(IF(AL179-AL178&lt;=0,"",AN179/SQRT(Таблица_pr6[[#This Row],[Удельное сопротивление грунта, Ом·м]])),AN179/SQRT(Таблица_pr6[[#This Row],[Удельное сопротивление грунта, Ом·м]]))</f>
        <v/>
      </c>
      <c r="AQ179" s="55"/>
      <c r="AR179" s="52"/>
      <c r="AS179" s="67"/>
      <c r="AU179" s="61" t="str">
        <f>IFERROR(IF(AR179-AR178&lt;=0,"",AT179/SQRT(Таблица_pr7[[#This Row],[Удельное сопротивление грунта, Ом·м]])),AT179/SQRT(Таблица_pr7[[#This Row],[Удельное сопротивление грунта, Ом·м]]))</f>
        <v/>
      </c>
      <c r="AW179" s="55"/>
      <c r="AX179" s="52"/>
      <c r="AY179" s="67"/>
      <c r="AZ179" s="61" t="str">
        <f t="shared" si="18"/>
        <v/>
      </c>
      <c r="BA179" s="61" t="str">
        <f>IFERROR(IF(AX179-AX178&lt;=0,"",AZ179/SQRT(Таблица_pr8[[#This Row],[Удельное сопротивление грунта, Ом·м]])),AZ179/SQRT(Таблица_pr8[[#This Row],[Удельное сопротивление грунта, Ом·м]]))</f>
        <v/>
      </c>
      <c r="BC179" s="55"/>
      <c r="BD179" s="52"/>
      <c r="BE179" s="67"/>
      <c r="BG179" s="61" t="str">
        <f>IFERROR(IF(BD179-AX198&lt;=0,"",BF179/SQRT(Таблица_pr9[[#This Row],[Удельное сопротивление грунта, Ом·м]])),BF179/SQRT(Таблица_pr9[[#This Row],[Удельное сопротивление грунта, Ом·м]]))</f>
        <v/>
      </c>
      <c r="BI179" s="55"/>
      <c r="BJ179" s="52"/>
      <c r="BK179" s="67"/>
      <c r="BM179" s="61" t="str">
        <f>IFERROR(IF(BJ179-BD208&lt;=0,"",BL179/SQRT(Таблица_pr10[[#This Row],[Удельное сопротивление грунта, Ом·м]])),BL179/SQRT(Таблица_pr10[[#This Row],[Удельное сопротивление грунта, Ом·м]]))</f>
        <v/>
      </c>
    </row>
    <row r="180" spans="1:65">
      <c r="A180" s="64">
        <v>175</v>
      </c>
      <c r="B180" s="52">
        <v>514.00000000000398</v>
      </c>
      <c r="C180" s="67">
        <v>24.9</v>
      </c>
      <c r="D180" s="61">
        <f t="shared" si="15"/>
        <v>100.00000000002274</v>
      </c>
      <c r="E180" s="61">
        <f>IFERROR(IF(B180-B179&lt;=0,"",D180/SQRT(Таблица_pr[[#This Row],[Удельное сопротивление грунта, Ом·м]])),D180/SQRT(Таблица_pr[[#This Row],[Удельное сопротивление грунта, Ом·м]]))</f>
        <v>20.040120401409617</v>
      </c>
      <c r="G180" s="188">
        <v>175</v>
      </c>
      <c r="H180" s="184">
        <v>514.00000000000398</v>
      </c>
      <c r="I180" s="187">
        <v>24.9</v>
      </c>
      <c r="J180" s="181">
        <f t="shared" si="16"/>
        <v>100.00000000002274</v>
      </c>
      <c r="K180" s="61">
        <f>IFERROR(IF(H180-H179&lt;=0,"",J180/SQRT(Таблица_pr1[[#This Row],[Удельное сопротивление грунта, Ом·м]])),J180/SQRT(Таблица_pr1[[#This Row],[Удельное сопротивление грунта, Ом·м]]))</f>
        <v>20.040120401409617</v>
      </c>
      <c r="Q180" s="61" t="str">
        <f>IFERROR(IF(N180-N179&lt;=0,"",P180/SQRT(Таблица_pr2[[#This Row],[Удельное сопротивление грунта, Ом·м]])),P180/SQRT(Таблица_pr2[[#This Row],[Удельное сопротивление грунта, Ом·м]]))</f>
        <v/>
      </c>
      <c r="W180" s="61" t="str">
        <f>IFERROR(IF(T180-T179&lt;=0,"",V180/SQRT(Таблица_pr3[[#This Row],[Удельное сопротивление грунта, Ом·м]])),V180/SQRT(Таблица_pr3[[#This Row],[Удельное сопротивление грунта, Ом·м]]))</f>
        <v/>
      </c>
      <c r="AC180" s="61" t="str">
        <f>IFERROR(IF(Z180-Z179&lt;=0,"",AB180/SQRT(Таблица_pr4[[#This Row],[Удельное сопротивление грунта, Ом·м]])),AB180/SQRT(Таблица_pr4[[#This Row],[Удельное сопротивление грунта, Ом·м]]))</f>
        <v/>
      </c>
      <c r="AE180" s="55"/>
      <c r="AF180" s="52"/>
      <c r="AG180" s="67"/>
      <c r="AI180" s="61" t="str">
        <f>IFERROR(IF(AF180-AF179&lt;=0,"",AH180/SQRT(Таблица_pr5[[#This Row],[Удельное сопротивление грунта, Ом·м]])),AH180/SQRT(Таблица_pr5[[#This Row],[Удельное сопротивление грунта, Ом·м]]))</f>
        <v/>
      </c>
      <c r="AK180" s="55"/>
      <c r="AL180" s="52"/>
      <c r="AM180" s="67"/>
      <c r="AN180" s="61" t="str">
        <f t="shared" si="17"/>
        <v/>
      </c>
      <c r="AO180" s="61" t="str">
        <f>IFERROR(IF(AL180-AL179&lt;=0,"",AN180/SQRT(Таблица_pr6[[#This Row],[Удельное сопротивление грунта, Ом·м]])),AN180/SQRT(Таблица_pr6[[#This Row],[Удельное сопротивление грунта, Ом·м]]))</f>
        <v/>
      </c>
      <c r="AQ180" s="55"/>
      <c r="AR180" s="52"/>
      <c r="AS180" s="67"/>
      <c r="AU180" s="61" t="str">
        <f>IFERROR(IF(AR180-AR179&lt;=0,"",AT180/SQRT(Таблица_pr7[[#This Row],[Удельное сопротивление грунта, Ом·м]])),AT180/SQRT(Таблица_pr7[[#This Row],[Удельное сопротивление грунта, Ом·м]]))</f>
        <v/>
      </c>
      <c r="AW180" s="55"/>
      <c r="AX180" s="52"/>
      <c r="AY180" s="67"/>
      <c r="AZ180" s="61" t="str">
        <f t="shared" si="18"/>
        <v/>
      </c>
      <c r="BA180" s="61" t="str">
        <f>IFERROR(IF(AX180-AX179&lt;=0,"",AZ180/SQRT(Таблица_pr8[[#This Row],[Удельное сопротивление грунта, Ом·м]])),AZ180/SQRT(Таблица_pr8[[#This Row],[Удельное сопротивление грунта, Ом·м]]))</f>
        <v/>
      </c>
      <c r="BC180" s="55"/>
      <c r="BD180" s="52"/>
      <c r="BE180" s="67"/>
      <c r="BG180" s="61" t="str">
        <f>IFERROR(IF(BD180-AX199&lt;=0,"",BF180/SQRT(Таблица_pr9[[#This Row],[Удельное сопротивление грунта, Ом·м]])),BF180/SQRT(Таблица_pr9[[#This Row],[Удельное сопротивление грунта, Ом·м]]))</f>
        <v/>
      </c>
      <c r="BI180" s="55"/>
      <c r="BJ180" s="52"/>
      <c r="BK180" s="67"/>
      <c r="BM180" s="61" t="str">
        <f>IFERROR(IF(BJ180-BD209&lt;=0,"",BL180/SQRT(Таблица_pr10[[#This Row],[Удельное сопротивление грунта, Ом·м]])),BL180/SQRT(Таблица_pr10[[#This Row],[Удельное сопротивление грунта, Ом·м]]))</f>
        <v/>
      </c>
    </row>
    <row r="181" spans="1:65">
      <c r="A181" s="64">
        <v>176</v>
      </c>
      <c r="B181" s="52">
        <v>514.100000000004</v>
      </c>
      <c r="C181" s="67">
        <v>37.799999999999997</v>
      </c>
      <c r="D181" s="61">
        <f t="shared" si="15"/>
        <v>100.00000000002274</v>
      </c>
      <c r="E181" s="61">
        <f>IFERROR(IF(B181-B180&lt;=0,"",D181/SQRT(Таблица_pr[[#This Row],[Удельное сопротивление грунта, Ом·м]])),D181/SQRT(Таблица_pr[[#This Row],[Удельное сопротивление грунта, Ом·м]]))</f>
        <v>16.265001215812585</v>
      </c>
      <c r="G181" s="189">
        <v>176</v>
      </c>
      <c r="H181" s="185">
        <v>514.100000000004</v>
      </c>
      <c r="I181" s="186">
        <v>37.799999999999997</v>
      </c>
      <c r="J181" s="180">
        <f t="shared" si="16"/>
        <v>100.00000000002274</v>
      </c>
      <c r="K181" s="61">
        <f>IFERROR(IF(H181-H180&lt;=0,"",J181/SQRT(Таблица_pr1[[#This Row],[Удельное сопротивление грунта, Ом·м]])),J181/SQRT(Таблица_pr1[[#This Row],[Удельное сопротивление грунта, Ом·м]]))</f>
        <v>16.265001215812585</v>
      </c>
      <c r="Q181" s="61" t="str">
        <f>IFERROR(IF(N181-N180&lt;=0,"",P181/SQRT(Таблица_pr2[[#This Row],[Удельное сопротивление грунта, Ом·м]])),P181/SQRT(Таблица_pr2[[#This Row],[Удельное сопротивление грунта, Ом·м]]))</f>
        <v/>
      </c>
      <c r="W181" s="61" t="str">
        <f>IFERROR(IF(T181-T180&lt;=0,"",V181/SQRT(Таблица_pr3[[#This Row],[Удельное сопротивление грунта, Ом·м]])),V181/SQRT(Таблица_pr3[[#This Row],[Удельное сопротивление грунта, Ом·м]]))</f>
        <v/>
      </c>
      <c r="AC181" s="61" t="str">
        <f>IFERROR(IF(Z181-Z180&lt;=0,"",AB181/SQRT(Таблица_pr4[[#This Row],[Удельное сопротивление грунта, Ом·м]])),AB181/SQRT(Таблица_pr4[[#This Row],[Удельное сопротивление грунта, Ом·м]]))</f>
        <v/>
      </c>
      <c r="AE181" s="55"/>
      <c r="AF181" s="52"/>
      <c r="AG181" s="67"/>
      <c r="AI181" s="61" t="str">
        <f>IFERROR(IF(AF181-AF180&lt;=0,"",AH181/SQRT(Таблица_pr5[[#This Row],[Удельное сопротивление грунта, Ом·м]])),AH181/SQRT(Таблица_pr5[[#This Row],[Удельное сопротивление грунта, Ом·м]]))</f>
        <v/>
      </c>
      <c r="AK181" s="55"/>
      <c r="AL181" s="52"/>
      <c r="AM181" s="67"/>
      <c r="AN181" s="61" t="str">
        <f t="shared" si="17"/>
        <v/>
      </c>
      <c r="AO181" s="61" t="str">
        <f>IFERROR(IF(AL181-AL180&lt;=0,"",AN181/SQRT(Таблица_pr6[[#This Row],[Удельное сопротивление грунта, Ом·м]])),AN181/SQRT(Таблица_pr6[[#This Row],[Удельное сопротивление грунта, Ом·м]]))</f>
        <v/>
      </c>
      <c r="AQ181" s="55"/>
      <c r="AR181" s="52"/>
      <c r="AS181" s="67"/>
      <c r="AU181" s="61" t="str">
        <f>IFERROR(IF(AR181-AR180&lt;=0,"",AT181/SQRT(Таблица_pr7[[#This Row],[Удельное сопротивление грунта, Ом·м]])),AT181/SQRT(Таблица_pr7[[#This Row],[Удельное сопротивление грунта, Ом·м]]))</f>
        <v/>
      </c>
      <c r="AW181" s="55"/>
      <c r="AX181" s="52"/>
      <c r="AY181" s="67"/>
      <c r="AZ181" s="61" t="str">
        <f t="shared" si="18"/>
        <v/>
      </c>
      <c r="BA181" s="61" t="str">
        <f>IFERROR(IF(AX181-AX180&lt;=0,"",AZ181/SQRT(Таблица_pr8[[#This Row],[Удельное сопротивление грунта, Ом·м]])),AZ181/SQRT(Таблица_pr8[[#This Row],[Удельное сопротивление грунта, Ом·м]]))</f>
        <v/>
      </c>
      <c r="BC181" s="55"/>
      <c r="BD181" s="52"/>
      <c r="BE181" s="67"/>
      <c r="BG181" s="61" t="str">
        <f>IFERROR(IF(BD181-AX200&lt;=0,"",BF181/SQRT(Таблица_pr9[[#This Row],[Удельное сопротивление грунта, Ом·м]])),BF181/SQRT(Таблица_pr9[[#This Row],[Удельное сопротивление грунта, Ом·м]]))</f>
        <v/>
      </c>
      <c r="BI181" s="55"/>
      <c r="BJ181" s="52"/>
      <c r="BK181" s="67"/>
      <c r="BM181" s="61" t="str">
        <f>IFERROR(IF(BJ181-BD210&lt;=0,"",BL181/SQRT(Таблица_pr10[[#This Row],[Удельное сопротивление грунта, Ом·м]])),BL181/SQRT(Таблица_pr10[[#This Row],[Удельное сопротивление грунта, Ом·м]]))</f>
        <v/>
      </c>
    </row>
    <row r="182" spans="1:65">
      <c r="A182" s="64">
        <v>177</v>
      </c>
      <c r="B182" s="52">
        <v>514.20000000000402</v>
      </c>
      <c r="C182" s="67">
        <v>21.7</v>
      </c>
      <c r="D182" s="61">
        <f t="shared" si="15"/>
        <v>100.00000000002274</v>
      </c>
      <c r="E182" s="61">
        <f>IFERROR(IF(B182-B181&lt;=0,"",D182/SQRT(Таблица_pr[[#This Row],[Удельное сопротивление грунта, Ом·м]])),D182/SQRT(Таблица_pr[[#This Row],[Удельное сопротивление грунта, Ом·м]]))</f>
        <v>21.466939537059474</v>
      </c>
      <c r="G182" s="188">
        <v>177</v>
      </c>
      <c r="H182" s="184">
        <v>514.20000000000402</v>
      </c>
      <c r="I182" s="187">
        <v>21.7</v>
      </c>
      <c r="J182" s="181">
        <f t="shared" si="16"/>
        <v>100.00000000002274</v>
      </c>
      <c r="K182" s="61">
        <f>IFERROR(IF(H182-H181&lt;=0,"",J182/SQRT(Таблица_pr1[[#This Row],[Удельное сопротивление грунта, Ом·м]])),J182/SQRT(Таблица_pr1[[#This Row],[Удельное сопротивление грунта, Ом·м]]))</f>
        <v>21.466939537059474</v>
      </c>
      <c r="Q182" s="61" t="str">
        <f>IFERROR(IF(N182-N181&lt;=0,"",P182/SQRT(Таблица_pr2[[#This Row],[Удельное сопротивление грунта, Ом·м]])),P182/SQRT(Таблица_pr2[[#This Row],[Удельное сопротивление грунта, Ом·м]]))</f>
        <v/>
      </c>
      <c r="W182" s="61" t="str">
        <f>IFERROR(IF(T182-T181&lt;=0,"",V182/SQRT(Таблица_pr3[[#This Row],[Удельное сопротивление грунта, Ом·м]])),V182/SQRT(Таблица_pr3[[#This Row],[Удельное сопротивление грунта, Ом·м]]))</f>
        <v/>
      </c>
      <c r="AC182" s="61" t="str">
        <f>IFERROR(IF(Z182-Z181&lt;=0,"",AB182/SQRT(Таблица_pr4[[#This Row],[Удельное сопротивление грунта, Ом·м]])),AB182/SQRT(Таблица_pr4[[#This Row],[Удельное сопротивление грунта, Ом·м]]))</f>
        <v/>
      </c>
      <c r="AE182" s="55"/>
      <c r="AF182" s="52"/>
      <c r="AG182" s="67"/>
      <c r="AI182" s="61" t="str">
        <f>IFERROR(IF(AF182-AF181&lt;=0,"",AH182/SQRT(Таблица_pr5[[#This Row],[Удельное сопротивление грунта, Ом·м]])),AH182/SQRT(Таблица_pr5[[#This Row],[Удельное сопротивление грунта, Ом·м]]))</f>
        <v/>
      </c>
      <c r="AK182" s="55"/>
      <c r="AL182" s="52"/>
      <c r="AM182" s="67"/>
      <c r="AN182" s="61" t="str">
        <f t="shared" si="17"/>
        <v/>
      </c>
      <c r="AO182" s="61" t="str">
        <f>IFERROR(IF(AL182-AL181&lt;=0,"",AN182/SQRT(Таблица_pr6[[#This Row],[Удельное сопротивление грунта, Ом·м]])),AN182/SQRT(Таблица_pr6[[#This Row],[Удельное сопротивление грунта, Ом·м]]))</f>
        <v/>
      </c>
      <c r="AQ182" s="55"/>
      <c r="AR182" s="52"/>
      <c r="AS182" s="67"/>
      <c r="AU182" s="61" t="str">
        <f>IFERROR(IF(AR182-AR181&lt;=0,"",AT182/SQRT(Таблица_pr7[[#This Row],[Удельное сопротивление грунта, Ом·м]])),AT182/SQRT(Таблица_pr7[[#This Row],[Удельное сопротивление грунта, Ом·м]]))</f>
        <v/>
      </c>
      <c r="AW182" s="55"/>
      <c r="AX182" s="52"/>
      <c r="AY182" s="67"/>
      <c r="AZ182" s="61" t="str">
        <f t="shared" si="18"/>
        <v/>
      </c>
      <c r="BA182" s="61" t="str">
        <f>IFERROR(IF(AX182-AX181&lt;=0,"",AZ182/SQRT(Таблица_pr8[[#This Row],[Удельное сопротивление грунта, Ом·м]])),AZ182/SQRT(Таблица_pr8[[#This Row],[Удельное сопротивление грунта, Ом·м]]))</f>
        <v/>
      </c>
      <c r="BC182" s="55"/>
      <c r="BD182" s="52"/>
      <c r="BE182" s="67"/>
      <c r="BG182" s="61" t="str">
        <f>IFERROR(IF(BD182-AX201&lt;=0,"",BF182/SQRT(Таблица_pr9[[#This Row],[Удельное сопротивление грунта, Ом·м]])),BF182/SQRT(Таблица_pr9[[#This Row],[Удельное сопротивление грунта, Ом·м]]))</f>
        <v/>
      </c>
      <c r="BI182" s="55"/>
      <c r="BJ182" s="52"/>
      <c r="BK182" s="67"/>
      <c r="BM182" s="61" t="str">
        <f>IFERROR(IF(BJ182-BD211&lt;=0,"",BL182/SQRT(Таблица_pr10[[#This Row],[Удельное сопротивление грунта, Ом·м]])),BL182/SQRT(Таблица_pr10[[#This Row],[Удельное сопротивление грунта, Ом·м]]))</f>
        <v/>
      </c>
    </row>
    <row r="183" spans="1:65">
      <c r="A183" s="64">
        <v>178</v>
      </c>
      <c r="B183" s="52">
        <v>514.30000000000405</v>
      </c>
      <c r="C183" s="67">
        <v>24.3</v>
      </c>
      <c r="D183" s="61">
        <f t="shared" si="15"/>
        <v>100.00000000002274</v>
      </c>
      <c r="E183" s="61">
        <f>IFERROR(IF(B183-B182&lt;=0,"",D183/SQRT(Таблица_pr[[#This Row],[Удельное сопротивление грунта, Ом·м]])),D183/SQRT(Таблица_pr[[#This Row],[Удельное сопротивление грунта, Ом·м]]))</f>
        <v>20.286020648344095</v>
      </c>
      <c r="G183" s="189">
        <v>178</v>
      </c>
      <c r="H183" s="185">
        <v>514.30000000000405</v>
      </c>
      <c r="I183" s="186">
        <v>24.3</v>
      </c>
      <c r="J183" s="180">
        <f t="shared" si="16"/>
        <v>100.00000000002274</v>
      </c>
      <c r="K183" s="61">
        <f>IFERROR(IF(H183-H182&lt;=0,"",J183/SQRT(Таблица_pr1[[#This Row],[Удельное сопротивление грунта, Ом·м]])),J183/SQRT(Таблица_pr1[[#This Row],[Удельное сопротивление грунта, Ом·м]]))</f>
        <v>20.286020648344095</v>
      </c>
      <c r="Q183" s="61" t="str">
        <f>IFERROR(IF(N183-N182&lt;=0,"",P183/SQRT(Таблица_pr2[[#This Row],[Удельное сопротивление грунта, Ом·м]])),P183/SQRT(Таблица_pr2[[#This Row],[Удельное сопротивление грунта, Ом·м]]))</f>
        <v/>
      </c>
      <c r="W183" s="61" t="str">
        <f>IFERROR(IF(T183-T182&lt;=0,"",V183/SQRT(Таблица_pr3[[#This Row],[Удельное сопротивление грунта, Ом·м]])),V183/SQRT(Таблица_pr3[[#This Row],[Удельное сопротивление грунта, Ом·м]]))</f>
        <v/>
      </c>
      <c r="AC183" s="61" t="str">
        <f>IFERROR(IF(Z183-Z182&lt;=0,"",AB183/SQRT(Таблица_pr4[[#This Row],[Удельное сопротивление грунта, Ом·м]])),AB183/SQRT(Таблица_pr4[[#This Row],[Удельное сопротивление грунта, Ом·м]]))</f>
        <v/>
      </c>
      <c r="AE183" s="55"/>
      <c r="AF183" s="52"/>
      <c r="AG183" s="67"/>
      <c r="AI183" s="61" t="str">
        <f>IFERROR(IF(AF183-AF182&lt;=0,"",AH183/SQRT(Таблица_pr5[[#This Row],[Удельное сопротивление грунта, Ом·м]])),AH183/SQRT(Таблица_pr5[[#This Row],[Удельное сопротивление грунта, Ом·м]]))</f>
        <v/>
      </c>
      <c r="AK183" s="55"/>
      <c r="AL183" s="52"/>
      <c r="AM183" s="67"/>
      <c r="AN183" s="61" t="str">
        <f t="shared" si="17"/>
        <v/>
      </c>
      <c r="AO183" s="61" t="str">
        <f>IFERROR(IF(AL183-AL182&lt;=0,"",AN183/SQRT(Таблица_pr6[[#This Row],[Удельное сопротивление грунта, Ом·м]])),AN183/SQRT(Таблица_pr6[[#This Row],[Удельное сопротивление грунта, Ом·м]]))</f>
        <v/>
      </c>
      <c r="AQ183" s="55"/>
      <c r="AR183" s="52"/>
      <c r="AS183" s="67"/>
      <c r="AU183" s="61" t="str">
        <f>IFERROR(IF(AR183-AR182&lt;=0,"",AT183/SQRT(Таблица_pr7[[#This Row],[Удельное сопротивление грунта, Ом·м]])),AT183/SQRT(Таблица_pr7[[#This Row],[Удельное сопротивление грунта, Ом·м]]))</f>
        <v/>
      </c>
      <c r="AW183" s="55"/>
      <c r="AX183" s="52"/>
      <c r="AY183" s="67"/>
      <c r="AZ183" s="61" t="str">
        <f t="shared" si="18"/>
        <v/>
      </c>
      <c r="BA183" s="61" t="str">
        <f>IFERROR(IF(AX183-AX182&lt;=0,"",AZ183/SQRT(Таблица_pr8[[#This Row],[Удельное сопротивление грунта, Ом·м]])),AZ183/SQRT(Таблица_pr8[[#This Row],[Удельное сопротивление грунта, Ом·м]]))</f>
        <v/>
      </c>
      <c r="BC183" s="55"/>
      <c r="BD183" s="52"/>
      <c r="BE183" s="67"/>
      <c r="BG183" s="61" t="str">
        <f>IFERROR(IF(BD183-AX202&lt;=0,"",BF183/SQRT(Таблица_pr9[[#This Row],[Удельное сопротивление грунта, Ом·м]])),BF183/SQRT(Таблица_pr9[[#This Row],[Удельное сопротивление грунта, Ом·м]]))</f>
        <v/>
      </c>
      <c r="BI183" s="55"/>
      <c r="BJ183" s="52"/>
      <c r="BK183" s="67"/>
      <c r="BM183" s="61" t="str">
        <f>IFERROR(IF(BJ183-BD212&lt;=0,"",BL183/SQRT(Таблица_pr10[[#This Row],[Удельное сопротивление грунта, Ом·м]])),BL183/SQRT(Таблица_pr10[[#This Row],[Удельное сопротивление грунта, Ом·м]]))</f>
        <v/>
      </c>
    </row>
    <row r="184" spans="1:65">
      <c r="A184" s="64">
        <v>179</v>
      </c>
      <c r="B184" s="52">
        <v>514.40000000000407</v>
      </c>
      <c r="C184" s="67">
        <v>21.7</v>
      </c>
      <c r="D184" s="61">
        <f t="shared" si="15"/>
        <v>100.00000000002274</v>
      </c>
      <c r="E184" s="61">
        <f>IFERROR(IF(B184-B183&lt;=0,"",D184/SQRT(Таблица_pr[[#This Row],[Удельное сопротивление грунта, Ом·м]])),D184/SQRT(Таблица_pr[[#This Row],[Удельное сопротивление грунта, Ом·м]]))</f>
        <v>21.466939537059474</v>
      </c>
      <c r="G184" s="188">
        <v>179</v>
      </c>
      <c r="H184" s="184">
        <v>514.40000000000407</v>
      </c>
      <c r="I184" s="187">
        <v>21.7</v>
      </c>
      <c r="J184" s="181">
        <f t="shared" si="16"/>
        <v>100.00000000002274</v>
      </c>
      <c r="K184" s="61">
        <f>IFERROR(IF(H184-H183&lt;=0,"",J184/SQRT(Таблица_pr1[[#This Row],[Удельное сопротивление грунта, Ом·м]])),J184/SQRT(Таблица_pr1[[#This Row],[Удельное сопротивление грунта, Ом·м]]))</f>
        <v>21.466939537059474</v>
      </c>
      <c r="Q184" s="61" t="str">
        <f>IFERROR(IF(N184-N183&lt;=0,"",P184/SQRT(Таблица_pr2[[#This Row],[Удельное сопротивление грунта, Ом·м]])),P184/SQRT(Таблица_pr2[[#This Row],[Удельное сопротивление грунта, Ом·м]]))</f>
        <v/>
      </c>
      <c r="W184" s="61" t="str">
        <f>IFERROR(IF(T184-T183&lt;=0,"",V184/SQRT(Таблица_pr3[[#This Row],[Удельное сопротивление грунта, Ом·м]])),V184/SQRT(Таблица_pr3[[#This Row],[Удельное сопротивление грунта, Ом·м]]))</f>
        <v/>
      </c>
      <c r="AC184" s="61" t="str">
        <f>IFERROR(IF(Z184-Z183&lt;=0,"",AB184/SQRT(Таблица_pr4[[#This Row],[Удельное сопротивление грунта, Ом·м]])),AB184/SQRT(Таблица_pr4[[#This Row],[Удельное сопротивление грунта, Ом·м]]))</f>
        <v/>
      </c>
      <c r="AE184" s="55"/>
      <c r="AF184" s="52"/>
      <c r="AG184" s="67"/>
      <c r="AI184" s="61" t="str">
        <f>IFERROR(IF(AF184-AF183&lt;=0,"",AH184/SQRT(Таблица_pr5[[#This Row],[Удельное сопротивление грунта, Ом·м]])),AH184/SQRT(Таблица_pr5[[#This Row],[Удельное сопротивление грунта, Ом·м]]))</f>
        <v/>
      </c>
      <c r="AK184" s="55"/>
      <c r="AL184" s="52"/>
      <c r="AM184" s="67"/>
      <c r="AN184" s="61" t="str">
        <f t="shared" si="17"/>
        <v/>
      </c>
      <c r="AO184" s="61" t="str">
        <f>IFERROR(IF(AL184-AL183&lt;=0,"",AN184/SQRT(Таблица_pr6[[#This Row],[Удельное сопротивление грунта, Ом·м]])),AN184/SQRT(Таблица_pr6[[#This Row],[Удельное сопротивление грунта, Ом·м]]))</f>
        <v/>
      </c>
      <c r="AQ184" s="55"/>
      <c r="AR184" s="52"/>
      <c r="AS184" s="67"/>
      <c r="AU184" s="61" t="str">
        <f>IFERROR(IF(AR184-AR183&lt;=0,"",AT184/SQRT(Таблица_pr7[[#This Row],[Удельное сопротивление грунта, Ом·м]])),AT184/SQRT(Таблица_pr7[[#This Row],[Удельное сопротивление грунта, Ом·м]]))</f>
        <v/>
      </c>
      <c r="AW184" s="55"/>
      <c r="AX184" s="52"/>
      <c r="AY184" s="67"/>
      <c r="AZ184" s="61" t="str">
        <f t="shared" si="18"/>
        <v/>
      </c>
      <c r="BA184" s="61" t="str">
        <f>IFERROR(IF(AX184-AX183&lt;=0,"",AZ184/SQRT(Таблица_pr8[[#This Row],[Удельное сопротивление грунта, Ом·м]])),AZ184/SQRT(Таблица_pr8[[#This Row],[Удельное сопротивление грунта, Ом·м]]))</f>
        <v/>
      </c>
      <c r="BC184" s="55"/>
      <c r="BD184" s="52"/>
      <c r="BE184" s="67"/>
      <c r="BG184" s="61" t="str">
        <f>IFERROR(IF(BD184-AX203&lt;=0,"",BF184/SQRT(Таблица_pr9[[#This Row],[Удельное сопротивление грунта, Ом·м]])),BF184/SQRT(Таблица_pr9[[#This Row],[Удельное сопротивление грунта, Ом·м]]))</f>
        <v/>
      </c>
      <c r="BI184" s="55"/>
      <c r="BJ184" s="52"/>
      <c r="BK184" s="67"/>
      <c r="BM184" s="61" t="str">
        <f>IFERROR(IF(BJ184-BD213&lt;=0,"",BL184/SQRT(Таблица_pr10[[#This Row],[Удельное сопротивление грунта, Ом·м]])),BL184/SQRT(Таблица_pr10[[#This Row],[Удельное сопротивление грунта, Ом·м]]))</f>
        <v/>
      </c>
    </row>
    <row r="185" spans="1:65">
      <c r="A185" s="64">
        <v>180</v>
      </c>
      <c r="B185" s="52">
        <v>514.50000000000409</v>
      </c>
      <c r="C185" s="67">
        <v>19</v>
      </c>
      <c r="D185" s="61">
        <f t="shared" si="15"/>
        <v>100.00000000002274</v>
      </c>
      <c r="E185" s="61">
        <f>IFERROR(IF(B185-B184&lt;=0,"",D185/SQRT(Таблица_pr[[#This Row],[Удельное сопротивление грунта, Ом·м]])),D185/SQRT(Таблица_pr[[#This Row],[Удельное сопротивление грунта, Ом·м]]))</f>
        <v>22.941573387061389</v>
      </c>
      <c r="G185" s="189">
        <v>180</v>
      </c>
      <c r="H185" s="185">
        <v>514.50000000000409</v>
      </c>
      <c r="I185" s="186">
        <v>19</v>
      </c>
      <c r="J185" s="180">
        <f t="shared" si="16"/>
        <v>100.00000000002274</v>
      </c>
      <c r="K185" s="61">
        <f>IFERROR(IF(H185-H184&lt;=0,"",J185/SQRT(Таблица_pr1[[#This Row],[Удельное сопротивление грунта, Ом·м]])),J185/SQRT(Таблица_pr1[[#This Row],[Удельное сопротивление грунта, Ом·м]]))</f>
        <v>22.941573387061389</v>
      </c>
      <c r="Q185" s="61" t="str">
        <f>IFERROR(IF(N185-N184&lt;=0,"",P185/SQRT(Таблица_pr2[[#This Row],[Удельное сопротивление грунта, Ом·м]])),P185/SQRT(Таблица_pr2[[#This Row],[Удельное сопротивление грунта, Ом·м]]))</f>
        <v/>
      </c>
      <c r="W185" s="61" t="str">
        <f>IFERROR(IF(T185-T184&lt;=0,"",V185/SQRT(Таблица_pr3[[#This Row],[Удельное сопротивление грунта, Ом·м]])),V185/SQRT(Таблица_pr3[[#This Row],[Удельное сопротивление грунта, Ом·м]]))</f>
        <v/>
      </c>
      <c r="AC185" s="61" t="str">
        <f>IFERROR(IF(Z185-Z184&lt;=0,"",AB185/SQRT(Таблица_pr4[[#This Row],[Удельное сопротивление грунта, Ом·м]])),AB185/SQRT(Таблица_pr4[[#This Row],[Удельное сопротивление грунта, Ом·м]]))</f>
        <v/>
      </c>
      <c r="AE185" s="55"/>
      <c r="AF185" s="52"/>
      <c r="AG185" s="67"/>
      <c r="AI185" s="61" t="str">
        <f>IFERROR(IF(AF185-AF184&lt;=0,"",AH185/SQRT(Таблица_pr5[[#This Row],[Удельное сопротивление грунта, Ом·м]])),AH185/SQRT(Таблица_pr5[[#This Row],[Удельное сопротивление грунта, Ом·м]]))</f>
        <v/>
      </c>
      <c r="AK185" s="55"/>
      <c r="AL185" s="52"/>
      <c r="AM185" s="67"/>
      <c r="AN185" s="61" t="str">
        <f t="shared" si="17"/>
        <v/>
      </c>
      <c r="AO185" s="61" t="str">
        <f>IFERROR(IF(AL185-AL184&lt;=0,"",AN185/SQRT(Таблица_pr6[[#This Row],[Удельное сопротивление грунта, Ом·м]])),AN185/SQRT(Таблица_pr6[[#This Row],[Удельное сопротивление грунта, Ом·м]]))</f>
        <v/>
      </c>
      <c r="AQ185" s="55"/>
      <c r="AR185" s="52"/>
      <c r="AS185" s="67"/>
      <c r="AU185" s="61" t="str">
        <f>IFERROR(IF(AR185-AR184&lt;=0,"",AT185/SQRT(Таблица_pr7[[#This Row],[Удельное сопротивление грунта, Ом·м]])),AT185/SQRT(Таблица_pr7[[#This Row],[Удельное сопротивление грунта, Ом·м]]))</f>
        <v/>
      </c>
      <c r="AW185" s="55"/>
      <c r="AX185" s="52"/>
      <c r="AY185" s="67"/>
      <c r="AZ185" s="61" t="str">
        <f t="shared" si="18"/>
        <v/>
      </c>
      <c r="BA185" s="61" t="str">
        <f>IFERROR(IF(AX185-AX184&lt;=0,"",AZ185/SQRT(Таблица_pr8[[#This Row],[Удельное сопротивление грунта, Ом·м]])),AZ185/SQRT(Таблица_pr8[[#This Row],[Удельное сопротивление грунта, Ом·м]]))</f>
        <v/>
      </c>
      <c r="BC185" s="55"/>
      <c r="BD185" s="52"/>
      <c r="BE185" s="67"/>
      <c r="BG185" s="61" t="str">
        <f>IFERROR(IF(BD185-AX204&lt;=0,"",BF185/SQRT(Таблица_pr9[[#This Row],[Удельное сопротивление грунта, Ом·м]])),BF185/SQRT(Таблица_pr9[[#This Row],[Удельное сопротивление грунта, Ом·м]]))</f>
        <v/>
      </c>
      <c r="BI185" s="55"/>
      <c r="BJ185" s="52"/>
      <c r="BK185" s="67"/>
      <c r="BM185" s="61" t="str">
        <f>IFERROR(IF(BJ185-BD214&lt;=0,"",BL185/SQRT(Таблица_pr10[[#This Row],[Удельное сопротивление грунта, Ом·м]])),BL185/SQRT(Таблица_pr10[[#This Row],[Удельное сопротивление грунта, Ом·м]]))</f>
        <v/>
      </c>
    </row>
    <row r="186" spans="1:65">
      <c r="A186" s="64">
        <v>181</v>
      </c>
      <c r="B186" s="52">
        <v>514.60000000000412</v>
      </c>
      <c r="C186" s="67">
        <v>22.8</v>
      </c>
      <c r="D186" s="61">
        <f t="shared" si="15"/>
        <v>100.00000000002274</v>
      </c>
      <c r="E186" s="61">
        <f>IFERROR(IF(B186-B185&lt;=0,"",D186/SQRT(Таблица_pr[[#This Row],[Удельное сопротивление грунта, Ом·м]])),D186/SQRT(Таблица_pr[[#This Row],[Удельное сопротивление грунта, Ом·м]]))</f>
        <v>20.942695414589537</v>
      </c>
      <c r="G186" s="188">
        <v>181</v>
      </c>
      <c r="H186" s="184">
        <v>514.60000000000412</v>
      </c>
      <c r="I186" s="187">
        <v>22.8</v>
      </c>
      <c r="J186" s="181">
        <f t="shared" si="16"/>
        <v>100.00000000002274</v>
      </c>
      <c r="K186" s="61">
        <f>IFERROR(IF(H186-H185&lt;=0,"",J186/SQRT(Таблица_pr1[[#This Row],[Удельное сопротивление грунта, Ом·м]])),J186/SQRT(Таблица_pr1[[#This Row],[Удельное сопротивление грунта, Ом·м]]))</f>
        <v>20.942695414589537</v>
      </c>
      <c r="Q186" s="61" t="str">
        <f>IFERROR(IF(N186-N185&lt;=0,"",P186/SQRT(Таблица_pr2[[#This Row],[Удельное сопротивление грунта, Ом·м]])),P186/SQRT(Таблица_pr2[[#This Row],[Удельное сопротивление грунта, Ом·м]]))</f>
        <v/>
      </c>
      <c r="W186" s="61" t="str">
        <f>IFERROR(IF(T186-T185&lt;=0,"",V186/SQRT(Таблица_pr3[[#This Row],[Удельное сопротивление грунта, Ом·м]])),V186/SQRT(Таблица_pr3[[#This Row],[Удельное сопротивление грунта, Ом·м]]))</f>
        <v/>
      </c>
      <c r="AC186" s="61" t="str">
        <f>IFERROR(IF(Z186-Z185&lt;=0,"",AB186/SQRT(Таблица_pr4[[#This Row],[Удельное сопротивление грунта, Ом·м]])),AB186/SQRT(Таблица_pr4[[#This Row],[Удельное сопротивление грунта, Ом·м]]))</f>
        <v/>
      </c>
      <c r="AE186" s="55"/>
      <c r="AF186" s="52"/>
      <c r="AG186" s="67"/>
      <c r="AI186" s="61" t="str">
        <f>IFERROR(IF(AF186-AF185&lt;=0,"",AH186/SQRT(Таблица_pr5[[#This Row],[Удельное сопротивление грунта, Ом·м]])),AH186/SQRT(Таблица_pr5[[#This Row],[Удельное сопротивление грунта, Ом·м]]))</f>
        <v/>
      </c>
      <c r="AK186" s="55"/>
      <c r="AL186" s="52"/>
      <c r="AM186" s="67"/>
      <c r="AN186" s="61" t="str">
        <f t="shared" si="17"/>
        <v/>
      </c>
      <c r="AO186" s="61" t="str">
        <f>IFERROR(IF(AL186-AL185&lt;=0,"",AN186/SQRT(Таблица_pr6[[#This Row],[Удельное сопротивление грунта, Ом·м]])),AN186/SQRT(Таблица_pr6[[#This Row],[Удельное сопротивление грунта, Ом·м]]))</f>
        <v/>
      </c>
      <c r="AQ186" s="55"/>
      <c r="AR186" s="52"/>
      <c r="AS186" s="67"/>
      <c r="AU186" s="61" t="str">
        <f>IFERROR(IF(AR186-AR185&lt;=0,"",AT186/SQRT(Таблица_pr7[[#This Row],[Удельное сопротивление грунта, Ом·м]])),AT186/SQRT(Таблица_pr7[[#This Row],[Удельное сопротивление грунта, Ом·м]]))</f>
        <v/>
      </c>
      <c r="AW186" s="55"/>
      <c r="AX186" s="52"/>
      <c r="AY186" s="67"/>
      <c r="AZ186" s="61" t="str">
        <f t="shared" si="18"/>
        <v/>
      </c>
      <c r="BA186" s="61" t="str">
        <f>IFERROR(IF(AX186-AX185&lt;=0,"",AZ186/SQRT(Таблица_pr8[[#This Row],[Удельное сопротивление грунта, Ом·м]])),AZ186/SQRT(Таблица_pr8[[#This Row],[Удельное сопротивление грунта, Ом·м]]))</f>
        <v/>
      </c>
      <c r="BC186" s="55"/>
      <c r="BD186" s="52"/>
      <c r="BE186" s="67"/>
      <c r="BG186" s="61" t="str">
        <f>IFERROR(IF(BD186-AX205&lt;=0,"",BF186/SQRT(Таблица_pr9[[#This Row],[Удельное сопротивление грунта, Ом·м]])),BF186/SQRT(Таблица_pr9[[#This Row],[Удельное сопротивление грунта, Ом·м]]))</f>
        <v/>
      </c>
      <c r="BI186" s="55"/>
      <c r="BJ186" s="52"/>
      <c r="BK186" s="67"/>
      <c r="BM186" s="61" t="str">
        <f>IFERROR(IF(BJ186-BD215&lt;=0,"",BL186/SQRT(Таблица_pr10[[#This Row],[Удельное сопротивление грунта, Ом·м]])),BL186/SQRT(Таблица_pr10[[#This Row],[Удельное сопротивление грунта, Ом·м]]))</f>
        <v/>
      </c>
    </row>
    <row r="187" spans="1:65">
      <c r="A187" s="64">
        <v>182</v>
      </c>
      <c r="B187" s="52">
        <v>514.70000000000414</v>
      </c>
      <c r="C187" s="67">
        <v>28.5</v>
      </c>
      <c r="D187" s="61">
        <f t="shared" si="15"/>
        <v>100.00000000002274</v>
      </c>
      <c r="E187" s="61">
        <f>IFERROR(IF(B187-B186&lt;=0,"",D187/SQRT(Таблица_pr[[#This Row],[Удельное сопротивление грунта, Ом·м]])),D187/SQRT(Таблица_pr[[#This Row],[Удельное сопротивление грунта, Ом·м]]))</f>
        <v>18.731716231638138</v>
      </c>
      <c r="G187" s="189">
        <v>182</v>
      </c>
      <c r="H187" s="185">
        <v>514.70000000000414</v>
      </c>
      <c r="I187" s="186">
        <v>28.5</v>
      </c>
      <c r="J187" s="180">
        <f t="shared" si="16"/>
        <v>100.00000000002274</v>
      </c>
      <c r="K187" s="61">
        <f>IFERROR(IF(H187-H186&lt;=0,"",J187/SQRT(Таблица_pr1[[#This Row],[Удельное сопротивление грунта, Ом·м]])),J187/SQRT(Таблица_pr1[[#This Row],[Удельное сопротивление грунта, Ом·м]]))</f>
        <v>18.731716231638138</v>
      </c>
      <c r="Q187" s="61" t="str">
        <f>IFERROR(IF(N187-N186&lt;=0,"",P187/SQRT(Таблица_pr2[[#This Row],[Удельное сопротивление грунта, Ом·м]])),P187/SQRT(Таблица_pr2[[#This Row],[Удельное сопротивление грунта, Ом·м]]))</f>
        <v/>
      </c>
      <c r="W187" s="61" t="str">
        <f>IFERROR(IF(T187-T186&lt;=0,"",V187/SQRT(Таблица_pr3[[#This Row],[Удельное сопротивление грунта, Ом·м]])),V187/SQRT(Таблица_pr3[[#This Row],[Удельное сопротивление грунта, Ом·м]]))</f>
        <v/>
      </c>
      <c r="AC187" s="61" t="str">
        <f>IFERROR(IF(Z187-Z186&lt;=0,"",AB187/SQRT(Таблица_pr4[[#This Row],[Удельное сопротивление грунта, Ом·м]])),AB187/SQRT(Таблица_pr4[[#This Row],[Удельное сопротивление грунта, Ом·м]]))</f>
        <v/>
      </c>
      <c r="AE187" s="55"/>
      <c r="AF187" s="52"/>
      <c r="AG187" s="67"/>
      <c r="AI187" s="61" t="str">
        <f>IFERROR(IF(AF187-AF186&lt;=0,"",AH187/SQRT(Таблица_pr5[[#This Row],[Удельное сопротивление грунта, Ом·м]])),AH187/SQRT(Таблица_pr5[[#This Row],[Удельное сопротивление грунта, Ом·м]]))</f>
        <v/>
      </c>
      <c r="AK187" s="55"/>
      <c r="AL187" s="52"/>
      <c r="AM187" s="67"/>
      <c r="AN187" s="61" t="str">
        <f t="shared" si="17"/>
        <v/>
      </c>
      <c r="AO187" s="61" t="str">
        <f>IFERROR(IF(AL187-AL186&lt;=0,"",AN187/SQRT(Таблица_pr6[[#This Row],[Удельное сопротивление грунта, Ом·м]])),AN187/SQRT(Таблица_pr6[[#This Row],[Удельное сопротивление грунта, Ом·м]]))</f>
        <v/>
      </c>
      <c r="AQ187" s="55"/>
      <c r="AR187" s="52"/>
      <c r="AS187" s="67"/>
      <c r="AU187" s="61" t="str">
        <f>IFERROR(IF(AR187-AR186&lt;=0,"",AT187/SQRT(Таблица_pr7[[#This Row],[Удельное сопротивление грунта, Ом·м]])),AT187/SQRT(Таблица_pr7[[#This Row],[Удельное сопротивление грунта, Ом·м]]))</f>
        <v/>
      </c>
      <c r="AW187" s="55"/>
      <c r="AX187" s="52"/>
      <c r="AY187" s="67"/>
      <c r="AZ187" s="61" t="str">
        <f t="shared" si="18"/>
        <v/>
      </c>
      <c r="BA187" s="61" t="str">
        <f>IFERROR(IF(AX187-AX186&lt;=0,"",AZ187/SQRT(Таблица_pr8[[#This Row],[Удельное сопротивление грунта, Ом·м]])),AZ187/SQRT(Таблица_pr8[[#This Row],[Удельное сопротивление грунта, Ом·м]]))</f>
        <v/>
      </c>
      <c r="BC187" s="55"/>
      <c r="BD187" s="52"/>
      <c r="BE187" s="67"/>
      <c r="BG187" s="61" t="str">
        <f>IFERROR(IF(BD187-AX206&lt;=0,"",BF187/SQRT(Таблица_pr9[[#This Row],[Удельное сопротивление грунта, Ом·м]])),BF187/SQRT(Таблица_pr9[[#This Row],[Удельное сопротивление грунта, Ом·м]]))</f>
        <v/>
      </c>
      <c r="BI187" s="55"/>
      <c r="BJ187" s="52"/>
      <c r="BK187" s="67"/>
      <c r="BM187" s="61" t="str">
        <f>IFERROR(IF(BJ187-BD216&lt;=0,"",BL187/SQRT(Таблица_pr10[[#This Row],[Удельное сопротивление грунта, Ом·м]])),BL187/SQRT(Таблица_pr10[[#This Row],[Удельное сопротивление грунта, Ом·м]]))</f>
        <v/>
      </c>
    </row>
    <row r="188" spans="1:65">
      <c r="A188" s="64">
        <v>183</v>
      </c>
      <c r="B188" s="52">
        <v>514.80000000000416</v>
      </c>
      <c r="C188" s="67">
        <v>35.4</v>
      </c>
      <c r="D188" s="61">
        <f t="shared" si="15"/>
        <v>100.00000000002274</v>
      </c>
      <c r="E188" s="61">
        <f>IFERROR(IF(B188-B187&lt;=0,"",D188/SQRT(Таблица_pr[[#This Row],[Удельное сопротивление грунта, Ом·м]])),D188/SQRT(Таблица_pr[[#This Row],[Удельное сопротивление грунта, Ом·м]]))</f>
        <v>16.807316136324179</v>
      </c>
      <c r="G188" s="188">
        <v>183</v>
      </c>
      <c r="H188" s="184">
        <v>514.80000000000416</v>
      </c>
      <c r="I188" s="187">
        <v>35.4</v>
      </c>
      <c r="J188" s="181">
        <f t="shared" si="16"/>
        <v>100.00000000002274</v>
      </c>
      <c r="K188" s="61">
        <f>IFERROR(IF(H188-H187&lt;=0,"",J188/SQRT(Таблица_pr1[[#This Row],[Удельное сопротивление грунта, Ом·м]])),J188/SQRT(Таблица_pr1[[#This Row],[Удельное сопротивление грунта, Ом·м]]))</f>
        <v>16.807316136324179</v>
      </c>
      <c r="Q188" s="61" t="str">
        <f>IFERROR(IF(N188-N187&lt;=0,"",P188/SQRT(Таблица_pr2[[#This Row],[Удельное сопротивление грунта, Ом·м]])),P188/SQRT(Таблица_pr2[[#This Row],[Удельное сопротивление грунта, Ом·м]]))</f>
        <v/>
      </c>
      <c r="W188" s="61" t="str">
        <f>IFERROR(IF(T188-T187&lt;=0,"",V188/SQRT(Таблица_pr3[[#This Row],[Удельное сопротивление грунта, Ом·м]])),V188/SQRT(Таблица_pr3[[#This Row],[Удельное сопротивление грунта, Ом·м]]))</f>
        <v/>
      </c>
      <c r="AC188" s="61" t="str">
        <f>IFERROR(IF(Z188-Z187&lt;=0,"",AB188/SQRT(Таблица_pr4[[#This Row],[Удельное сопротивление грунта, Ом·м]])),AB188/SQRT(Таблица_pr4[[#This Row],[Удельное сопротивление грунта, Ом·м]]))</f>
        <v/>
      </c>
      <c r="AE188" s="55"/>
      <c r="AF188" s="52"/>
      <c r="AG188" s="67"/>
      <c r="AI188" s="61" t="str">
        <f>IFERROR(IF(AF188-AF187&lt;=0,"",AH188/SQRT(Таблица_pr5[[#This Row],[Удельное сопротивление грунта, Ом·м]])),AH188/SQRT(Таблица_pr5[[#This Row],[Удельное сопротивление грунта, Ом·м]]))</f>
        <v/>
      </c>
      <c r="AK188" s="55"/>
      <c r="AL188" s="52"/>
      <c r="AM188" s="67"/>
      <c r="AN188" s="61" t="str">
        <f t="shared" si="17"/>
        <v/>
      </c>
      <c r="AO188" s="61" t="str">
        <f>IFERROR(IF(AL188-AL187&lt;=0,"",AN188/SQRT(Таблица_pr6[[#This Row],[Удельное сопротивление грунта, Ом·м]])),AN188/SQRT(Таблица_pr6[[#This Row],[Удельное сопротивление грунта, Ом·м]]))</f>
        <v/>
      </c>
      <c r="AQ188" s="55"/>
      <c r="AR188" s="52"/>
      <c r="AS188" s="67"/>
      <c r="AU188" s="61" t="str">
        <f>IFERROR(IF(AR188-AR187&lt;=0,"",AT188/SQRT(Таблица_pr7[[#This Row],[Удельное сопротивление грунта, Ом·м]])),AT188/SQRT(Таблица_pr7[[#This Row],[Удельное сопротивление грунта, Ом·м]]))</f>
        <v/>
      </c>
      <c r="AW188" s="55"/>
      <c r="AX188" s="52"/>
      <c r="AY188" s="67"/>
      <c r="AZ188" s="61" t="str">
        <f t="shared" si="18"/>
        <v/>
      </c>
      <c r="BA188" s="61" t="str">
        <f>IFERROR(IF(AX188-AX187&lt;=0,"",AZ188/SQRT(Таблица_pr8[[#This Row],[Удельное сопротивление грунта, Ом·м]])),AZ188/SQRT(Таблица_pr8[[#This Row],[Удельное сопротивление грунта, Ом·м]]))</f>
        <v/>
      </c>
      <c r="BC188" s="55"/>
      <c r="BD188" s="52"/>
      <c r="BE188" s="67"/>
      <c r="BG188" s="61" t="str">
        <f>IFERROR(IF(BD188-AX207&lt;=0,"",BF188/SQRT(Таблица_pr9[[#This Row],[Удельное сопротивление грунта, Ом·м]])),BF188/SQRT(Таблица_pr9[[#This Row],[Удельное сопротивление грунта, Ом·м]]))</f>
        <v/>
      </c>
      <c r="BI188" s="55"/>
      <c r="BJ188" s="52"/>
      <c r="BK188" s="67"/>
      <c r="BM188" s="61" t="str">
        <f>IFERROR(IF(BJ188-BD217&lt;=0,"",BL188/SQRT(Таблица_pr10[[#This Row],[Удельное сопротивление грунта, Ом·м]])),BL188/SQRT(Таблица_pr10[[#This Row],[Удельное сопротивление грунта, Ом·м]]))</f>
        <v/>
      </c>
    </row>
    <row r="189" spans="1:65">
      <c r="A189" s="64">
        <v>184</v>
      </c>
      <c r="B189" s="52">
        <v>514.90000000000418</v>
      </c>
      <c r="C189" s="67">
        <v>39.4</v>
      </c>
      <c r="D189" s="61">
        <f t="shared" si="15"/>
        <v>100.00000000002274</v>
      </c>
      <c r="E189" s="61">
        <f>IFERROR(IF(B189-B188&lt;=0,"",D189/SQRT(Таблица_pr[[#This Row],[Удельное сопротивление грунта, Ом·м]])),D189/SQRT(Таблица_pr[[#This Row],[Удельное сопротивление грунта, Ом·м]]))</f>
        <v>15.931324696932776</v>
      </c>
      <c r="G189" s="189">
        <v>184</v>
      </c>
      <c r="H189" s="185">
        <v>514.90000000000418</v>
      </c>
      <c r="I189" s="186">
        <v>39.4</v>
      </c>
      <c r="J189" s="180">
        <f t="shared" si="16"/>
        <v>100.00000000002274</v>
      </c>
      <c r="K189" s="61">
        <f>IFERROR(IF(H189-H188&lt;=0,"",J189/SQRT(Таблица_pr1[[#This Row],[Удельное сопротивление грунта, Ом·м]])),J189/SQRT(Таблица_pr1[[#This Row],[Удельное сопротивление грунта, Ом·м]]))</f>
        <v>15.931324696932776</v>
      </c>
      <c r="Q189" s="61" t="str">
        <f>IFERROR(IF(N189-N188&lt;=0,"",P189/SQRT(Таблица_pr2[[#This Row],[Удельное сопротивление грунта, Ом·м]])),P189/SQRT(Таблица_pr2[[#This Row],[Удельное сопротивление грунта, Ом·м]]))</f>
        <v/>
      </c>
      <c r="W189" s="61" t="str">
        <f>IFERROR(IF(T189-T188&lt;=0,"",V189/SQRT(Таблица_pr3[[#This Row],[Удельное сопротивление грунта, Ом·м]])),V189/SQRT(Таблица_pr3[[#This Row],[Удельное сопротивление грунта, Ом·м]]))</f>
        <v/>
      </c>
      <c r="AC189" s="61" t="str">
        <f>IFERROR(IF(Z189-Z188&lt;=0,"",AB189/SQRT(Таблица_pr4[[#This Row],[Удельное сопротивление грунта, Ом·м]])),AB189/SQRT(Таблица_pr4[[#This Row],[Удельное сопротивление грунта, Ом·м]]))</f>
        <v/>
      </c>
      <c r="AE189" s="55"/>
      <c r="AF189" s="52"/>
      <c r="AG189" s="67"/>
      <c r="AI189" s="61" t="str">
        <f>IFERROR(IF(AF189-AF188&lt;=0,"",AH189/SQRT(Таблица_pr5[[#This Row],[Удельное сопротивление грунта, Ом·м]])),AH189/SQRT(Таблица_pr5[[#This Row],[Удельное сопротивление грунта, Ом·м]]))</f>
        <v/>
      </c>
      <c r="AK189" s="55"/>
      <c r="AL189" s="52"/>
      <c r="AM189" s="67"/>
      <c r="AN189" s="61" t="str">
        <f t="shared" si="17"/>
        <v/>
      </c>
      <c r="AO189" s="61" t="str">
        <f>IFERROR(IF(AL189-AL188&lt;=0,"",AN189/SQRT(Таблица_pr6[[#This Row],[Удельное сопротивление грунта, Ом·м]])),AN189/SQRT(Таблица_pr6[[#This Row],[Удельное сопротивление грунта, Ом·м]]))</f>
        <v/>
      </c>
      <c r="AQ189" s="55"/>
      <c r="AR189" s="52"/>
      <c r="AS189" s="67"/>
      <c r="AU189" s="61" t="str">
        <f>IFERROR(IF(AR189-AR188&lt;=0,"",AT189/SQRT(Таблица_pr7[[#This Row],[Удельное сопротивление грунта, Ом·м]])),AT189/SQRT(Таблица_pr7[[#This Row],[Удельное сопротивление грунта, Ом·м]]))</f>
        <v/>
      </c>
      <c r="AW189" s="55"/>
      <c r="AX189" s="52"/>
      <c r="AY189" s="67"/>
      <c r="AZ189" s="61" t="str">
        <f t="shared" si="18"/>
        <v/>
      </c>
      <c r="BA189" s="61" t="str">
        <f>IFERROR(IF(AX189-AX188&lt;=0,"",AZ189/SQRT(Таблица_pr8[[#This Row],[Удельное сопротивление грунта, Ом·м]])),AZ189/SQRT(Таблица_pr8[[#This Row],[Удельное сопротивление грунта, Ом·м]]))</f>
        <v/>
      </c>
      <c r="BC189" s="55"/>
      <c r="BD189" s="52"/>
      <c r="BE189" s="67"/>
      <c r="BG189" s="61" t="str">
        <f>IFERROR(IF(BD189-AX208&lt;=0,"",BF189/SQRT(Таблица_pr9[[#This Row],[Удельное сопротивление грунта, Ом·м]])),BF189/SQRT(Таблица_pr9[[#This Row],[Удельное сопротивление грунта, Ом·м]]))</f>
        <v/>
      </c>
      <c r="BI189" s="55"/>
      <c r="BJ189" s="52"/>
      <c r="BK189" s="67"/>
      <c r="BM189" s="61" t="str">
        <f>IFERROR(IF(BJ189-BD218&lt;=0,"",BL189/SQRT(Таблица_pr10[[#This Row],[Удельное сопротивление грунта, Ом·м]])),BL189/SQRT(Таблица_pr10[[#This Row],[Удельное сопротивление грунта, Ом·м]]))</f>
        <v/>
      </c>
    </row>
    <row r="190" spans="1:65">
      <c r="A190" s="64">
        <v>185</v>
      </c>
      <c r="B190" s="52">
        <v>515.00000000000421</v>
      </c>
      <c r="C190" s="67">
        <v>47</v>
      </c>
      <c r="D190" s="61">
        <f t="shared" si="15"/>
        <v>100.00000000002274</v>
      </c>
      <c r="E190" s="61">
        <f>IFERROR(IF(B190-B189&lt;=0,"",D190/SQRT(Таблица_pr[[#This Row],[Удельное сопротивление грунта, Ом·м]])),D190/SQRT(Таблица_pr[[#This Row],[Удельное сопротивление грунта, Ом·м]]))</f>
        <v>14.586499149792772</v>
      </c>
      <c r="G190" s="188">
        <v>185</v>
      </c>
      <c r="H190" s="184">
        <v>515.00000000000421</v>
      </c>
      <c r="I190" s="187">
        <v>47</v>
      </c>
      <c r="J190" s="181">
        <f t="shared" si="16"/>
        <v>100.00000000002274</v>
      </c>
      <c r="K190" s="61">
        <f>IFERROR(IF(H190-H189&lt;=0,"",J190/SQRT(Таблица_pr1[[#This Row],[Удельное сопротивление грунта, Ом·м]])),J190/SQRT(Таблица_pr1[[#This Row],[Удельное сопротивление грунта, Ом·м]]))</f>
        <v>14.586499149792772</v>
      </c>
      <c r="Q190" s="61" t="str">
        <f>IFERROR(IF(N190-N189&lt;=0,"",P190/SQRT(Таблица_pr2[[#This Row],[Удельное сопротивление грунта, Ом·м]])),P190/SQRT(Таблица_pr2[[#This Row],[Удельное сопротивление грунта, Ом·м]]))</f>
        <v/>
      </c>
      <c r="W190" s="61" t="str">
        <f>IFERROR(IF(T190-T189&lt;=0,"",V190/SQRT(Таблица_pr3[[#This Row],[Удельное сопротивление грунта, Ом·м]])),V190/SQRT(Таблица_pr3[[#This Row],[Удельное сопротивление грунта, Ом·м]]))</f>
        <v/>
      </c>
      <c r="AC190" s="61" t="str">
        <f>IFERROR(IF(Z190-Z189&lt;=0,"",AB190/SQRT(Таблица_pr4[[#This Row],[Удельное сопротивление грунта, Ом·м]])),AB190/SQRT(Таблица_pr4[[#This Row],[Удельное сопротивление грунта, Ом·м]]))</f>
        <v/>
      </c>
      <c r="AE190" s="55"/>
      <c r="AF190" s="52"/>
      <c r="AG190" s="67"/>
      <c r="AI190" s="61" t="str">
        <f>IFERROR(IF(AF190-AF189&lt;=0,"",AH190/SQRT(Таблица_pr5[[#This Row],[Удельное сопротивление грунта, Ом·м]])),AH190/SQRT(Таблица_pr5[[#This Row],[Удельное сопротивление грунта, Ом·м]]))</f>
        <v/>
      </c>
      <c r="AK190" s="55"/>
      <c r="AL190" s="52"/>
      <c r="AM190" s="67"/>
      <c r="AN190" s="61" t="str">
        <f t="shared" si="17"/>
        <v/>
      </c>
      <c r="AO190" s="61" t="str">
        <f>IFERROR(IF(AL190-AL189&lt;=0,"",AN190/SQRT(Таблица_pr6[[#This Row],[Удельное сопротивление грунта, Ом·м]])),AN190/SQRT(Таблица_pr6[[#This Row],[Удельное сопротивление грунта, Ом·м]]))</f>
        <v/>
      </c>
      <c r="AQ190" s="55"/>
      <c r="AR190" s="52"/>
      <c r="AS190" s="67"/>
      <c r="AU190" s="61" t="str">
        <f>IFERROR(IF(AR190-AR189&lt;=0,"",AT190/SQRT(Таблица_pr7[[#This Row],[Удельное сопротивление грунта, Ом·м]])),AT190/SQRT(Таблица_pr7[[#This Row],[Удельное сопротивление грунта, Ом·м]]))</f>
        <v/>
      </c>
      <c r="AW190" s="55"/>
      <c r="AX190" s="52"/>
      <c r="AY190" s="67"/>
      <c r="AZ190" s="61" t="str">
        <f t="shared" si="18"/>
        <v/>
      </c>
      <c r="BA190" s="61" t="str">
        <f>IFERROR(IF(AX190-AX189&lt;=0,"",AZ190/SQRT(Таблица_pr8[[#This Row],[Удельное сопротивление грунта, Ом·м]])),AZ190/SQRT(Таблица_pr8[[#This Row],[Удельное сопротивление грунта, Ом·м]]))</f>
        <v/>
      </c>
      <c r="BC190" s="55"/>
      <c r="BD190" s="52"/>
      <c r="BE190" s="67"/>
      <c r="BG190" s="61" t="str">
        <f>IFERROR(IF(BD190-AX209&lt;=0,"",BF190/SQRT(Таблица_pr9[[#This Row],[Удельное сопротивление грунта, Ом·м]])),BF190/SQRT(Таблица_pr9[[#This Row],[Удельное сопротивление грунта, Ом·м]]))</f>
        <v/>
      </c>
      <c r="BI190" s="55"/>
      <c r="BJ190" s="52"/>
      <c r="BK190" s="67"/>
      <c r="BM190" s="61" t="str">
        <f>IFERROR(IF(BJ190-BD219&lt;=0,"",BL190/SQRT(Таблица_pr10[[#This Row],[Удельное сопротивление грунта, Ом·м]])),BL190/SQRT(Таблица_pr10[[#This Row],[Удельное сопротивление грунта, Ом·м]]))</f>
        <v/>
      </c>
    </row>
    <row r="191" spans="1:65">
      <c r="A191" s="64">
        <v>186</v>
      </c>
      <c r="B191" s="52">
        <v>515.10000000000423</v>
      </c>
      <c r="C191" s="67">
        <v>19.100000000000001</v>
      </c>
      <c r="D191" s="61">
        <f t="shared" si="15"/>
        <v>100.00000000002274</v>
      </c>
      <c r="E191" s="61">
        <f>IFERROR(IF(B191-B190&lt;=0,"",D191/SQRT(Таблица_pr[[#This Row],[Удельное сопротивление грунта, Ом·м]])),D191/SQRT(Таблица_pr[[#This Row],[Удельное сопротивление грунта, Ом·м]]))</f>
        <v>22.881438097818979</v>
      </c>
      <c r="G191" s="189">
        <v>186</v>
      </c>
      <c r="H191" s="185">
        <v>515.10000000000423</v>
      </c>
      <c r="I191" s="186">
        <v>19.100000000000001</v>
      </c>
      <c r="J191" s="180">
        <f t="shared" si="16"/>
        <v>100.00000000002274</v>
      </c>
      <c r="K191" s="61">
        <f>IFERROR(IF(H191-H190&lt;=0,"",J191/SQRT(Таблица_pr1[[#This Row],[Удельное сопротивление грунта, Ом·м]])),J191/SQRT(Таблица_pr1[[#This Row],[Удельное сопротивление грунта, Ом·м]]))</f>
        <v>22.881438097818979</v>
      </c>
      <c r="Q191" s="61" t="str">
        <f>IFERROR(IF(N191-N190&lt;=0,"",P191/SQRT(Таблица_pr2[[#This Row],[Удельное сопротивление грунта, Ом·м]])),P191/SQRT(Таблица_pr2[[#This Row],[Удельное сопротивление грунта, Ом·м]]))</f>
        <v/>
      </c>
      <c r="W191" s="61" t="str">
        <f>IFERROR(IF(T191-T190&lt;=0,"",V191/SQRT(Таблица_pr3[[#This Row],[Удельное сопротивление грунта, Ом·м]])),V191/SQRT(Таблица_pr3[[#This Row],[Удельное сопротивление грунта, Ом·м]]))</f>
        <v/>
      </c>
      <c r="AC191" s="61" t="str">
        <f>IFERROR(IF(Z191-Z190&lt;=0,"",AB191/SQRT(Таблица_pr4[[#This Row],[Удельное сопротивление грунта, Ом·м]])),AB191/SQRT(Таблица_pr4[[#This Row],[Удельное сопротивление грунта, Ом·м]]))</f>
        <v/>
      </c>
      <c r="AE191" s="55"/>
      <c r="AF191" s="52"/>
      <c r="AG191" s="67"/>
      <c r="AI191" s="61" t="str">
        <f>IFERROR(IF(AF191-AF190&lt;=0,"",AH191/SQRT(Таблица_pr5[[#This Row],[Удельное сопротивление грунта, Ом·м]])),AH191/SQRT(Таблица_pr5[[#This Row],[Удельное сопротивление грунта, Ом·м]]))</f>
        <v/>
      </c>
      <c r="AK191" s="55"/>
      <c r="AL191" s="52"/>
      <c r="AM191" s="67"/>
      <c r="AN191" s="61" t="str">
        <f t="shared" si="17"/>
        <v/>
      </c>
      <c r="AO191" s="61" t="str">
        <f>IFERROR(IF(AL191-AL190&lt;=0,"",AN191/SQRT(Таблица_pr6[[#This Row],[Удельное сопротивление грунта, Ом·м]])),AN191/SQRT(Таблица_pr6[[#This Row],[Удельное сопротивление грунта, Ом·м]]))</f>
        <v/>
      </c>
      <c r="AQ191" s="55"/>
      <c r="AR191" s="52"/>
      <c r="AS191" s="67"/>
      <c r="AU191" s="61" t="str">
        <f>IFERROR(IF(AR191-AR190&lt;=0,"",AT191/SQRT(Таблица_pr7[[#This Row],[Удельное сопротивление грунта, Ом·м]])),AT191/SQRT(Таблица_pr7[[#This Row],[Удельное сопротивление грунта, Ом·м]]))</f>
        <v/>
      </c>
      <c r="AW191" s="55"/>
      <c r="AX191" s="52"/>
      <c r="AY191" s="67"/>
      <c r="AZ191" s="61" t="str">
        <f t="shared" si="18"/>
        <v/>
      </c>
      <c r="BA191" s="61" t="str">
        <f>IFERROR(IF(AX191-AX190&lt;=0,"",AZ191/SQRT(Таблица_pr8[[#This Row],[Удельное сопротивление грунта, Ом·м]])),AZ191/SQRT(Таблица_pr8[[#This Row],[Удельное сопротивление грунта, Ом·м]]))</f>
        <v/>
      </c>
      <c r="BC191" s="55"/>
      <c r="BD191" s="52"/>
      <c r="BE191" s="67"/>
      <c r="BG191" s="61" t="str">
        <f>IFERROR(IF(BD191-AX210&lt;=0,"",BF191/SQRT(Таблица_pr9[[#This Row],[Удельное сопротивление грунта, Ом·м]])),BF191/SQRT(Таблица_pr9[[#This Row],[Удельное сопротивление грунта, Ом·м]]))</f>
        <v/>
      </c>
      <c r="BI191" s="55"/>
      <c r="BJ191" s="52"/>
      <c r="BK191" s="67"/>
      <c r="BM191" s="61" t="str">
        <f>IFERROR(IF(BJ191-BD220&lt;=0,"",BL191/SQRT(Таблица_pr10[[#This Row],[Удельное сопротивление грунта, Ом·м]])),BL191/SQRT(Таблица_pr10[[#This Row],[Удельное сопротивление грунта, Ом·м]]))</f>
        <v/>
      </c>
    </row>
    <row r="192" spans="1:65">
      <c r="A192" s="64">
        <v>187</v>
      </c>
      <c r="B192" s="52">
        <v>515.20000000000425</v>
      </c>
      <c r="C192" s="67">
        <v>55.4</v>
      </c>
      <c r="D192" s="61">
        <f t="shared" si="15"/>
        <v>100.00000000002274</v>
      </c>
      <c r="E192" s="61">
        <f>IFERROR(IF(B192-B191&lt;=0,"",D192/SQRT(Таблица_pr[[#This Row],[Удельное сопротивление грунта, Ом·м]])),D192/SQRT(Таблица_pr[[#This Row],[Удельное сопротивление грунта, Ом·м]]))</f>
        <v>13.435230372514532</v>
      </c>
      <c r="G192" s="188">
        <v>187</v>
      </c>
      <c r="H192" s="184">
        <v>515.20000000000425</v>
      </c>
      <c r="I192" s="187">
        <v>55.4</v>
      </c>
      <c r="J192" s="181">
        <f t="shared" si="16"/>
        <v>100.00000000002274</v>
      </c>
      <c r="K192" s="61">
        <f>IFERROR(IF(H192-H191&lt;=0,"",J192/SQRT(Таблица_pr1[[#This Row],[Удельное сопротивление грунта, Ом·м]])),J192/SQRT(Таблица_pr1[[#This Row],[Удельное сопротивление грунта, Ом·м]]))</f>
        <v>13.435230372514532</v>
      </c>
      <c r="Q192" s="61" t="str">
        <f>IFERROR(IF(N192-N191&lt;=0,"",P192/SQRT(Таблица_pr2[[#This Row],[Удельное сопротивление грунта, Ом·м]])),P192/SQRT(Таблица_pr2[[#This Row],[Удельное сопротивление грунта, Ом·м]]))</f>
        <v/>
      </c>
      <c r="W192" s="61" t="str">
        <f>IFERROR(IF(T192-T191&lt;=0,"",V192/SQRT(Таблица_pr3[[#This Row],[Удельное сопротивление грунта, Ом·м]])),V192/SQRT(Таблица_pr3[[#This Row],[Удельное сопротивление грунта, Ом·м]]))</f>
        <v/>
      </c>
      <c r="AC192" s="61" t="str">
        <f>IFERROR(IF(Z192-Z191&lt;=0,"",AB192/SQRT(Таблица_pr4[[#This Row],[Удельное сопротивление грунта, Ом·м]])),AB192/SQRT(Таблица_pr4[[#This Row],[Удельное сопротивление грунта, Ом·м]]))</f>
        <v/>
      </c>
      <c r="AE192" s="55"/>
      <c r="AF192" s="52"/>
      <c r="AG192" s="67"/>
      <c r="AI192" s="61" t="str">
        <f>IFERROR(IF(AF192-AF191&lt;=0,"",AH192/SQRT(Таблица_pr5[[#This Row],[Удельное сопротивление грунта, Ом·м]])),AH192/SQRT(Таблица_pr5[[#This Row],[Удельное сопротивление грунта, Ом·м]]))</f>
        <v/>
      </c>
      <c r="AK192" s="55"/>
      <c r="AL192" s="52"/>
      <c r="AM192" s="67"/>
      <c r="AN192" s="61" t="str">
        <f t="shared" si="17"/>
        <v/>
      </c>
      <c r="AO192" s="61" t="str">
        <f>IFERROR(IF(AL192-AL191&lt;=0,"",AN192/SQRT(Таблица_pr6[[#This Row],[Удельное сопротивление грунта, Ом·м]])),AN192/SQRT(Таблица_pr6[[#This Row],[Удельное сопротивление грунта, Ом·м]]))</f>
        <v/>
      </c>
      <c r="AQ192" s="55"/>
      <c r="AR192" s="52"/>
      <c r="AS192" s="67"/>
      <c r="AU192" s="61" t="str">
        <f>IFERROR(IF(AR192-AR191&lt;=0,"",AT192/SQRT(Таблица_pr7[[#This Row],[Удельное сопротивление грунта, Ом·м]])),AT192/SQRT(Таблица_pr7[[#This Row],[Удельное сопротивление грунта, Ом·м]]))</f>
        <v/>
      </c>
      <c r="AW192" s="55"/>
      <c r="AX192" s="52"/>
      <c r="AY192" s="67"/>
      <c r="AZ192" s="61" t="str">
        <f t="shared" si="18"/>
        <v/>
      </c>
      <c r="BA192" s="61" t="str">
        <f>IFERROR(IF(AX192-AX191&lt;=0,"",AZ192/SQRT(Таблица_pr8[[#This Row],[Удельное сопротивление грунта, Ом·м]])),AZ192/SQRT(Таблица_pr8[[#This Row],[Удельное сопротивление грунта, Ом·м]]))</f>
        <v/>
      </c>
      <c r="BC192" s="55"/>
      <c r="BD192" s="52"/>
      <c r="BE192" s="67"/>
      <c r="BG192" s="61" t="str">
        <f>IFERROR(IF(BD192-AX211&lt;=0,"",BF192/SQRT(Таблица_pr9[[#This Row],[Удельное сопротивление грунта, Ом·м]])),BF192/SQRT(Таблица_pr9[[#This Row],[Удельное сопротивление грунта, Ом·м]]))</f>
        <v/>
      </c>
      <c r="BI192" s="55"/>
      <c r="BJ192" s="52"/>
      <c r="BK192" s="67"/>
      <c r="BM192" s="61" t="str">
        <f>IFERROR(IF(BJ192-BD221&lt;=0,"",BL192/SQRT(Таблица_pr10[[#This Row],[Удельное сопротивление грунта, Ом·м]])),BL192/SQRT(Таблица_pr10[[#This Row],[Удельное сопротивление грунта, Ом·м]]))</f>
        <v/>
      </c>
    </row>
    <row r="193" spans="1:65">
      <c r="A193" s="64">
        <v>188</v>
      </c>
      <c r="B193" s="52">
        <v>515.30000000000427</v>
      </c>
      <c r="C193" s="67">
        <v>59.9</v>
      </c>
      <c r="D193" s="61">
        <f t="shared" si="15"/>
        <v>100.00000000002274</v>
      </c>
      <c r="E193" s="61">
        <f>IFERROR(IF(B193-B192&lt;=0,"",D193/SQRT(Таблица_pr[[#This Row],[Удельное сопротивление грунта, Ом·м]])),D193/SQRT(Таблица_pr[[#This Row],[Удельное сопротивление грунта, Ом·м]]))</f>
        <v>12.920716240997494</v>
      </c>
      <c r="G193" s="189">
        <v>188</v>
      </c>
      <c r="H193" s="185">
        <v>515.30000000000427</v>
      </c>
      <c r="I193" s="186">
        <v>59.9</v>
      </c>
      <c r="J193" s="180">
        <f t="shared" si="16"/>
        <v>100.00000000002274</v>
      </c>
      <c r="K193" s="61">
        <f>IFERROR(IF(H193-H192&lt;=0,"",J193/SQRT(Таблица_pr1[[#This Row],[Удельное сопротивление грунта, Ом·м]])),J193/SQRT(Таблица_pr1[[#This Row],[Удельное сопротивление грунта, Ом·м]]))</f>
        <v>12.920716240997494</v>
      </c>
      <c r="Q193" s="61" t="str">
        <f>IFERROR(IF(N193-N192&lt;=0,"",P193/SQRT(Таблица_pr2[[#This Row],[Удельное сопротивление грунта, Ом·м]])),P193/SQRT(Таблица_pr2[[#This Row],[Удельное сопротивление грунта, Ом·м]]))</f>
        <v/>
      </c>
      <c r="W193" s="61" t="str">
        <f>IFERROR(IF(T193-T192&lt;=0,"",V193/SQRT(Таблица_pr3[[#This Row],[Удельное сопротивление грунта, Ом·м]])),V193/SQRT(Таблица_pr3[[#This Row],[Удельное сопротивление грунта, Ом·м]]))</f>
        <v/>
      </c>
      <c r="AC193" s="61" t="str">
        <f>IFERROR(IF(Z193-Z192&lt;=0,"",AB193/SQRT(Таблица_pr4[[#This Row],[Удельное сопротивление грунта, Ом·м]])),AB193/SQRT(Таблица_pr4[[#This Row],[Удельное сопротивление грунта, Ом·м]]))</f>
        <v/>
      </c>
      <c r="AE193" s="55"/>
      <c r="AF193" s="52"/>
      <c r="AG193" s="67"/>
      <c r="AI193" s="61" t="str">
        <f>IFERROR(IF(AF193-AF192&lt;=0,"",AH193/SQRT(Таблица_pr5[[#This Row],[Удельное сопротивление грунта, Ом·м]])),AH193/SQRT(Таблица_pr5[[#This Row],[Удельное сопротивление грунта, Ом·м]]))</f>
        <v/>
      </c>
      <c r="AK193" s="55"/>
      <c r="AL193" s="52"/>
      <c r="AM193" s="67"/>
      <c r="AN193" s="61" t="str">
        <f t="shared" si="17"/>
        <v/>
      </c>
      <c r="AO193" s="61" t="str">
        <f>IFERROR(IF(AL193-AL192&lt;=0,"",AN193/SQRT(Таблица_pr6[[#This Row],[Удельное сопротивление грунта, Ом·м]])),AN193/SQRT(Таблица_pr6[[#This Row],[Удельное сопротивление грунта, Ом·м]]))</f>
        <v/>
      </c>
      <c r="AQ193" s="55"/>
      <c r="AR193" s="52"/>
      <c r="AS193" s="67"/>
      <c r="AU193" s="61" t="str">
        <f>IFERROR(IF(AR193-AR192&lt;=0,"",AT193/SQRT(Таблица_pr7[[#This Row],[Удельное сопротивление грунта, Ом·м]])),AT193/SQRT(Таблица_pr7[[#This Row],[Удельное сопротивление грунта, Ом·м]]))</f>
        <v/>
      </c>
      <c r="AW193" s="55"/>
      <c r="AX193" s="52"/>
      <c r="AY193" s="67"/>
      <c r="AZ193" s="61" t="str">
        <f t="shared" si="18"/>
        <v/>
      </c>
      <c r="BA193" s="61" t="str">
        <f>IFERROR(IF(AX193-AX192&lt;=0,"",AZ193/SQRT(Таблица_pr8[[#This Row],[Удельное сопротивление грунта, Ом·м]])),AZ193/SQRT(Таблица_pr8[[#This Row],[Удельное сопротивление грунта, Ом·м]]))</f>
        <v/>
      </c>
      <c r="BC193" s="55"/>
      <c r="BD193" s="52"/>
      <c r="BE193" s="67"/>
      <c r="BG193" s="61" t="str">
        <f>IFERROR(IF(BD193-AX212&lt;=0,"",BF193/SQRT(Таблица_pr9[[#This Row],[Удельное сопротивление грунта, Ом·м]])),BF193/SQRT(Таблица_pr9[[#This Row],[Удельное сопротивление грунта, Ом·м]]))</f>
        <v/>
      </c>
      <c r="BI193" s="55"/>
      <c r="BJ193" s="52"/>
      <c r="BK193" s="67"/>
      <c r="BM193" s="61" t="str">
        <f>IFERROR(IF(BJ193-BD222&lt;=0,"",BL193/SQRT(Таблица_pr10[[#This Row],[Удельное сопротивление грунта, Ом·м]])),BL193/SQRT(Таблица_pr10[[#This Row],[Удельное сопротивление грунта, Ом·м]]))</f>
        <v/>
      </c>
    </row>
    <row r="194" spans="1:65">
      <c r="A194" s="64">
        <v>189</v>
      </c>
      <c r="B194" s="52">
        <v>515.4000000000043</v>
      </c>
      <c r="C194" s="67">
        <v>67.400000000000006</v>
      </c>
      <c r="D194" s="61">
        <f t="shared" si="15"/>
        <v>100.00000000002274</v>
      </c>
      <c r="E194" s="61">
        <f>IFERROR(IF(B194-B193&lt;=0,"",D194/SQRT(Таблица_pr[[#This Row],[Удельное сопротивление грунта, Ом·м]])),D194/SQRT(Таблица_pr[[#This Row],[Удельное сопротивление грунта, Ом·м]]))</f>
        <v>12.180638428355167</v>
      </c>
      <c r="G194" s="188">
        <v>189</v>
      </c>
      <c r="H194" s="184">
        <v>515.4000000000043</v>
      </c>
      <c r="I194" s="187">
        <v>67.400000000000006</v>
      </c>
      <c r="J194" s="181">
        <f t="shared" si="16"/>
        <v>100.00000000002274</v>
      </c>
      <c r="K194" s="61">
        <f>IFERROR(IF(H194-H193&lt;=0,"",J194/SQRT(Таблица_pr1[[#This Row],[Удельное сопротивление грунта, Ом·м]])),J194/SQRT(Таблица_pr1[[#This Row],[Удельное сопротивление грунта, Ом·м]]))</f>
        <v>12.180638428355167</v>
      </c>
      <c r="Q194" s="61" t="str">
        <f>IFERROR(IF(N194-N193&lt;=0,"",P194/SQRT(Таблица_pr2[[#This Row],[Удельное сопротивление грунта, Ом·м]])),P194/SQRT(Таблица_pr2[[#This Row],[Удельное сопротивление грунта, Ом·м]]))</f>
        <v/>
      </c>
      <c r="W194" s="61" t="str">
        <f>IFERROR(IF(T194-T193&lt;=0,"",V194/SQRT(Таблица_pr3[[#This Row],[Удельное сопротивление грунта, Ом·м]])),V194/SQRT(Таблица_pr3[[#This Row],[Удельное сопротивление грунта, Ом·м]]))</f>
        <v/>
      </c>
      <c r="AC194" s="61" t="str">
        <f>IFERROR(IF(Z194-Z193&lt;=0,"",AB194/SQRT(Таблица_pr4[[#This Row],[Удельное сопротивление грунта, Ом·м]])),AB194/SQRT(Таблица_pr4[[#This Row],[Удельное сопротивление грунта, Ом·м]]))</f>
        <v/>
      </c>
      <c r="AE194" s="55"/>
      <c r="AF194" s="52"/>
      <c r="AG194" s="67"/>
      <c r="AI194" s="61" t="str">
        <f>IFERROR(IF(AF194-AF193&lt;=0,"",AH194/SQRT(Таблица_pr5[[#This Row],[Удельное сопротивление грунта, Ом·м]])),AH194/SQRT(Таблица_pr5[[#This Row],[Удельное сопротивление грунта, Ом·м]]))</f>
        <v/>
      </c>
      <c r="AK194" s="55"/>
      <c r="AL194" s="52"/>
      <c r="AM194" s="67"/>
      <c r="AN194" s="61" t="str">
        <f t="shared" si="17"/>
        <v/>
      </c>
      <c r="AO194" s="61" t="str">
        <f>IFERROR(IF(AL194-AL193&lt;=0,"",AN194/SQRT(Таблица_pr6[[#This Row],[Удельное сопротивление грунта, Ом·м]])),AN194/SQRT(Таблица_pr6[[#This Row],[Удельное сопротивление грунта, Ом·м]]))</f>
        <v/>
      </c>
      <c r="AQ194" s="55"/>
      <c r="AR194" s="52"/>
      <c r="AS194" s="67"/>
      <c r="AU194" s="61" t="str">
        <f>IFERROR(IF(AR194-AR193&lt;=0,"",AT194/SQRT(Таблица_pr7[[#This Row],[Удельное сопротивление грунта, Ом·м]])),AT194/SQRT(Таблица_pr7[[#This Row],[Удельное сопротивление грунта, Ом·м]]))</f>
        <v/>
      </c>
      <c r="AW194" s="55"/>
      <c r="AX194" s="52"/>
      <c r="AY194" s="67"/>
      <c r="AZ194" s="61" t="str">
        <f t="shared" si="18"/>
        <v/>
      </c>
      <c r="BA194" s="61" t="str">
        <f>IFERROR(IF(AX194-AX193&lt;=0,"",AZ194/SQRT(Таблица_pr8[[#This Row],[Удельное сопротивление грунта, Ом·м]])),AZ194/SQRT(Таблица_pr8[[#This Row],[Удельное сопротивление грунта, Ом·м]]))</f>
        <v/>
      </c>
      <c r="BC194" s="55"/>
      <c r="BD194" s="52"/>
      <c r="BE194" s="67"/>
      <c r="BG194" s="61" t="str">
        <f>IFERROR(IF(BD194-AX213&lt;=0,"",BF194/SQRT(Таблица_pr9[[#This Row],[Удельное сопротивление грунта, Ом·м]])),BF194/SQRT(Таблица_pr9[[#This Row],[Удельное сопротивление грунта, Ом·м]]))</f>
        <v/>
      </c>
      <c r="BI194" s="55"/>
      <c r="BJ194" s="52"/>
      <c r="BK194" s="67"/>
      <c r="BM194" s="61" t="str">
        <f>IFERROR(IF(BJ194-BD223&lt;=0,"",BL194/SQRT(Таблица_pr10[[#This Row],[Удельное сопротивление грунта, Ом·м]])),BL194/SQRT(Таблица_pr10[[#This Row],[Удельное сопротивление грунта, Ом·м]]))</f>
        <v/>
      </c>
    </row>
    <row r="195" spans="1:65">
      <c r="A195" s="64">
        <v>190</v>
      </c>
      <c r="B195" s="52">
        <v>515.50000000000432</v>
      </c>
      <c r="C195" s="67">
        <v>71.400000000000006</v>
      </c>
      <c r="D195" s="61">
        <f t="shared" si="15"/>
        <v>100.00000000002274</v>
      </c>
      <c r="E195" s="61">
        <f>IFERROR(IF(B195-B194&lt;=0,"",D195/SQRT(Таблица_pr[[#This Row],[Удельное сопротивление грунта, Ом·м]])),D195/SQRT(Таблица_pr[[#This Row],[Удельное сопротивление грунта, Ом·м]]))</f>
        <v>11.834526708281462</v>
      </c>
      <c r="G195" s="189">
        <v>190</v>
      </c>
      <c r="H195" s="185">
        <v>515.50000000000432</v>
      </c>
      <c r="I195" s="186">
        <v>71.400000000000006</v>
      </c>
      <c r="J195" s="180">
        <f t="shared" si="16"/>
        <v>100.00000000002274</v>
      </c>
      <c r="K195" s="61">
        <f>IFERROR(IF(H195-H194&lt;=0,"",J195/SQRT(Таблица_pr1[[#This Row],[Удельное сопротивление грунта, Ом·м]])),J195/SQRT(Таблица_pr1[[#This Row],[Удельное сопротивление грунта, Ом·м]]))</f>
        <v>11.834526708281462</v>
      </c>
      <c r="Q195" s="61" t="str">
        <f>IFERROR(IF(N195-N194&lt;=0,"",P195/SQRT(Таблица_pr2[[#This Row],[Удельное сопротивление грунта, Ом·м]])),P195/SQRT(Таблица_pr2[[#This Row],[Удельное сопротивление грунта, Ом·м]]))</f>
        <v/>
      </c>
      <c r="W195" s="61" t="str">
        <f>IFERROR(IF(T195-T194&lt;=0,"",V195/SQRT(Таблица_pr3[[#This Row],[Удельное сопротивление грунта, Ом·м]])),V195/SQRT(Таблица_pr3[[#This Row],[Удельное сопротивление грунта, Ом·м]]))</f>
        <v/>
      </c>
      <c r="AC195" s="61" t="str">
        <f>IFERROR(IF(Z195-Z194&lt;=0,"",AB195/SQRT(Таблица_pr4[[#This Row],[Удельное сопротивление грунта, Ом·м]])),AB195/SQRT(Таблица_pr4[[#This Row],[Удельное сопротивление грунта, Ом·м]]))</f>
        <v/>
      </c>
      <c r="AE195" s="55"/>
      <c r="AF195" s="52"/>
      <c r="AG195" s="67"/>
      <c r="AI195" s="61" t="str">
        <f>IFERROR(IF(AF195-AF194&lt;=0,"",AH195/SQRT(Таблица_pr5[[#This Row],[Удельное сопротивление грунта, Ом·м]])),AH195/SQRT(Таблица_pr5[[#This Row],[Удельное сопротивление грунта, Ом·м]]))</f>
        <v/>
      </c>
      <c r="AK195" s="55"/>
      <c r="AL195" s="52"/>
      <c r="AM195" s="67"/>
      <c r="AN195" s="61" t="str">
        <f t="shared" si="17"/>
        <v/>
      </c>
      <c r="AO195" s="61" t="str">
        <f>IFERROR(IF(AL195-AL194&lt;=0,"",AN195/SQRT(Таблица_pr6[[#This Row],[Удельное сопротивление грунта, Ом·м]])),AN195/SQRT(Таблица_pr6[[#This Row],[Удельное сопротивление грунта, Ом·м]]))</f>
        <v/>
      </c>
      <c r="AQ195" s="55"/>
      <c r="AR195" s="52"/>
      <c r="AS195" s="67"/>
      <c r="AU195" s="61" t="str">
        <f>IFERROR(IF(AR195-AR194&lt;=0,"",AT195/SQRT(Таблица_pr7[[#This Row],[Удельное сопротивление грунта, Ом·м]])),AT195/SQRT(Таблица_pr7[[#This Row],[Удельное сопротивление грунта, Ом·м]]))</f>
        <v/>
      </c>
      <c r="AW195" s="55"/>
      <c r="AX195" s="52"/>
      <c r="AY195" s="67"/>
      <c r="AZ195" s="61" t="str">
        <f t="shared" si="18"/>
        <v/>
      </c>
      <c r="BA195" s="61" t="str">
        <f>IFERROR(IF(AX195-AX194&lt;=0,"",AZ195/SQRT(Таблица_pr8[[#This Row],[Удельное сопротивление грунта, Ом·м]])),AZ195/SQRT(Таблица_pr8[[#This Row],[Удельное сопротивление грунта, Ом·м]]))</f>
        <v/>
      </c>
      <c r="BC195" s="55"/>
      <c r="BD195" s="52"/>
      <c r="BE195" s="67"/>
      <c r="BG195" s="61" t="str">
        <f>IFERROR(IF(BD195-AX214&lt;=0,"",BF195/SQRT(Таблица_pr9[[#This Row],[Удельное сопротивление грунта, Ом·м]])),BF195/SQRT(Таблица_pr9[[#This Row],[Удельное сопротивление грунта, Ом·м]]))</f>
        <v/>
      </c>
      <c r="BI195" s="55"/>
      <c r="BJ195" s="52"/>
      <c r="BK195" s="67"/>
      <c r="BM195" s="61" t="str">
        <f>IFERROR(IF(BJ195-BD224&lt;=0,"",BL195/SQRT(Таблица_pr10[[#This Row],[Удельное сопротивление грунта, Ом·м]])),BL195/SQRT(Таблица_pr10[[#This Row],[Удельное сопротивление грунта, Ом·м]]))</f>
        <v/>
      </c>
    </row>
    <row r="196" spans="1:65">
      <c r="A196" s="64">
        <v>191</v>
      </c>
      <c r="B196" s="52">
        <v>515.60000000000434</v>
      </c>
      <c r="C196" s="67">
        <v>77.8</v>
      </c>
      <c r="D196" s="61">
        <f t="shared" si="15"/>
        <v>100.00000000002274</v>
      </c>
      <c r="E196" s="61">
        <f>IFERROR(IF(B196-B195&lt;=0,"",D196/SQRT(Таблица_pr[[#This Row],[Удельное сопротивление грунта, Ом·м]])),D196/SQRT(Таблица_pr[[#This Row],[Удельное сопротивление грунта, Ом·м]]))</f>
        <v>11.337314689565533</v>
      </c>
      <c r="G196" s="188">
        <v>191</v>
      </c>
      <c r="H196" s="184">
        <v>515.60000000000434</v>
      </c>
      <c r="I196" s="187">
        <v>77.8</v>
      </c>
      <c r="J196" s="181">
        <f t="shared" si="16"/>
        <v>100.00000000002274</v>
      </c>
      <c r="K196" s="61">
        <f>IFERROR(IF(H196-H195&lt;=0,"",J196/SQRT(Таблица_pr1[[#This Row],[Удельное сопротивление грунта, Ом·м]])),J196/SQRT(Таблица_pr1[[#This Row],[Удельное сопротивление грунта, Ом·м]]))</f>
        <v>11.337314689565533</v>
      </c>
      <c r="Q196" s="61" t="str">
        <f>IFERROR(IF(N196-N195&lt;=0,"",P196/SQRT(Таблица_pr2[[#This Row],[Удельное сопротивление грунта, Ом·м]])),P196/SQRT(Таблица_pr2[[#This Row],[Удельное сопротивление грунта, Ом·м]]))</f>
        <v/>
      </c>
      <c r="W196" s="61" t="str">
        <f>IFERROR(IF(T196-T195&lt;=0,"",V196/SQRT(Таблица_pr3[[#This Row],[Удельное сопротивление грунта, Ом·м]])),V196/SQRT(Таблица_pr3[[#This Row],[Удельное сопротивление грунта, Ом·м]]))</f>
        <v/>
      </c>
      <c r="AC196" s="61" t="str">
        <f>IFERROR(IF(Z196-Z195&lt;=0,"",AB196/SQRT(Таблица_pr4[[#This Row],[Удельное сопротивление грунта, Ом·м]])),AB196/SQRT(Таблица_pr4[[#This Row],[Удельное сопротивление грунта, Ом·м]]))</f>
        <v/>
      </c>
      <c r="AE196" s="55"/>
      <c r="AF196" s="52"/>
      <c r="AG196" s="67"/>
      <c r="AI196" s="61" t="str">
        <f>IFERROR(IF(AF196-AF195&lt;=0,"",AH196/SQRT(Таблица_pr5[[#This Row],[Удельное сопротивление грунта, Ом·м]])),AH196/SQRT(Таблица_pr5[[#This Row],[Удельное сопротивление грунта, Ом·м]]))</f>
        <v/>
      </c>
      <c r="AK196" s="55"/>
      <c r="AL196" s="52"/>
      <c r="AM196" s="67"/>
      <c r="AN196" s="61" t="str">
        <f t="shared" si="17"/>
        <v/>
      </c>
      <c r="AO196" s="61" t="str">
        <f>IFERROR(IF(AL196-AL195&lt;=0,"",AN196/SQRT(Таблица_pr6[[#This Row],[Удельное сопротивление грунта, Ом·м]])),AN196/SQRT(Таблица_pr6[[#This Row],[Удельное сопротивление грунта, Ом·м]]))</f>
        <v/>
      </c>
      <c r="AQ196" s="55"/>
      <c r="AR196" s="52"/>
      <c r="AS196" s="67"/>
      <c r="AU196" s="61" t="str">
        <f>IFERROR(IF(AR196-AR195&lt;=0,"",AT196/SQRT(Таблица_pr7[[#This Row],[Удельное сопротивление грунта, Ом·м]])),AT196/SQRT(Таблица_pr7[[#This Row],[Удельное сопротивление грунта, Ом·м]]))</f>
        <v/>
      </c>
      <c r="AW196" s="55"/>
      <c r="AX196" s="52"/>
      <c r="AY196" s="67"/>
      <c r="AZ196" s="61" t="str">
        <f t="shared" si="18"/>
        <v/>
      </c>
      <c r="BA196" s="61" t="str">
        <f>IFERROR(IF(AX196-AX195&lt;=0,"",AZ196/SQRT(Таблица_pr8[[#This Row],[Удельное сопротивление грунта, Ом·м]])),AZ196/SQRT(Таблица_pr8[[#This Row],[Удельное сопротивление грунта, Ом·м]]))</f>
        <v/>
      </c>
      <c r="BC196" s="55"/>
      <c r="BD196" s="52"/>
      <c r="BE196" s="67"/>
      <c r="BG196" s="61" t="str">
        <f>IFERROR(IF(BD196-AX215&lt;=0,"",BF196/SQRT(Таблица_pr9[[#This Row],[Удельное сопротивление грунта, Ом·м]])),BF196/SQRT(Таблица_pr9[[#This Row],[Удельное сопротивление грунта, Ом·м]]))</f>
        <v/>
      </c>
      <c r="BI196" s="55"/>
      <c r="BJ196" s="52"/>
      <c r="BK196" s="67"/>
      <c r="BM196" s="61" t="str">
        <f>IFERROR(IF(BJ196-BD225&lt;=0,"",BL196/SQRT(Таблица_pr10[[#This Row],[Удельное сопротивление грунта, Ом·м]])),BL196/SQRT(Таблица_pr10[[#This Row],[Удельное сопротивление грунта, Ом·м]]))</f>
        <v/>
      </c>
    </row>
    <row r="197" spans="1:65">
      <c r="A197" s="64">
        <v>192</v>
      </c>
      <c r="B197" s="52">
        <v>515.70000000000437</v>
      </c>
      <c r="C197" s="67">
        <v>86.1</v>
      </c>
      <c r="D197" s="61">
        <f t="shared" si="15"/>
        <v>100.00000000002274</v>
      </c>
      <c r="E197" s="61">
        <f>IFERROR(IF(B197-B196&lt;=0,"",D197/SQRT(Таблица_pr[[#This Row],[Удельное сопротивление грунта, Ом·м]])),D197/SQRT(Таблица_pr[[#This Row],[Удельное сопротивление грунта, Ом·м]]))</f>
        <v>10.777013435228509</v>
      </c>
      <c r="G197" s="189">
        <v>192</v>
      </c>
      <c r="H197" s="185">
        <v>515.70000000000437</v>
      </c>
      <c r="I197" s="186">
        <v>86.1</v>
      </c>
      <c r="J197" s="180">
        <f t="shared" si="16"/>
        <v>100.00000000002274</v>
      </c>
      <c r="K197" s="61">
        <f>IFERROR(IF(H197-H196&lt;=0,"",J197/SQRT(Таблица_pr1[[#This Row],[Удельное сопротивление грунта, Ом·м]])),J197/SQRT(Таблица_pr1[[#This Row],[Удельное сопротивление грунта, Ом·м]]))</f>
        <v>10.777013435228509</v>
      </c>
      <c r="Q197" s="61" t="str">
        <f>IFERROR(IF(N197-N196&lt;=0,"",P197/SQRT(Таблица_pr2[[#This Row],[Удельное сопротивление грунта, Ом·м]])),P197/SQRT(Таблица_pr2[[#This Row],[Удельное сопротивление грунта, Ом·м]]))</f>
        <v/>
      </c>
      <c r="W197" s="61" t="str">
        <f>IFERROR(IF(T197-T196&lt;=0,"",V197/SQRT(Таблица_pr3[[#This Row],[Удельное сопротивление грунта, Ом·м]])),V197/SQRT(Таблица_pr3[[#This Row],[Удельное сопротивление грунта, Ом·м]]))</f>
        <v/>
      </c>
      <c r="AC197" s="61" t="str">
        <f>IFERROR(IF(Z197-Z196&lt;=0,"",AB197/SQRT(Таблица_pr4[[#This Row],[Удельное сопротивление грунта, Ом·м]])),AB197/SQRT(Таблица_pr4[[#This Row],[Удельное сопротивление грунта, Ом·м]]))</f>
        <v/>
      </c>
      <c r="AE197" s="55"/>
      <c r="AF197" s="52"/>
      <c r="AG197" s="67"/>
      <c r="AI197" s="61" t="str">
        <f>IFERROR(IF(AF197-AF196&lt;=0,"",AH197/SQRT(Таблица_pr5[[#This Row],[Удельное сопротивление грунта, Ом·м]])),AH197/SQRT(Таблица_pr5[[#This Row],[Удельное сопротивление грунта, Ом·м]]))</f>
        <v/>
      </c>
      <c r="AK197" s="55"/>
      <c r="AL197" s="52"/>
      <c r="AM197" s="67"/>
      <c r="AN197" s="61" t="str">
        <f t="shared" si="17"/>
        <v/>
      </c>
      <c r="AO197" s="61" t="str">
        <f>IFERROR(IF(AL197-AL196&lt;=0,"",AN197/SQRT(Таблица_pr6[[#This Row],[Удельное сопротивление грунта, Ом·м]])),AN197/SQRT(Таблица_pr6[[#This Row],[Удельное сопротивление грунта, Ом·м]]))</f>
        <v/>
      </c>
      <c r="AQ197" s="55"/>
      <c r="AR197" s="52"/>
      <c r="AS197" s="67"/>
      <c r="AU197" s="61" t="str">
        <f>IFERROR(IF(AR197-AR196&lt;=0,"",AT197/SQRT(Таблица_pr7[[#This Row],[Удельное сопротивление грунта, Ом·м]])),AT197/SQRT(Таблица_pr7[[#This Row],[Удельное сопротивление грунта, Ом·м]]))</f>
        <v/>
      </c>
      <c r="AW197" s="55"/>
      <c r="AX197" s="52"/>
      <c r="AY197" s="67"/>
      <c r="AZ197" s="61" t="str">
        <f t="shared" si="18"/>
        <v/>
      </c>
      <c r="BA197" s="61" t="str">
        <f>IFERROR(IF(AX197-AX196&lt;=0,"",AZ197/SQRT(Таблица_pr8[[#This Row],[Удельное сопротивление грунта, Ом·м]])),AZ197/SQRT(Таблица_pr8[[#This Row],[Удельное сопротивление грунта, Ом·м]]))</f>
        <v/>
      </c>
      <c r="BC197" s="55"/>
      <c r="BD197" s="52"/>
      <c r="BE197" s="67"/>
      <c r="BG197" s="61" t="str">
        <f>IFERROR(IF(BD197-AX216&lt;=0,"",BF197/SQRT(Таблица_pr9[[#This Row],[Удельное сопротивление грунта, Ом·м]])),BF197/SQRT(Таблица_pr9[[#This Row],[Удельное сопротивление грунта, Ом·м]]))</f>
        <v/>
      </c>
      <c r="BI197" s="55"/>
      <c r="BJ197" s="52"/>
      <c r="BK197" s="67"/>
      <c r="BM197" s="61" t="str">
        <f>IFERROR(IF(BJ197-BD226&lt;=0,"",BL197/SQRT(Таблица_pr10[[#This Row],[Удельное сопротивление грунта, Ом·м]])),BL197/SQRT(Таблица_pr10[[#This Row],[Удельное сопротивление грунта, Ом·м]]))</f>
        <v/>
      </c>
    </row>
    <row r="198" spans="1:65">
      <c r="A198" s="64">
        <v>193</v>
      </c>
      <c r="B198" s="52">
        <v>515.80000000000439</v>
      </c>
      <c r="C198" s="67">
        <v>93.5</v>
      </c>
      <c r="D198" s="61">
        <f t="shared" ref="D198:D261" si="19">IFERROR(IF(B198-B197&lt;=0,"",(B198-B197)*1000),100)</f>
        <v>100.00000000002274</v>
      </c>
      <c r="E198" s="61">
        <f>IFERROR(IF(B198-B197&lt;=0,"",D198/SQRT(Таблица_pr[[#This Row],[Удельное сопротивление грунта, Ом·м]])),D198/SQRT(Таблица_pr[[#This Row],[Удельное сопротивление грунта, Ом·м]]))</f>
        <v>10.341753799902735</v>
      </c>
      <c r="G198" s="188">
        <v>193</v>
      </c>
      <c r="H198" s="184">
        <v>515.80000000000439</v>
      </c>
      <c r="I198" s="187">
        <v>93.5</v>
      </c>
      <c r="J198" s="181">
        <f t="shared" ref="J198:J261" si="20">IFERROR(IF(H198-H197&lt;=0,"",(H198-H197)*1000),100)</f>
        <v>100.00000000002274</v>
      </c>
      <c r="K198" s="61">
        <f>IFERROR(IF(H198-H197&lt;=0,"",J198/SQRT(Таблица_pr1[[#This Row],[Удельное сопротивление грунта, Ом·м]])),J198/SQRT(Таблица_pr1[[#This Row],[Удельное сопротивление грунта, Ом·м]]))</f>
        <v>10.341753799902735</v>
      </c>
      <c r="Q198" s="61" t="str">
        <f>IFERROR(IF(N198-N197&lt;=0,"",P198/SQRT(Таблица_pr2[[#This Row],[Удельное сопротивление грунта, Ом·м]])),P198/SQRT(Таблица_pr2[[#This Row],[Удельное сопротивление грунта, Ом·м]]))</f>
        <v/>
      </c>
      <c r="W198" s="61" t="str">
        <f>IFERROR(IF(T198-T197&lt;=0,"",V198/SQRT(Таблица_pr3[[#This Row],[Удельное сопротивление грунта, Ом·м]])),V198/SQRT(Таблица_pr3[[#This Row],[Удельное сопротивление грунта, Ом·м]]))</f>
        <v/>
      </c>
      <c r="AC198" s="61" t="str">
        <f>IFERROR(IF(Z198-Z197&lt;=0,"",AB198/SQRT(Таблица_pr4[[#This Row],[Удельное сопротивление грунта, Ом·м]])),AB198/SQRT(Таблица_pr4[[#This Row],[Удельное сопротивление грунта, Ом·м]]))</f>
        <v/>
      </c>
      <c r="AE198" s="55"/>
      <c r="AF198" s="52"/>
      <c r="AG198" s="67"/>
      <c r="AI198" s="61" t="str">
        <f>IFERROR(IF(AF198-AF197&lt;=0,"",AH198/SQRT(Таблица_pr5[[#This Row],[Удельное сопротивление грунта, Ом·м]])),AH198/SQRT(Таблица_pr5[[#This Row],[Удельное сопротивление грунта, Ом·м]]))</f>
        <v/>
      </c>
      <c r="AK198" s="55"/>
      <c r="AL198" s="52"/>
      <c r="AM198" s="67"/>
      <c r="AN198" s="61" t="str">
        <f t="shared" si="17"/>
        <v/>
      </c>
      <c r="AO198" s="61" t="str">
        <f>IFERROR(IF(AL198-AL197&lt;=0,"",AN198/SQRT(Таблица_pr6[[#This Row],[Удельное сопротивление грунта, Ом·м]])),AN198/SQRT(Таблица_pr6[[#This Row],[Удельное сопротивление грунта, Ом·м]]))</f>
        <v/>
      </c>
      <c r="AQ198" s="55"/>
      <c r="AR198" s="52"/>
      <c r="AS198" s="67"/>
      <c r="AU198" s="61" t="str">
        <f>IFERROR(IF(AR198-AR197&lt;=0,"",AT198/SQRT(Таблица_pr7[[#This Row],[Удельное сопротивление грунта, Ом·м]])),AT198/SQRT(Таблица_pr7[[#This Row],[Удельное сопротивление грунта, Ом·м]]))</f>
        <v/>
      </c>
      <c r="AW198" s="55"/>
      <c r="AX198" s="52"/>
      <c r="AY198" s="67"/>
      <c r="AZ198" s="61" t="str">
        <f t="shared" si="18"/>
        <v/>
      </c>
      <c r="BA198" s="61" t="str">
        <f>IFERROR(IF(AX198-AX197&lt;=0,"",AZ198/SQRT(Таблица_pr8[[#This Row],[Удельное сопротивление грунта, Ом·м]])),AZ198/SQRT(Таблица_pr8[[#This Row],[Удельное сопротивление грунта, Ом·м]]))</f>
        <v/>
      </c>
      <c r="BC198" s="55"/>
      <c r="BD198" s="52"/>
      <c r="BE198" s="67"/>
      <c r="BG198" s="61" t="str">
        <f>IFERROR(IF(BD198-AX217&lt;=0,"",BF198/SQRT(Таблица_pr9[[#This Row],[Удельное сопротивление грунта, Ом·м]])),BF198/SQRT(Таблица_pr9[[#This Row],[Удельное сопротивление грунта, Ом·м]]))</f>
        <v/>
      </c>
      <c r="BI198" s="55"/>
      <c r="BJ198" s="52"/>
      <c r="BK198" s="67"/>
      <c r="BM198" s="61" t="str">
        <f>IFERROR(IF(BJ198-BD227&lt;=0,"",BL198/SQRT(Таблица_pr10[[#This Row],[Удельное сопротивление грунта, Ом·м]])),BL198/SQRT(Таблица_pr10[[#This Row],[Удельное сопротивление грунта, Ом·м]]))</f>
        <v/>
      </c>
    </row>
    <row r="199" spans="1:65">
      <c r="A199" s="64">
        <v>194</v>
      </c>
      <c r="B199" s="52">
        <v>515.90000000000441</v>
      </c>
      <c r="C199" s="67">
        <v>98.4</v>
      </c>
      <c r="D199" s="61">
        <f t="shared" si="19"/>
        <v>100.00000000002274</v>
      </c>
      <c r="E199" s="61">
        <f>IFERROR(IF(B199-B198&lt;=0,"",D199/SQRT(Таблица_pr[[#This Row],[Удельное сопротивление грунта, Ом·м]])),D199/SQRT(Таблица_pr[[#This Row],[Удельное сопротивление грунта, Ом·м]]))</f>
        <v>10.080972981821191</v>
      </c>
      <c r="G199" s="189">
        <v>194</v>
      </c>
      <c r="H199" s="185">
        <v>515.90000000000441</v>
      </c>
      <c r="I199" s="186">
        <v>98.4</v>
      </c>
      <c r="J199" s="180">
        <f t="shared" si="20"/>
        <v>100.00000000002274</v>
      </c>
      <c r="K199" s="61">
        <f>IFERROR(IF(H199-H198&lt;=0,"",J199/SQRT(Таблица_pr1[[#This Row],[Удельное сопротивление грунта, Ом·м]])),J199/SQRT(Таблица_pr1[[#This Row],[Удельное сопротивление грунта, Ом·м]]))</f>
        <v>10.080972981821191</v>
      </c>
      <c r="Q199" s="61" t="str">
        <f>IFERROR(IF(N199-N198&lt;=0,"",P199/SQRT(Таблица_pr2[[#This Row],[Удельное сопротивление грунта, Ом·м]])),P199/SQRT(Таблица_pr2[[#This Row],[Удельное сопротивление грунта, Ом·м]]))</f>
        <v/>
      </c>
      <c r="W199" s="61" t="str">
        <f>IFERROR(IF(T199-T198&lt;=0,"",V199/SQRT(Таблица_pr3[[#This Row],[Удельное сопротивление грунта, Ом·м]])),V199/SQRT(Таблица_pr3[[#This Row],[Удельное сопротивление грунта, Ом·м]]))</f>
        <v/>
      </c>
      <c r="AC199" s="61" t="str">
        <f>IFERROR(IF(Z199-Z198&lt;=0,"",AB199/SQRT(Таблица_pr4[[#This Row],[Удельное сопротивление грунта, Ом·м]])),AB199/SQRT(Таблица_pr4[[#This Row],[Удельное сопротивление грунта, Ом·м]]))</f>
        <v/>
      </c>
      <c r="AE199" s="55"/>
      <c r="AF199" s="52"/>
      <c r="AG199" s="67"/>
      <c r="AI199" s="61" t="str">
        <f>IFERROR(IF(AF199-AF198&lt;=0,"",AH199/SQRT(Таблица_pr5[[#This Row],[Удельное сопротивление грунта, Ом·м]])),AH199/SQRT(Таблица_pr5[[#This Row],[Удельное сопротивление грунта, Ом·м]]))</f>
        <v/>
      </c>
      <c r="AK199" s="55"/>
      <c r="AL199" s="52"/>
      <c r="AM199" s="67"/>
      <c r="AN199" s="61" t="str">
        <f t="shared" ref="AN199:AN262" si="21">IFERROR(IF(AL199-AL198&lt;=0,"",(AL199-AL198)*1000),100)</f>
        <v/>
      </c>
      <c r="AO199" s="61" t="str">
        <f>IFERROR(IF(AL199-AL198&lt;=0,"",AN199/SQRT(Таблица_pr6[[#This Row],[Удельное сопротивление грунта, Ом·м]])),AN199/SQRT(Таблица_pr6[[#This Row],[Удельное сопротивление грунта, Ом·м]]))</f>
        <v/>
      </c>
      <c r="AQ199" s="55"/>
      <c r="AR199" s="52"/>
      <c r="AS199" s="67"/>
      <c r="AU199" s="61" t="str">
        <f>IFERROR(IF(AR199-AR198&lt;=0,"",AT199/SQRT(Таблица_pr7[[#This Row],[Удельное сопротивление грунта, Ом·м]])),AT199/SQRT(Таблица_pr7[[#This Row],[Удельное сопротивление грунта, Ом·м]]))</f>
        <v/>
      </c>
      <c r="AW199" s="55"/>
      <c r="AX199" s="52"/>
      <c r="AY199" s="67"/>
      <c r="AZ199" s="61" t="str">
        <f t="shared" ref="AZ199:AZ262" si="22">IFERROR(IF(AX199-AX198&lt;=0,"",(AX199-AX198)*1000),100)</f>
        <v/>
      </c>
      <c r="BA199" s="61" t="str">
        <f>IFERROR(IF(AX199-AX198&lt;=0,"",AZ199/SQRT(Таблица_pr8[[#This Row],[Удельное сопротивление грунта, Ом·м]])),AZ199/SQRT(Таблица_pr8[[#This Row],[Удельное сопротивление грунта, Ом·м]]))</f>
        <v/>
      </c>
      <c r="BC199" s="55"/>
      <c r="BD199" s="52"/>
      <c r="BE199" s="67"/>
      <c r="BG199" s="61" t="str">
        <f>IFERROR(IF(BD199-AX218&lt;=0,"",BF199/SQRT(Таблица_pr9[[#This Row],[Удельное сопротивление грунта, Ом·м]])),BF199/SQRT(Таблица_pr9[[#This Row],[Удельное сопротивление грунта, Ом·м]]))</f>
        <v/>
      </c>
      <c r="BI199" s="55"/>
      <c r="BJ199" s="52"/>
      <c r="BK199" s="67"/>
      <c r="BM199" s="61" t="str">
        <f>IFERROR(IF(BJ199-BD228&lt;=0,"",BL199/SQRT(Таблица_pr10[[#This Row],[Удельное сопротивление грунта, Ом·м]])),BL199/SQRT(Таблица_pr10[[#This Row],[Удельное сопротивление грунта, Ом·м]]))</f>
        <v/>
      </c>
    </row>
    <row r="200" spans="1:65">
      <c r="A200" s="64">
        <v>195</v>
      </c>
      <c r="B200" s="52">
        <v>516.00000000000443</v>
      </c>
      <c r="C200" s="67">
        <v>106.6</v>
      </c>
      <c r="D200" s="61">
        <f t="shared" si="19"/>
        <v>100.00000000002274</v>
      </c>
      <c r="E200" s="61">
        <f>IFERROR(IF(B200-B199&lt;=0,"",D200/SQRT(Таблица_pr[[#This Row],[Удельное сопротивление грунта, Ом·м]])),D200/SQRT(Таблица_pr[[#This Row],[Удельное сопротивление грунта, Ом·м]]))</f>
        <v>9.6854855528279487</v>
      </c>
      <c r="G200" s="188">
        <v>195</v>
      </c>
      <c r="H200" s="184">
        <v>516.00000000000443</v>
      </c>
      <c r="I200" s="187">
        <v>106.6</v>
      </c>
      <c r="J200" s="181">
        <f t="shared" si="20"/>
        <v>100.00000000002274</v>
      </c>
      <c r="K200" s="61">
        <f>IFERROR(IF(H200-H199&lt;=0,"",J200/SQRT(Таблица_pr1[[#This Row],[Удельное сопротивление грунта, Ом·м]])),J200/SQRT(Таблица_pr1[[#This Row],[Удельное сопротивление грунта, Ом·м]]))</f>
        <v>9.6854855528279487</v>
      </c>
      <c r="Q200" s="61" t="str">
        <f>IFERROR(IF(N200-N199&lt;=0,"",P200/SQRT(Таблица_pr2[[#This Row],[Удельное сопротивление грунта, Ом·м]])),P200/SQRT(Таблица_pr2[[#This Row],[Удельное сопротивление грунта, Ом·м]]))</f>
        <v/>
      </c>
      <c r="W200" s="61" t="str">
        <f>IFERROR(IF(T200-T199&lt;=0,"",V200/SQRT(Таблица_pr3[[#This Row],[Удельное сопротивление грунта, Ом·м]])),V200/SQRT(Таблица_pr3[[#This Row],[Удельное сопротивление грунта, Ом·м]]))</f>
        <v/>
      </c>
      <c r="Y200" s="55"/>
      <c r="Z200" s="52"/>
      <c r="AA200" s="67"/>
      <c r="AB200" s="61">
        <f>IFERROR(IF(Z200-#REF!&lt;=0,"",(Z200-#REF!)*1000),100)</f>
        <v>100</v>
      </c>
      <c r="AC200" s="61" t="str">
        <f>IFERROR(IF(Z200-Z199&lt;=0,"",AB200/SQRT(Таблица_pr4[[#This Row],[Удельное сопротивление грунта, Ом·м]])),AB200/SQRT(Таблица_pr4[[#This Row],[Удельное сопротивление грунта, Ом·м]]))</f>
        <v/>
      </c>
      <c r="AE200" s="55"/>
      <c r="AF200" s="52"/>
      <c r="AG200" s="67"/>
      <c r="AI200" s="61" t="str">
        <f>IFERROR(IF(AF200-AF199&lt;=0,"",AH200/SQRT(Таблица_pr5[[#This Row],[Удельное сопротивление грунта, Ом·м]])),AH200/SQRT(Таблица_pr5[[#This Row],[Удельное сопротивление грунта, Ом·м]]))</f>
        <v/>
      </c>
      <c r="AK200" s="55"/>
      <c r="AL200" s="52"/>
      <c r="AM200" s="67"/>
      <c r="AN200" s="61" t="str">
        <f t="shared" si="21"/>
        <v/>
      </c>
      <c r="AO200" s="61" t="str">
        <f>IFERROR(IF(AL200-AL199&lt;=0,"",AN200/SQRT(Таблица_pr6[[#This Row],[Удельное сопротивление грунта, Ом·м]])),AN200/SQRT(Таблица_pr6[[#This Row],[Удельное сопротивление грунта, Ом·м]]))</f>
        <v/>
      </c>
      <c r="AQ200" s="55"/>
      <c r="AR200" s="52"/>
      <c r="AS200" s="67"/>
      <c r="AU200" s="61" t="str">
        <f>IFERROR(IF(AR200-AR199&lt;=0,"",AT200/SQRT(Таблица_pr7[[#This Row],[Удельное сопротивление грунта, Ом·м]])),AT200/SQRT(Таблица_pr7[[#This Row],[Удельное сопротивление грунта, Ом·м]]))</f>
        <v/>
      </c>
      <c r="AW200" s="55"/>
      <c r="AX200" s="52"/>
      <c r="AY200" s="67"/>
      <c r="AZ200" s="61" t="str">
        <f t="shared" si="22"/>
        <v/>
      </c>
      <c r="BA200" s="61" t="str">
        <f>IFERROR(IF(AX200-AX199&lt;=0,"",AZ200/SQRT(Таблица_pr8[[#This Row],[Удельное сопротивление грунта, Ом·м]])),AZ200/SQRT(Таблица_pr8[[#This Row],[Удельное сопротивление грунта, Ом·м]]))</f>
        <v/>
      </c>
      <c r="BC200" s="55"/>
      <c r="BD200" s="52"/>
      <c r="BE200" s="67"/>
      <c r="BG200" s="61" t="str">
        <f>IFERROR(IF(BD200-AX219&lt;=0,"",BF200/SQRT(Таблица_pr9[[#This Row],[Удельное сопротивление грунта, Ом·м]])),BF200/SQRT(Таблица_pr9[[#This Row],[Удельное сопротивление грунта, Ом·м]]))</f>
        <v/>
      </c>
      <c r="BI200" s="55"/>
      <c r="BJ200" s="52"/>
      <c r="BK200" s="67"/>
      <c r="BM200" s="61" t="str">
        <f>IFERROR(IF(BJ200-BD229&lt;=0,"",BL200/SQRT(Таблица_pr10[[#This Row],[Удельное сопротивление грунта, Ом·м]])),BL200/SQRT(Таблица_pr10[[#This Row],[Удельное сопротивление грунта, Ом·м]]))</f>
        <v/>
      </c>
    </row>
    <row r="201" spans="1:65">
      <c r="A201" s="64">
        <v>196</v>
      </c>
      <c r="B201" s="52">
        <v>516.10000000000446</v>
      </c>
      <c r="C201" s="67">
        <v>18.2</v>
      </c>
      <c r="D201" s="61">
        <f t="shared" si="19"/>
        <v>100.00000000002274</v>
      </c>
      <c r="E201" s="61">
        <f>IFERROR(IF(B201-B200&lt;=0,"",D201/SQRT(Таблица_pr[[#This Row],[Удельное сопротивление грунта, Ом·м]])),D201/SQRT(Таблица_pr[[#This Row],[Удельное сопротивление грунта, Ом·м]]))</f>
        <v>23.440361546930099</v>
      </c>
      <c r="G201" s="189">
        <v>196</v>
      </c>
      <c r="H201" s="185">
        <v>516.10000000000446</v>
      </c>
      <c r="I201" s="186">
        <v>18.2</v>
      </c>
      <c r="J201" s="180">
        <f t="shared" si="20"/>
        <v>100.00000000002274</v>
      </c>
      <c r="K201" s="61">
        <f>IFERROR(IF(H201-H200&lt;=0,"",J201/SQRT(Таблица_pr1[[#This Row],[Удельное сопротивление грунта, Ом·м]])),J201/SQRT(Таблица_pr1[[#This Row],[Удельное сопротивление грунта, Ом·м]]))</f>
        <v>23.440361546930099</v>
      </c>
      <c r="Q201" s="61" t="str">
        <f>IFERROR(IF(N201-N200&lt;=0,"",P201/SQRT(Таблица_pr2[[#This Row],[Удельное сопротивление грунта, Ом·м]])),P201/SQRT(Таблица_pr2[[#This Row],[Удельное сопротивление грунта, Ом·м]]))</f>
        <v/>
      </c>
      <c r="W201" s="61" t="str">
        <f>IFERROR(IF(T201-T200&lt;=0,"",V201/SQRT(Таблица_pr3[[#This Row],[Удельное сопротивление грунта, Ом·м]])),V201/SQRT(Таблица_pr3[[#This Row],[Удельное сопротивление грунта, Ом·м]]))</f>
        <v/>
      </c>
      <c r="Y201" s="55"/>
      <c r="Z201" s="52"/>
      <c r="AA201" s="67"/>
      <c r="AB201" s="61" t="str">
        <f t="shared" ref="AB201:AB262" si="23">IFERROR(IF(Z201-Z200&lt;=0,"",(Z201-Z200)*1000),100)</f>
        <v/>
      </c>
      <c r="AC201" s="61" t="str">
        <f>IFERROR(IF(Z201-Z200&lt;=0,"",AB201/SQRT(Таблица_pr4[[#This Row],[Удельное сопротивление грунта, Ом·м]])),AB201/SQRT(Таблица_pr4[[#This Row],[Удельное сопротивление грунта, Ом·м]]))</f>
        <v/>
      </c>
      <c r="AE201" s="55"/>
      <c r="AF201" s="52"/>
      <c r="AG201" s="67"/>
      <c r="AI201" s="61" t="str">
        <f>IFERROR(IF(AF201-AF200&lt;=0,"",AH201/SQRT(Таблица_pr5[[#This Row],[Удельное сопротивление грунта, Ом·м]])),AH201/SQRT(Таблица_pr5[[#This Row],[Удельное сопротивление грунта, Ом·м]]))</f>
        <v/>
      </c>
      <c r="AK201" s="55"/>
      <c r="AL201" s="52"/>
      <c r="AM201" s="67"/>
      <c r="AN201" s="61" t="str">
        <f t="shared" si="21"/>
        <v/>
      </c>
      <c r="AO201" s="61" t="str">
        <f>IFERROR(IF(AL201-AL200&lt;=0,"",AN201/SQRT(Таблица_pr6[[#This Row],[Удельное сопротивление грунта, Ом·м]])),AN201/SQRT(Таблица_pr6[[#This Row],[Удельное сопротивление грунта, Ом·м]]))</f>
        <v/>
      </c>
      <c r="AQ201" s="55"/>
      <c r="AR201" s="52"/>
      <c r="AS201" s="67"/>
      <c r="AU201" s="61" t="str">
        <f>IFERROR(IF(AR201-AR200&lt;=0,"",AT201/SQRT(Таблица_pr7[[#This Row],[Удельное сопротивление грунта, Ом·м]])),AT201/SQRT(Таблица_pr7[[#This Row],[Удельное сопротивление грунта, Ом·м]]))</f>
        <v/>
      </c>
      <c r="AW201" s="55"/>
      <c r="AX201" s="52"/>
      <c r="AY201" s="67"/>
      <c r="AZ201" s="61" t="str">
        <f t="shared" si="22"/>
        <v/>
      </c>
      <c r="BA201" s="61" t="str">
        <f>IFERROR(IF(AX201-AX200&lt;=0,"",AZ201/SQRT(Таблица_pr8[[#This Row],[Удельное сопротивление грунта, Ом·м]])),AZ201/SQRT(Таблица_pr8[[#This Row],[Удельное сопротивление грунта, Ом·м]]))</f>
        <v/>
      </c>
      <c r="BC201" s="55"/>
      <c r="BD201" s="52"/>
      <c r="BE201" s="67"/>
      <c r="BG201" s="61" t="str">
        <f>IFERROR(IF(BD201-AX220&lt;=0,"",BF201/SQRT(Таблица_pr9[[#This Row],[Удельное сопротивление грунта, Ом·м]])),BF201/SQRT(Таблица_pr9[[#This Row],[Удельное сопротивление грунта, Ом·м]]))</f>
        <v/>
      </c>
      <c r="BI201" s="55"/>
      <c r="BJ201" s="52"/>
      <c r="BK201" s="67"/>
      <c r="BM201" s="61" t="str">
        <f>IFERROR(IF(BJ201-BD230&lt;=0,"",BL201/SQRT(Таблица_pr10[[#This Row],[Удельное сопротивление грунта, Ом·м]])),BL201/SQRT(Таблица_pr10[[#This Row],[Удельное сопротивление грунта, Ом·м]]))</f>
        <v/>
      </c>
    </row>
    <row r="202" spans="1:65">
      <c r="A202" s="64">
        <v>197</v>
      </c>
      <c r="B202" s="52">
        <v>516.20000000000448</v>
      </c>
      <c r="C202" s="67">
        <v>118.6</v>
      </c>
      <c r="D202" s="61">
        <f t="shared" si="19"/>
        <v>100.00000000002274</v>
      </c>
      <c r="E202" s="61">
        <f>IFERROR(IF(B202-B201&lt;=0,"",D202/SQRT(Таблица_pr[[#This Row],[Удельное сопротивление грунта, Ом·м]])),D202/SQRT(Таблица_pr[[#This Row],[Удельное сопротивление грунта, Ом·м]]))</f>
        <v>9.182430617244572</v>
      </c>
      <c r="G202" s="188">
        <v>197</v>
      </c>
      <c r="H202" s="184">
        <v>516.20000000000448</v>
      </c>
      <c r="I202" s="187">
        <v>118.6</v>
      </c>
      <c r="J202" s="181">
        <f t="shared" si="20"/>
        <v>100.00000000002274</v>
      </c>
      <c r="K202" s="61">
        <f>IFERROR(IF(H202-H201&lt;=0,"",J202/SQRT(Таблица_pr1[[#This Row],[Удельное сопротивление грунта, Ом·м]])),J202/SQRT(Таблица_pr1[[#This Row],[Удельное сопротивление грунта, Ом·м]]))</f>
        <v>9.182430617244572</v>
      </c>
      <c r="Q202" s="61" t="str">
        <f>IFERROR(IF(N202-N201&lt;=0,"",P202/SQRT(Таблица_pr2[[#This Row],[Удельное сопротивление грунта, Ом·м]])),P202/SQRT(Таблица_pr2[[#This Row],[Удельное сопротивление грунта, Ом·м]]))</f>
        <v/>
      </c>
      <c r="W202" s="61" t="str">
        <f>IFERROR(IF(T202-T201&lt;=0,"",V202/SQRT(Таблица_pr3[[#This Row],[Удельное сопротивление грунта, Ом·м]])),V202/SQRT(Таблица_pr3[[#This Row],[Удельное сопротивление грунта, Ом·м]]))</f>
        <v/>
      </c>
      <c r="Y202" s="55"/>
      <c r="Z202" s="52"/>
      <c r="AA202" s="67"/>
      <c r="AB202" s="61" t="str">
        <f t="shared" si="23"/>
        <v/>
      </c>
      <c r="AC202" s="61" t="str">
        <f>IFERROR(IF(Z202-Z201&lt;=0,"",AB202/SQRT(Таблица_pr4[[#This Row],[Удельное сопротивление грунта, Ом·м]])),AB202/SQRT(Таблица_pr4[[#This Row],[Удельное сопротивление грунта, Ом·м]]))</f>
        <v/>
      </c>
      <c r="AE202" s="55"/>
      <c r="AF202" s="52"/>
      <c r="AG202" s="67"/>
      <c r="AI202" s="61" t="str">
        <f>IFERROR(IF(AF202-AF201&lt;=0,"",AH202/SQRT(Таблица_pr5[[#This Row],[Удельное сопротивление грунта, Ом·м]])),AH202/SQRT(Таблица_pr5[[#This Row],[Удельное сопротивление грунта, Ом·м]]))</f>
        <v/>
      </c>
      <c r="AK202" s="55"/>
      <c r="AL202" s="52"/>
      <c r="AM202" s="67"/>
      <c r="AN202" s="61" t="str">
        <f t="shared" si="21"/>
        <v/>
      </c>
      <c r="AO202" s="61" t="str">
        <f>IFERROR(IF(AL202-AL201&lt;=0,"",AN202/SQRT(Таблица_pr6[[#This Row],[Удельное сопротивление грунта, Ом·м]])),AN202/SQRT(Таблица_pr6[[#This Row],[Удельное сопротивление грунта, Ом·м]]))</f>
        <v/>
      </c>
      <c r="AQ202" s="55"/>
      <c r="AR202" s="52"/>
      <c r="AS202" s="67"/>
      <c r="AU202" s="61" t="str">
        <f>IFERROR(IF(AR202-AR201&lt;=0,"",AT202/SQRT(Таблица_pr7[[#This Row],[Удельное сопротивление грунта, Ом·м]])),AT202/SQRT(Таблица_pr7[[#This Row],[Удельное сопротивление грунта, Ом·м]]))</f>
        <v/>
      </c>
      <c r="AW202" s="55"/>
      <c r="AX202" s="52"/>
      <c r="AY202" s="67"/>
      <c r="AZ202" s="61" t="str">
        <f t="shared" si="22"/>
        <v/>
      </c>
      <c r="BA202" s="61" t="str">
        <f>IFERROR(IF(AX202-AX201&lt;=0,"",AZ202/SQRT(Таблица_pr8[[#This Row],[Удельное сопротивление грунта, Ом·м]])),AZ202/SQRT(Таблица_pr8[[#This Row],[Удельное сопротивление грунта, Ом·м]]))</f>
        <v/>
      </c>
      <c r="BC202" s="55"/>
      <c r="BD202" s="52"/>
      <c r="BE202" s="67"/>
      <c r="BG202" s="61" t="str">
        <f>IFERROR(IF(BD202-AX221&lt;=0,"",BF202/SQRT(Таблица_pr9[[#This Row],[Удельное сопротивление грунта, Ом·м]])),BF202/SQRT(Таблица_pr9[[#This Row],[Удельное сопротивление грунта, Ом·м]]))</f>
        <v/>
      </c>
      <c r="BI202" s="55"/>
      <c r="BJ202" s="52"/>
      <c r="BK202" s="67"/>
      <c r="BM202" s="61" t="str">
        <f>IFERROR(IF(BJ202-BD231&lt;=0,"",BL202/SQRT(Таблица_pr10[[#This Row],[Удельное сопротивление грунта, Ом·м]])),BL202/SQRT(Таблица_pr10[[#This Row],[Удельное сопротивление грунта, Ом·м]]))</f>
        <v/>
      </c>
    </row>
    <row r="203" spans="1:65">
      <c r="A203" s="64">
        <v>198</v>
      </c>
      <c r="B203" s="52">
        <v>516.3000000000045</v>
      </c>
      <c r="C203" s="67">
        <v>127</v>
      </c>
      <c r="D203" s="61">
        <f t="shared" si="19"/>
        <v>100.00000000002274</v>
      </c>
      <c r="E203" s="61">
        <f>IFERROR(IF(B203-B202&lt;=0,"",D203/SQRT(Таблица_pr[[#This Row],[Удельное сопротивление грунта, Ом·м]])),D203/SQRT(Таблица_pr[[#This Row],[Удельное сопротивление грунта, Ом·м]]))</f>
        <v>8.8735650941631565</v>
      </c>
      <c r="G203" s="189">
        <v>198</v>
      </c>
      <c r="H203" s="185">
        <v>516.3000000000045</v>
      </c>
      <c r="I203" s="186">
        <v>127</v>
      </c>
      <c r="J203" s="180">
        <f t="shared" si="20"/>
        <v>100.00000000002274</v>
      </c>
      <c r="K203" s="61">
        <f>IFERROR(IF(H203-H202&lt;=0,"",J203/SQRT(Таблица_pr1[[#This Row],[Удельное сопротивление грунта, Ом·м]])),J203/SQRT(Таблица_pr1[[#This Row],[Удельное сопротивление грунта, Ом·м]]))</f>
        <v>8.8735650941631565</v>
      </c>
      <c r="Q203" s="61" t="str">
        <f>IFERROR(IF(N203-N202&lt;=0,"",P203/SQRT(Таблица_pr2[[#This Row],[Удельное сопротивление грунта, Ом·м]])),P203/SQRT(Таблица_pr2[[#This Row],[Удельное сопротивление грунта, Ом·м]]))</f>
        <v/>
      </c>
      <c r="W203" s="61" t="str">
        <f>IFERROR(IF(T203-T202&lt;=0,"",V203/SQRT(Таблица_pr3[[#This Row],[Удельное сопротивление грунта, Ом·м]])),V203/SQRT(Таблица_pr3[[#This Row],[Удельное сопротивление грунта, Ом·м]]))</f>
        <v/>
      </c>
      <c r="Y203" s="55"/>
      <c r="Z203" s="52"/>
      <c r="AA203" s="67"/>
      <c r="AB203" s="61" t="str">
        <f t="shared" si="23"/>
        <v/>
      </c>
      <c r="AC203" s="61" t="str">
        <f>IFERROR(IF(Z203-Z202&lt;=0,"",AB203/SQRT(Таблица_pr4[[#This Row],[Удельное сопротивление грунта, Ом·м]])),AB203/SQRT(Таблица_pr4[[#This Row],[Удельное сопротивление грунта, Ом·м]]))</f>
        <v/>
      </c>
      <c r="AE203" s="55"/>
      <c r="AF203" s="52"/>
      <c r="AG203" s="67"/>
      <c r="AI203" s="61" t="str">
        <f>IFERROR(IF(AF203-AF202&lt;=0,"",AH203/SQRT(Таблица_pr5[[#This Row],[Удельное сопротивление грунта, Ом·м]])),AH203/SQRT(Таблица_pr5[[#This Row],[Удельное сопротивление грунта, Ом·м]]))</f>
        <v/>
      </c>
      <c r="AK203" s="55"/>
      <c r="AL203" s="52"/>
      <c r="AM203" s="67"/>
      <c r="AN203" s="61" t="str">
        <f t="shared" si="21"/>
        <v/>
      </c>
      <c r="AO203" s="61" t="str">
        <f>IFERROR(IF(AL203-AL202&lt;=0,"",AN203/SQRT(Таблица_pr6[[#This Row],[Удельное сопротивление грунта, Ом·м]])),AN203/SQRT(Таблица_pr6[[#This Row],[Удельное сопротивление грунта, Ом·м]]))</f>
        <v/>
      </c>
      <c r="AQ203" s="55"/>
      <c r="AR203" s="52"/>
      <c r="AS203" s="67"/>
      <c r="AU203" s="61" t="str">
        <f>IFERROR(IF(AR203-AR202&lt;=0,"",AT203/SQRT(Таблица_pr7[[#This Row],[Удельное сопротивление грунта, Ом·м]])),AT203/SQRT(Таблица_pr7[[#This Row],[Удельное сопротивление грунта, Ом·м]]))</f>
        <v/>
      </c>
      <c r="AW203" s="55"/>
      <c r="AX203" s="52"/>
      <c r="AY203" s="67"/>
      <c r="AZ203" s="61" t="str">
        <f t="shared" si="22"/>
        <v/>
      </c>
      <c r="BA203" s="61" t="str">
        <f>IFERROR(IF(AX203-AX202&lt;=0,"",AZ203/SQRT(Таблица_pr8[[#This Row],[Удельное сопротивление грунта, Ом·м]])),AZ203/SQRT(Таблица_pr8[[#This Row],[Удельное сопротивление грунта, Ом·м]]))</f>
        <v/>
      </c>
      <c r="BC203" s="55"/>
      <c r="BD203" s="52"/>
      <c r="BE203" s="67"/>
      <c r="BG203" s="61" t="str">
        <f>IFERROR(IF(BD203-AX222&lt;=0,"",BF203/SQRT(Таблица_pr9[[#This Row],[Удельное сопротивление грунта, Ом·м]])),BF203/SQRT(Таблица_pr9[[#This Row],[Удельное сопротивление грунта, Ом·м]]))</f>
        <v/>
      </c>
      <c r="BI203" s="55"/>
      <c r="BJ203" s="52"/>
      <c r="BK203" s="67"/>
      <c r="BM203" s="61" t="str">
        <f>IFERROR(IF(BJ203-BD232&lt;=0,"",BL203/SQRT(Таблица_pr10[[#This Row],[Удельное сопротивление грунта, Ом·м]])),BL203/SQRT(Таблица_pr10[[#This Row],[Удельное сопротивление грунта, Ом·м]]))</f>
        <v/>
      </c>
    </row>
    <row r="204" spans="1:65">
      <c r="A204" s="64">
        <v>199</v>
      </c>
      <c r="B204" s="52">
        <v>516.40000000000452</v>
      </c>
      <c r="C204" s="67">
        <v>132.19999999999999</v>
      </c>
      <c r="D204" s="61">
        <f t="shared" si="19"/>
        <v>100.00000000002274</v>
      </c>
      <c r="E204" s="61">
        <f>IFERROR(IF(B204-B203&lt;=0,"",D204/SQRT(Таблица_pr[[#This Row],[Удельное сопротивление грунта, Ом·м]])),D204/SQRT(Таблица_pr[[#This Row],[Удельное сопротивление грунта, Ом·м]]))</f>
        <v>8.6972964307461886</v>
      </c>
      <c r="G204" s="188">
        <v>199</v>
      </c>
      <c r="H204" s="184">
        <v>516.40000000000452</v>
      </c>
      <c r="I204" s="187">
        <v>132.19999999999999</v>
      </c>
      <c r="J204" s="181">
        <f t="shared" si="20"/>
        <v>100.00000000002274</v>
      </c>
      <c r="K204" s="61">
        <f>IFERROR(IF(H204-H203&lt;=0,"",J204/SQRT(Таблица_pr1[[#This Row],[Удельное сопротивление грунта, Ом·м]])),J204/SQRT(Таблица_pr1[[#This Row],[Удельное сопротивление грунта, Ом·м]]))</f>
        <v>8.6972964307461886</v>
      </c>
      <c r="Q204" s="61" t="str">
        <f>IFERROR(IF(N204-N203&lt;=0,"",P204/SQRT(Таблица_pr2[[#This Row],[Удельное сопротивление грунта, Ом·м]])),P204/SQRT(Таблица_pr2[[#This Row],[Удельное сопротивление грунта, Ом·м]]))</f>
        <v/>
      </c>
      <c r="W204" s="61" t="str">
        <f>IFERROR(IF(T204-T203&lt;=0,"",V204/SQRT(Таблица_pr3[[#This Row],[Удельное сопротивление грунта, Ом·м]])),V204/SQRT(Таблица_pr3[[#This Row],[Удельное сопротивление грунта, Ом·м]]))</f>
        <v/>
      </c>
      <c r="Y204" s="55"/>
      <c r="Z204" s="52"/>
      <c r="AA204" s="67"/>
      <c r="AB204" s="61" t="str">
        <f t="shared" si="23"/>
        <v/>
      </c>
      <c r="AC204" s="61" t="str">
        <f>IFERROR(IF(Z204-Z203&lt;=0,"",AB204/SQRT(Таблица_pr4[[#This Row],[Удельное сопротивление грунта, Ом·м]])),AB204/SQRT(Таблица_pr4[[#This Row],[Удельное сопротивление грунта, Ом·м]]))</f>
        <v/>
      </c>
      <c r="AE204" s="55"/>
      <c r="AF204" s="52"/>
      <c r="AG204" s="67"/>
      <c r="AI204" s="61" t="str">
        <f>IFERROR(IF(AF204-AF203&lt;=0,"",AH204/SQRT(Таблица_pr5[[#This Row],[Удельное сопротивление грунта, Ом·м]])),AH204/SQRT(Таблица_pr5[[#This Row],[Удельное сопротивление грунта, Ом·м]]))</f>
        <v/>
      </c>
      <c r="AK204" s="55"/>
      <c r="AL204" s="52"/>
      <c r="AM204" s="67"/>
      <c r="AN204" s="61" t="str">
        <f t="shared" si="21"/>
        <v/>
      </c>
      <c r="AO204" s="61" t="str">
        <f>IFERROR(IF(AL204-AL203&lt;=0,"",AN204/SQRT(Таблица_pr6[[#This Row],[Удельное сопротивление грунта, Ом·м]])),AN204/SQRT(Таблица_pr6[[#This Row],[Удельное сопротивление грунта, Ом·м]]))</f>
        <v/>
      </c>
      <c r="AQ204" s="55"/>
      <c r="AR204" s="52"/>
      <c r="AS204" s="67"/>
      <c r="AU204" s="61" t="str">
        <f>IFERROR(IF(AR204-AR203&lt;=0,"",AT204/SQRT(Таблица_pr7[[#This Row],[Удельное сопротивление грунта, Ом·м]])),AT204/SQRT(Таблица_pr7[[#This Row],[Удельное сопротивление грунта, Ом·м]]))</f>
        <v/>
      </c>
      <c r="AW204" s="55"/>
      <c r="AX204" s="52"/>
      <c r="AY204" s="67"/>
      <c r="AZ204" s="61" t="str">
        <f t="shared" si="22"/>
        <v/>
      </c>
      <c r="BA204" s="61" t="str">
        <f>IFERROR(IF(AX204-AX203&lt;=0,"",AZ204/SQRT(Таблица_pr8[[#This Row],[Удельное сопротивление грунта, Ом·м]])),AZ204/SQRT(Таблица_pr8[[#This Row],[Удельное сопротивление грунта, Ом·м]]))</f>
        <v/>
      </c>
      <c r="BC204" s="55"/>
      <c r="BD204" s="52"/>
      <c r="BE204" s="67"/>
      <c r="BG204" s="61" t="str">
        <f>IFERROR(IF(BD204-AX223&lt;=0,"",BF204/SQRT(Таблица_pr9[[#This Row],[Удельное сопротивление грунта, Ом·м]])),BF204/SQRT(Таблица_pr9[[#This Row],[Удельное сопротивление грунта, Ом·м]]))</f>
        <v/>
      </c>
      <c r="BI204" s="55"/>
      <c r="BJ204" s="52"/>
      <c r="BK204" s="67"/>
      <c r="BM204" s="61" t="str">
        <f>IFERROR(IF(BJ204-BD233&lt;=0,"",BL204/SQRT(Таблица_pr10[[#This Row],[Удельное сопротивление грунта, Ом·м]])),BL204/SQRT(Таблица_pr10[[#This Row],[Удельное сопротивление грунта, Ом·м]]))</f>
        <v/>
      </c>
    </row>
    <row r="205" spans="1:65">
      <c r="A205" s="64">
        <v>200</v>
      </c>
      <c r="B205" s="52">
        <v>516.50000000000455</v>
      </c>
      <c r="C205" s="67">
        <v>128.80000000000001</v>
      </c>
      <c r="D205" s="61">
        <f t="shared" si="19"/>
        <v>100.00000000002274</v>
      </c>
      <c r="E205" s="61">
        <f>IFERROR(IF(B205-B204&lt;=0,"",D205/SQRT(Таблица_pr[[#This Row],[Удельное сопротивление грунта, Ом·м]])),D205/SQRT(Таблица_pr[[#This Row],[Удельное сопротивление грунта, Ом·м]]))</f>
        <v>8.8113422106300199</v>
      </c>
      <c r="G205" s="189">
        <v>200</v>
      </c>
      <c r="H205" s="185">
        <v>516.50000000000455</v>
      </c>
      <c r="I205" s="186">
        <v>128.80000000000001</v>
      </c>
      <c r="J205" s="180">
        <f t="shared" si="20"/>
        <v>100.00000000002274</v>
      </c>
      <c r="K205" s="61">
        <f>IFERROR(IF(H205-H204&lt;=0,"",J205/SQRT(Таблица_pr1[[#This Row],[Удельное сопротивление грунта, Ом·м]])),J205/SQRT(Таблица_pr1[[#This Row],[Удельное сопротивление грунта, Ом·м]]))</f>
        <v>8.8113422106300199</v>
      </c>
      <c r="Q205" s="61" t="str">
        <f>IFERROR(IF(N205-N204&lt;=0,"",P205/SQRT(Таблица_pr2[[#This Row],[Удельное сопротивление грунта, Ом·м]])),P205/SQRT(Таблица_pr2[[#This Row],[Удельное сопротивление грунта, Ом·м]]))</f>
        <v/>
      </c>
      <c r="W205" s="61" t="str">
        <f>IFERROR(IF(T205-T204&lt;=0,"",V205/SQRT(Таблица_pr3[[#This Row],[Удельное сопротивление грунта, Ом·м]])),V205/SQRT(Таблица_pr3[[#This Row],[Удельное сопротивление грунта, Ом·м]]))</f>
        <v/>
      </c>
      <c r="Y205" s="55"/>
      <c r="Z205" s="52"/>
      <c r="AA205" s="67"/>
      <c r="AB205" s="61" t="str">
        <f t="shared" si="23"/>
        <v/>
      </c>
      <c r="AC205" s="61" t="str">
        <f>IFERROR(IF(Z205-Z204&lt;=0,"",AB205/SQRT(Таблица_pr4[[#This Row],[Удельное сопротивление грунта, Ом·м]])),AB205/SQRT(Таблица_pr4[[#This Row],[Удельное сопротивление грунта, Ом·м]]))</f>
        <v/>
      </c>
      <c r="AE205" s="55"/>
      <c r="AF205" s="52"/>
      <c r="AG205" s="67"/>
      <c r="AI205" s="61" t="str">
        <f>IFERROR(IF(AF205-AF204&lt;=0,"",AH205/SQRT(Таблица_pr5[[#This Row],[Удельное сопротивление грунта, Ом·м]])),AH205/SQRT(Таблица_pr5[[#This Row],[Удельное сопротивление грунта, Ом·м]]))</f>
        <v/>
      </c>
      <c r="AK205" s="55"/>
      <c r="AL205" s="52"/>
      <c r="AM205" s="67"/>
      <c r="AN205" s="61" t="str">
        <f t="shared" si="21"/>
        <v/>
      </c>
      <c r="AO205" s="61" t="str">
        <f>IFERROR(IF(AL205-AL204&lt;=0,"",AN205/SQRT(Таблица_pr6[[#This Row],[Удельное сопротивление грунта, Ом·м]])),AN205/SQRT(Таблица_pr6[[#This Row],[Удельное сопротивление грунта, Ом·м]]))</f>
        <v/>
      </c>
      <c r="AQ205" s="55"/>
      <c r="AR205" s="52"/>
      <c r="AS205" s="67"/>
      <c r="AU205" s="61" t="str">
        <f>IFERROR(IF(AR205-AR204&lt;=0,"",AT205/SQRT(Таблица_pr7[[#This Row],[Удельное сопротивление грунта, Ом·м]])),AT205/SQRT(Таблица_pr7[[#This Row],[Удельное сопротивление грунта, Ом·м]]))</f>
        <v/>
      </c>
      <c r="AW205" s="55"/>
      <c r="AX205" s="52"/>
      <c r="AY205" s="67"/>
      <c r="AZ205" s="61" t="str">
        <f t="shared" si="22"/>
        <v/>
      </c>
      <c r="BA205" s="61" t="str">
        <f>IFERROR(IF(AX205-AX204&lt;=0,"",AZ205/SQRT(Таблица_pr8[[#This Row],[Удельное сопротивление грунта, Ом·м]])),AZ205/SQRT(Таблица_pr8[[#This Row],[Удельное сопротивление грунта, Ом·м]]))</f>
        <v/>
      </c>
      <c r="BC205" s="55"/>
      <c r="BD205" s="52"/>
      <c r="BE205" s="67"/>
      <c r="BG205" s="61" t="str">
        <f>IFERROR(IF(BD205-AX224&lt;=0,"",BF205/SQRT(Таблица_pr9[[#This Row],[Удельное сопротивление грунта, Ом·м]])),BF205/SQRT(Таблица_pr9[[#This Row],[Удельное сопротивление грунта, Ом·м]]))</f>
        <v/>
      </c>
      <c r="BI205" s="55"/>
      <c r="BJ205" s="52"/>
      <c r="BK205" s="67"/>
      <c r="BM205" s="61" t="str">
        <f>IFERROR(IF(BJ205-BD234&lt;=0,"",BL205/SQRT(Таблица_pr10[[#This Row],[Удельное сопротивление грунта, Ом·м]])),BL205/SQRT(Таблица_pr10[[#This Row],[Удельное сопротивление грунта, Ом·м]]))</f>
        <v/>
      </c>
    </row>
    <row r="206" spans="1:65">
      <c r="A206" s="64">
        <v>201</v>
      </c>
      <c r="B206" s="52">
        <v>516.60000000000457</v>
      </c>
      <c r="C206" s="67">
        <v>150.19999999999999</v>
      </c>
      <c r="D206" s="61">
        <f t="shared" si="19"/>
        <v>100.00000000002274</v>
      </c>
      <c r="E206" s="61">
        <f>IFERROR(IF(B206-B205&lt;=0,"",D206/SQRT(Таблица_pr[[#This Row],[Удельное сопротивление грунта, Ом·м]])),D206/SQRT(Таблица_pr[[#This Row],[Удельное сопротивление грунта, Ом·м]]))</f>
        <v>8.1595279360090629</v>
      </c>
      <c r="G206" s="188">
        <v>201</v>
      </c>
      <c r="H206" s="184">
        <v>516.60000000000457</v>
      </c>
      <c r="I206" s="187">
        <v>150.19999999999999</v>
      </c>
      <c r="J206" s="181">
        <f t="shared" si="20"/>
        <v>100.00000000002274</v>
      </c>
      <c r="K206" s="61">
        <f>IFERROR(IF(H206-H205&lt;=0,"",J206/SQRT(Таблица_pr1[[#This Row],[Удельное сопротивление грунта, Ом·м]])),J206/SQRT(Таблица_pr1[[#This Row],[Удельное сопротивление грунта, Ом·м]]))</f>
        <v>8.1595279360090629</v>
      </c>
      <c r="Q206" s="61" t="str">
        <f>IFERROR(IF(N206-N205&lt;=0,"",P206/SQRT(Таблица_pr2[[#This Row],[Удельное сопротивление грунта, Ом·м]])),P206/SQRT(Таблица_pr2[[#This Row],[Удельное сопротивление грунта, Ом·м]]))</f>
        <v/>
      </c>
      <c r="W206" s="61" t="str">
        <f>IFERROR(IF(T206-T205&lt;=0,"",V206/SQRT(Таблица_pr3[[#This Row],[Удельное сопротивление грунта, Ом·м]])),V206/SQRT(Таблица_pr3[[#This Row],[Удельное сопротивление грунта, Ом·м]]))</f>
        <v/>
      </c>
      <c r="Y206" s="55"/>
      <c r="Z206" s="52"/>
      <c r="AA206" s="67"/>
      <c r="AB206" s="61" t="str">
        <f t="shared" si="23"/>
        <v/>
      </c>
      <c r="AC206" s="61" t="str">
        <f>IFERROR(IF(Z206-Z205&lt;=0,"",AB206/SQRT(Таблица_pr4[[#This Row],[Удельное сопротивление грунта, Ом·м]])),AB206/SQRT(Таблица_pr4[[#This Row],[Удельное сопротивление грунта, Ом·м]]))</f>
        <v/>
      </c>
      <c r="AE206" s="55"/>
      <c r="AF206" s="52"/>
      <c r="AG206" s="67"/>
      <c r="AI206" s="61" t="str">
        <f>IFERROR(IF(AF206-AF205&lt;=0,"",AH206/SQRT(Таблица_pr5[[#This Row],[Удельное сопротивление грунта, Ом·м]])),AH206/SQRT(Таблица_pr5[[#This Row],[Удельное сопротивление грунта, Ом·м]]))</f>
        <v/>
      </c>
      <c r="AK206" s="55"/>
      <c r="AL206" s="52"/>
      <c r="AM206" s="67"/>
      <c r="AN206" s="61" t="str">
        <f t="shared" si="21"/>
        <v/>
      </c>
      <c r="AO206" s="61" t="str">
        <f>IFERROR(IF(AL206-AL205&lt;=0,"",AN206/SQRT(Таблица_pr6[[#This Row],[Удельное сопротивление грунта, Ом·м]])),AN206/SQRT(Таблица_pr6[[#This Row],[Удельное сопротивление грунта, Ом·м]]))</f>
        <v/>
      </c>
      <c r="AQ206" s="55"/>
      <c r="AR206" s="52"/>
      <c r="AS206" s="67"/>
      <c r="AU206" s="61" t="str">
        <f>IFERROR(IF(AR206-AR205&lt;=0,"",AT206/SQRT(Таблица_pr7[[#This Row],[Удельное сопротивление грунта, Ом·м]])),AT206/SQRT(Таблица_pr7[[#This Row],[Удельное сопротивление грунта, Ом·м]]))</f>
        <v/>
      </c>
      <c r="AW206" s="55"/>
      <c r="AX206" s="52"/>
      <c r="AY206" s="67"/>
      <c r="AZ206" s="61" t="str">
        <f t="shared" si="22"/>
        <v/>
      </c>
      <c r="BA206" s="61" t="str">
        <f>IFERROR(IF(AX206-AX205&lt;=0,"",AZ206/SQRT(Таблица_pr8[[#This Row],[Удельное сопротивление грунта, Ом·м]])),AZ206/SQRT(Таблица_pr8[[#This Row],[Удельное сопротивление грунта, Ом·м]]))</f>
        <v/>
      </c>
      <c r="BC206" s="55"/>
      <c r="BD206" s="52"/>
      <c r="BE206" s="67"/>
      <c r="BG206" s="61" t="str">
        <f>IFERROR(IF(BD206-AX225&lt;=0,"",BF206/SQRT(Таблица_pr9[[#This Row],[Удельное сопротивление грунта, Ом·м]])),BF206/SQRT(Таблица_pr9[[#This Row],[Удельное сопротивление грунта, Ом·м]]))</f>
        <v/>
      </c>
      <c r="BI206" s="55"/>
      <c r="BJ206" s="52"/>
      <c r="BK206" s="67"/>
      <c r="BM206" s="61" t="str">
        <f>IFERROR(IF(BJ206-BD235&lt;=0,"",BL206/SQRT(Таблица_pr10[[#This Row],[Удельное сопротивление грунта, Ом·м]])),BL206/SQRT(Таблица_pr10[[#This Row],[Удельное сопротивление грунта, Ом·м]]))</f>
        <v/>
      </c>
    </row>
    <row r="207" spans="1:65">
      <c r="A207" s="64">
        <v>202</v>
      </c>
      <c r="B207" s="52">
        <v>516.70000000000459</v>
      </c>
      <c r="C207" s="67">
        <v>125</v>
      </c>
      <c r="D207" s="61">
        <f t="shared" si="19"/>
        <v>100.00000000002274</v>
      </c>
      <c r="E207" s="61">
        <f>IFERROR(IF(B207-B206&lt;=0,"",D207/SQRT(Таблица_pr[[#This Row],[Удельное сопротивление грунта, Ом·м]])),D207/SQRT(Таблица_pr[[#This Row],[Удельное сопротивление грунта, Ом·м]]))</f>
        <v>8.9442719100011914</v>
      </c>
      <c r="G207" s="189">
        <v>202</v>
      </c>
      <c r="H207" s="185">
        <v>516.70000000000459</v>
      </c>
      <c r="I207" s="186">
        <v>125</v>
      </c>
      <c r="J207" s="180">
        <f t="shared" si="20"/>
        <v>100.00000000002274</v>
      </c>
      <c r="K207" s="61">
        <f>IFERROR(IF(H207-H206&lt;=0,"",J207/SQRT(Таблица_pr1[[#This Row],[Удельное сопротивление грунта, Ом·м]])),J207/SQRT(Таблица_pr1[[#This Row],[Удельное сопротивление грунта, Ом·м]]))</f>
        <v>8.9442719100011914</v>
      </c>
      <c r="Q207" s="61" t="str">
        <f>IFERROR(IF(N207-N206&lt;=0,"",P207/SQRT(Таблица_pr2[[#This Row],[Удельное сопротивление грунта, Ом·м]])),P207/SQRT(Таблица_pr2[[#This Row],[Удельное сопротивление грунта, Ом·м]]))</f>
        <v/>
      </c>
      <c r="W207" s="61" t="str">
        <f>IFERROR(IF(T207-T206&lt;=0,"",V207/SQRT(Таблица_pr3[[#This Row],[Удельное сопротивление грунта, Ом·м]])),V207/SQRT(Таблица_pr3[[#This Row],[Удельное сопротивление грунта, Ом·м]]))</f>
        <v/>
      </c>
      <c r="Y207" s="55"/>
      <c r="Z207" s="52"/>
      <c r="AA207" s="67"/>
      <c r="AB207" s="61" t="str">
        <f t="shared" si="23"/>
        <v/>
      </c>
      <c r="AC207" s="61" t="str">
        <f>IFERROR(IF(Z207-Z206&lt;=0,"",AB207/SQRT(Таблица_pr4[[#This Row],[Удельное сопротивление грунта, Ом·м]])),AB207/SQRT(Таблица_pr4[[#This Row],[Удельное сопротивление грунта, Ом·м]]))</f>
        <v/>
      </c>
      <c r="AE207" s="55"/>
      <c r="AF207" s="52"/>
      <c r="AG207" s="67"/>
      <c r="AI207" s="61" t="str">
        <f>IFERROR(IF(AF207-AF206&lt;=0,"",AH207/SQRT(Таблица_pr5[[#This Row],[Удельное сопротивление грунта, Ом·м]])),AH207/SQRT(Таблица_pr5[[#This Row],[Удельное сопротивление грунта, Ом·м]]))</f>
        <v/>
      </c>
      <c r="AK207" s="55"/>
      <c r="AL207" s="52"/>
      <c r="AM207" s="67"/>
      <c r="AN207" s="61" t="str">
        <f t="shared" si="21"/>
        <v/>
      </c>
      <c r="AO207" s="61" t="str">
        <f>IFERROR(IF(AL207-AL206&lt;=0,"",AN207/SQRT(Таблица_pr6[[#This Row],[Удельное сопротивление грунта, Ом·м]])),AN207/SQRT(Таблица_pr6[[#This Row],[Удельное сопротивление грунта, Ом·м]]))</f>
        <v/>
      </c>
      <c r="AQ207" s="55"/>
      <c r="AR207" s="52"/>
      <c r="AS207" s="67"/>
      <c r="AU207" s="61" t="str">
        <f>IFERROR(IF(AR207-AR206&lt;=0,"",AT207/SQRT(Таблица_pr7[[#This Row],[Удельное сопротивление грунта, Ом·м]])),AT207/SQRT(Таблица_pr7[[#This Row],[Удельное сопротивление грунта, Ом·м]]))</f>
        <v/>
      </c>
      <c r="AW207" s="55"/>
      <c r="AX207" s="52"/>
      <c r="AY207" s="67"/>
      <c r="AZ207" s="61" t="str">
        <f t="shared" si="22"/>
        <v/>
      </c>
      <c r="BA207" s="61" t="str">
        <f>IFERROR(IF(AX207-AX206&lt;=0,"",AZ207/SQRT(Таблица_pr8[[#This Row],[Удельное сопротивление грунта, Ом·м]])),AZ207/SQRT(Таблица_pr8[[#This Row],[Удельное сопротивление грунта, Ом·м]]))</f>
        <v/>
      </c>
      <c r="BC207" s="55"/>
      <c r="BD207" s="52"/>
      <c r="BE207" s="67"/>
      <c r="BG207" s="61" t="str">
        <f>IFERROR(IF(BD207-AX226&lt;=0,"",BF207/SQRT(Таблица_pr9[[#This Row],[Удельное сопротивление грунта, Ом·м]])),BF207/SQRT(Таблица_pr9[[#This Row],[Удельное сопротивление грунта, Ом·м]]))</f>
        <v/>
      </c>
      <c r="BI207" s="55"/>
      <c r="BJ207" s="52"/>
      <c r="BK207" s="67"/>
      <c r="BM207" s="61" t="str">
        <f>IFERROR(IF(BJ207-BD236&lt;=0,"",BL207/SQRT(Таблица_pr10[[#This Row],[Удельное сопротивление грунта, Ом·м]])),BL207/SQRT(Таблица_pr10[[#This Row],[Удельное сопротивление грунта, Ом·м]]))</f>
        <v/>
      </c>
    </row>
    <row r="208" spans="1:65">
      <c r="A208" s="64">
        <v>203</v>
      </c>
      <c r="B208" s="52">
        <v>516.80000000000462</v>
      </c>
      <c r="C208" s="67">
        <v>134.30000000000001</v>
      </c>
      <c r="D208" s="61">
        <f t="shared" si="19"/>
        <v>100.00000000002274</v>
      </c>
      <c r="E208" s="61">
        <f>IFERROR(IF(B208-B207&lt;=0,"",D208/SQRT(Таблица_pr[[#This Row],[Удельное сопротивление грунта, Ом·м]])),D208/SQRT(Таблица_pr[[#This Row],[Удельное сопротивление грунта, Ом·м]]))</f>
        <v>8.6290302938623551</v>
      </c>
      <c r="G208" s="188">
        <v>203</v>
      </c>
      <c r="H208" s="184">
        <v>516.80000000000462</v>
      </c>
      <c r="I208" s="187">
        <v>134.30000000000001</v>
      </c>
      <c r="J208" s="181">
        <f t="shared" si="20"/>
        <v>100.00000000002274</v>
      </c>
      <c r="K208" s="61">
        <f>IFERROR(IF(H208-H207&lt;=0,"",J208/SQRT(Таблица_pr1[[#This Row],[Удельное сопротивление грунта, Ом·м]])),J208/SQRT(Таблица_pr1[[#This Row],[Удельное сопротивление грунта, Ом·м]]))</f>
        <v>8.6290302938623551</v>
      </c>
      <c r="Q208" s="61" t="str">
        <f>IFERROR(IF(N208-N207&lt;=0,"",P208/SQRT(Таблица_pr2[[#This Row],[Удельное сопротивление грунта, Ом·м]])),P208/SQRT(Таблица_pr2[[#This Row],[Удельное сопротивление грунта, Ом·м]]))</f>
        <v/>
      </c>
      <c r="W208" s="61" t="str">
        <f>IFERROR(IF(T208-T207&lt;=0,"",V208/SQRT(Таблица_pr3[[#This Row],[Удельное сопротивление грунта, Ом·м]])),V208/SQRT(Таблица_pr3[[#This Row],[Удельное сопротивление грунта, Ом·м]]))</f>
        <v/>
      </c>
      <c r="Y208" s="55"/>
      <c r="Z208" s="52"/>
      <c r="AA208" s="67"/>
      <c r="AB208" s="61" t="str">
        <f t="shared" si="23"/>
        <v/>
      </c>
      <c r="AC208" s="61" t="str">
        <f>IFERROR(IF(Z208-Z207&lt;=0,"",AB208/SQRT(Таблица_pr4[[#This Row],[Удельное сопротивление грунта, Ом·м]])),AB208/SQRT(Таблица_pr4[[#This Row],[Удельное сопротивление грунта, Ом·м]]))</f>
        <v/>
      </c>
      <c r="AE208" s="55"/>
      <c r="AF208" s="52"/>
      <c r="AG208" s="67"/>
      <c r="AI208" s="61" t="str">
        <f>IFERROR(IF(AF208-AF207&lt;=0,"",AH208/SQRT(Таблица_pr5[[#This Row],[Удельное сопротивление грунта, Ом·м]])),AH208/SQRT(Таблица_pr5[[#This Row],[Удельное сопротивление грунта, Ом·м]]))</f>
        <v/>
      </c>
      <c r="AK208" s="55"/>
      <c r="AL208" s="52"/>
      <c r="AM208" s="67"/>
      <c r="AN208" s="61" t="str">
        <f t="shared" si="21"/>
        <v/>
      </c>
      <c r="AO208" s="61" t="str">
        <f>IFERROR(IF(AL208-AL207&lt;=0,"",AN208/SQRT(Таблица_pr6[[#This Row],[Удельное сопротивление грунта, Ом·м]])),AN208/SQRT(Таблица_pr6[[#This Row],[Удельное сопротивление грунта, Ом·м]]))</f>
        <v/>
      </c>
      <c r="AQ208" s="55"/>
      <c r="AR208" s="52"/>
      <c r="AS208" s="67"/>
      <c r="AU208" s="61" t="str">
        <f>IFERROR(IF(AR208-AR207&lt;=0,"",AT208/SQRT(Таблица_pr7[[#This Row],[Удельное сопротивление грунта, Ом·м]])),AT208/SQRT(Таблица_pr7[[#This Row],[Удельное сопротивление грунта, Ом·м]]))</f>
        <v/>
      </c>
      <c r="AW208" s="55"/>
      <c r="AX208" s="52"/>
      <c r="AY208" s="67"/>
      <c r="AZ208" s="61" t="str">
        <f t="shared" si="22"/>
        <v/>
      </c>
      <c r="BA208" s="61" t="str">
        <f>IFERROR(IF(AX208-AX207&lt;=0,"",AZ208/SQRT(Таблица_pr8[[#This Row],[Удельное сопротивление грунта, Ом·м]])),AZ208/SQRT(Таблица_pr8[[#This Row],[Удельное сопротивление грунта, Ом·м]]))</f>
        <v/>
      </c>
      <c r="BC208" s="55"/>
      <c r="BD208" s="52"/>
      <c r="BE208" s="67"/>
      <c r="BG208" s="61" t="str">
        <f>IFERROR(IF(BD208-AX227&lt;=0,"",BF208/SQRT(Таблица_pr9[[#This Row],[Удельное сопротивление грунта, Ом·м]])),BF208/SQRT(Таблица_pr9[[#This Row],[Удельное сопротивление грунта, Ом·м]]))</f>
        <v/>
      </c>
      <c r="BI208" s="55"/>
      <c r="BJ208" s="52"/>
      <c r="BK208" s="67"/>
      <c r="BM208" s="61" t="str">
        <f>IFERROR(IF(BJ208-BD237&lt;=0,"",BL208/SQRT(Таблица_pr10[[#This Row],[Удельное сопротивление грунта, Ом·м]])),BL208/SQRT(Таблица_pr10[[#This Row],[Удельное сопротивление грунта, Ом·м]]))</f>
        <v/>
      </c>
    </row>
    <row r="209" spans="1:65">
      <c r="A209" s="64">
        <v>204</v>
      </c>
      <c r="B209" s="52">
        <v>516.90000000000464</v>
      </c>
      <c r="C209" s="67">
        <v>137.30000000000001</v>
      </c>
      <c r="D209" s="61">
        <f t="shared" si="19"/>
        <v>100.00000000002274</v>
      </c>
      <c r="E209" s="61">
        <f>IFERROR(IF(B209-B208&lt;=0,"",D209/SQRT(Таблица_pr[[#This Row],[Удельное сопротивление грунта, Ом·м]])),D209/SQRT(Таблица_pr[[#This Row],[Удельное сопротивление грунта, Ом·м]]))</f>
        <v>8.5342376311349497</v>
      </c>
      <c r="G209" s="189">
        <v>204</v>
      </c>
      <c r="H209" s="185">
        <v>516.90000000000464</v>
      </c>
      <c r="I209" s="186">
        <v>137.30000000000001</v>
      </c>
      <c r="J209" s="180">
        <f t="shared" si="20"/>
        <v>100.00000000002274</v>
      </c>
      <c r="K209" s="61">
        <f>IFERROR(IF(H209-H208&lt;=0,"",J209/SQRT(Таблица_pr1[[#This Row],[Удельное сопротивление грунта, Ом·м]])),J209/SQRT(Таблица_pr1[[#This Row],[Удельное сопротивление грунта, Ом·м]]))</f>
        <v>8.5342376311349497</v>
      </c>
      <c r="Q209" s="61" t="str">
        <f>IFERROR(IF(N209-N208&lt;=0,"",P209/SQRT(Таблица_pr2[[#This Row],[Удельное сопротивление грунта, Ом·м]])),P209/SQRT(Таблица_pr2[[#This Row],[Удельное сопротивление грунта, Ом·м]]))</f>
        <v/>
      </c>
      <c r="W209" s="61" t="str">
        <f>IFERROR(IF(T209-T208&lt;=0,"",V209/SQRT(Таблица_pr3[[#This Row],[Удельное сопротивление грунта, Ом·м]])),V209/SQRT(Таблица_pr3[[#This Row],[Удельное сопротивление грунта, Ом·м]]))</f>
        <v/>
      </c>
      <c r="Y209" s="55"/>
      <c r="Z209" s="52"/>
      <c r="AA209" s="67"/>
      <c r="AB209" s="61" t="str">
        <f t="shared" si="23"/>
        <v/>
      </c>
      <c r="AC209" s="61" t="str">
        <f>IFERROR(IF(Z209-Z208&lt;=0,"",AB209/SQRT(Таблица_pr4[[#This Row],[Удельное сопротивление грунта, Ом·м]])),AB209/SQRT(Таблица_pr4[[#This Row],[Удельное сопротивление грунта, Ом·м]]))</f>
        <v/>
      </c>
      <c r="AE209" s="55"/>
      <c r="AF209" s="52"/>
      <c r="AG209" s="67"/>
      <c r="AI209" s="61" t="str">
        <f>IFERROR(IF(AF209-AF208&lt;=0,"",AH209/SQRT(Таблица_pr5[[#This Row],[Удельное сопротивление грунта, Ом·м]])),AH209/SQRT(Таблица_pr5[[#This Row],[Удельное сопротивление грунта, Ом·м]]))</f>
        <v/>
      </c>
      <c r="AK209" s="55"/>
      <c r="AL209" s="52"/>
      <c r="AM209" s="67"/>
      <c r="AN209" s="61" t="str">
        <f t="shared" si="21"/>
        <v/>
      </c>
      <c r="AO209" s="61" t="str">
        <f>IFERROR(IF(AL209-AL208&lt;=0,"",AN209/SQRT(Таблица_pr6[[#This Row],[Удельное сопротивление грунта, Ом·м]])),AN209/SQRT(Таблица_pr6[[#This Row],[Удельное сопротивление грунта, Ом·м]]))</f>
        <v/>
      </c>
      <c r="AQ209" s="55"/>
      <c r="AR209" s="52"/>
      <c r="AS209" s="67"/>
      <c r="AU209" s="61" t="str">
        <f>IFERROR(IF(AR209-AR208&lt;=0,"",AT209/SQRT(Таблица_pr7[[#This Row],[Удельное сопротивление грунта, Ом·м]])),AT209/SQRT(Таблица_pr7[[#This Row],[Удельное сопротивление грунта, Ом·м]]))</f>
        <v/>
      </c>
      <c r="AW209" s="55"/>
      <c r="AX209" s="52"/>
      <c r="AY209" s="67"/>
      <c r="AZ209" s="61" t="str">
        <f t="shared" si="22"/>
        <v/>
      </c>
      <c r="BA209" s="61" t="str">
        <f>IFERROR(IF(AX209-AX208&lt;=0,"",AZ209/SQRT(Таблица_pr8[[#This Row],[Удельное сопротивление грунта, Ом·м]])),AZ209/SQRT(Таблица_pr8[[#This Row],[Удельное сопротивление грунта, Ом·м]]))</f>
        <v/>
      </c>
      <c r="BC209" s="55"/>
      <c r="BD209" s="52"/>
      <c r="BE209" s="67"/>
      <c r="BG209" s="61" t="str">
        <f>IFERROR(IF(BD209-AX228&lt;=0,"",BF209/SQRT(Таблица_pr9[[#This Row],[Удельное сопротивление грунта, Ом·м]])),BF209/SQRT(Таблица_pr9[[#This Row],[Удельное сопротивление грунта, Ом·м]]))</f>
        <v/>
      </c>
      <c r="BI209" s="55"/>
      <c r="BJ209" s="52"/>
      <c r="BK209" s="67"/>
      <c r="BM209" s="61" t="str">
        <f>IFERROR(IF(BJ209-BD238&lt;=0,"",BL209/SQRT(Таблица_pr10[[#This Row],[Удельное сопротивление грунта, Ом·м]])),BL209/SQRT(Таблица_pr10[[#This Row],[Удельное сопротивление грунта, Ом·м]]))</f>
        <v/>
      </c>
    </row>
    <row r="210" spans="1:65">
      <c r="A210" s="64">
        <v>205</v>
      </c>
      <c r="B210" s="52">
        <v>517.00000000000466</v>
      </c>
      <c r="C210" s="67">
        <v>131.6</v>
      </c>
      <c r="D210" s="61">
        <f t="shared" si="19"/>
        <v>100.00000000002274</v>
      </c>
      <c r="E210" s="61">
        <f>IFERROR(IF(B210-B209&lt;=0,"",D210/SQRT(Таблица_pr[[#This Row],[Удельное сопротивление грунта, Ом·м]])),D210/SQRT(Таблица_pr[[#This Row],[Удельное сопротивление грунта, Ом·м]]))</f>
        <v>8.7171005469320644</v>
      </c>
      <c r="G210" s="188">
        <v>205</v>
      </c>
      <c r="H210" s="184">
        <v>517.00000000000466</v>
      </c>
      <c r="I210" s="187">
        <v>131.6</v>
      </c>
      <c r="J210" s="181">
        <f t="shared" si="20"/>
        <v>100.00000000002274</v>
      </c>
      <c r="K210" s="61">
        <f>IFERROR(IF(H210-H209&lt;=0,"",J210/SQRT(Таблица_pr1[[#This Row],[Удельное сопротивление грунта, Ом·м]])),J210/SQRT(Таблица_pr1[[#This Row],[Удельное сопротивление грунта, Ом·м]]))</f>
        <v>8.7171005469320644</v>
      </c>
      <c r="Q210" s="61" t="str">
        <f>IFERROR(IF(N210-N209&lt;=0,"",P210/SQRT(Таблица_pr2[[#This Row],[Удельное сопротивление грунта, Ом·м]])),P210/SQRT(Таблица_pr2[[#This Row],[Удельное сопротивление грунта, Ом·м]]))</f>
        <v/>
      </c>
      <c r="W210" s="61" t="str">
        <f>IFERROR(IF(T210-T209&lt;=0,"",V210/SQRT(Таблица_pr3[[#This Row],[Удельное сопротивление грунта, Ом·м]])),V210/SQRT(Таблица_pr3[[#This Row],[Удельное сопротивление грунта, Ом·м]]))</f>
        <v/>
      </c>
      <c r="Y210" s="55"/>
      <c r="Z210" s="52"/>
      <c r="AA210" s="67"/>
      <c r="AB210" s="61" t="str">
        <f t="shared" si="23"/>
        <v/>
      </c>
      <c r="AC210" s="61" t="str">
        <f>IFERROR(IF(Z210-Z209&lt;=0,"",AB210/SQRT(Таблица_pr4[[#This Row],[Удельное сопротивление грунта, Ом·м]])),AB210/SQRT(Таблица_pr4[[#This Row],[Удельное сопротивление грунта, Ом·м]]))</f>
        <v/>
      </c>
      <c r="AE210" s="55"/>
      <c r="AF210" s="52"/>
      <c r="AG210" s="67"/>
      <c r="AI210" s="61" t="str">
        <f>IFERROR(IF(AF210-AF209&lt;=0,"",AH210/SQRT(Таблица_pr5[[#This Row],[Удельное сопротивление грунта, Ом·м]])),AH210/SQRT(Таблица_pr5[[#This Row],[Удельное сопротивление грунта, Ом·м]]))</f>
        <v/>
      </c>
      <c r="AK210" s="55"/>
      <c r="AL210" s="52"/>
      <c r="AM210" s="67"/>
      <c r="AN210" s="61" t="str">
        <f t="shared" si="21"/>
        <v/>
      </c>
      <c r="AO210" s="61" t="str">
        <f>IFERROR(IF(AL210-AL209&lt;=0,"",AN210/SQRT(Таблица_pr6[[#This Row],[Удельное сопротивление грунта, Ом·м]])),AN210/SQRT(Таблица_pr6[[#This Row],[Удельное сопротивление грунта, Ом·м]]))</f>
        <v/>
      </c>
      <c r="AQ210" s="55"/>
      <c r="AR210" s="52"/>
      <c r="AS210" s="67"/>
      <c r="AU210" s="61" t="str">
        <f>IFERROR(IF(AR210-AR209&lt;=0,"",AT210/SQRT(Таблица_pr7[[#This Row],[Удельное сопротивление грунта, Ом·м]])),AT210/SQRT(Таблица_pr7[[#This Row],[Удельное сопротивление грунта, Ом·м]]))</f>
        <v/>
      </c>
      <c r="AW210" s="55"/>
      <c r="AX210" s="52"/>
      <c r="AY210" s="67"/>
      <c r="AZ210" s="61" t="str">
        <f t="shared" si="22"/>
        <v/>
      </c>
      <c r="BA210" s="61" t="str">
        <f>IFERROR(IF(AX210-AX209&lt;=0,"",AZ210/SQRT(Таблица_pr8[[#This Row],[Удельное сопротивление грунта, Ом·м]])),AZ210/SQRT(Таблица_pr8[[#This Row],[Удельное сопротивление грунта, Ом·м]]))</f>
        <v/>
      </c>
      <c r="BC210" s="55"/>
      <c r="BD210" s="52"/>
      <c r="BE210" s="67"/>
      <c r="BG210" s="61" t="str">
        <f>IFERROR(IF(BD210-AX229&lt;=0,"",BF210/SQRT(Таблица_pr9[[#This Row],[Удельное сопротивление грунта, Ом·м]])),BF210/SQRT(Таблица_pr9[[#This Row],[Удельное сопротивление грунта, Ом·м]]))</f>
        <v/>
      </c>
      <c r="BI210" s="55"/>
      <c r="BJ210" s="52"/>
      <c r="BK210" s="67"/>
      <c r="BM210" s="61" t="str">
        <f>IFERROR(IF(BJ210-BD239&lt;=0,"",BL210/SQRT(Таблица_pr10[[#This Row],[Удельное сопротивление грунта, Ом·м]])),BL210/SQRT(Таблица_pr10[[#This Row],[Удельное сопротивление грунта, Ом·м]]))</f>
        <v/>
      </c>
    </row>
    <row r="211" spans="1:65">
      <c r="A211" s="64">
        <v>206</v>
      </c>
      <c r="B211" s="52">
        <v>517.10000000000468</v>
      </c>
      <c r="C211" s="67">
        <v>127</v>
      </c>
      <c r="D211" s="61">
        <f t="shared" si="19"/>
        <v>100.00000000002274</v>
      </c>
      <c r="E211" s="61">
        <f>IFERROR(IF(B211-B210&lt;=0,"",D211/SQRT(Таблица_pr[[#This Row],[Удельное сопротивление грунта, Ом·м]])),D211/SQRT(Таблица_pr[[#This Row],[Удельное сопротивление грунта, Ом·м]]))</f>
        <v>8.8735650941631565</v>
      </c>
      <c r="G211" s="189">
        <v>206</v>
      </c>
      <c r="H211" s="185">
        <v>517.10000000000468</v>
      </c>
      <c r="I211" s="186">
        <v>127</v>
      </c>
      <c r="J211" s="180">
        <f t="shared" si="20"/>
        <v>100.00000000002274</v>
      </c>
      <c r="K211" s="61">
        <f>IFERROR(IF(H211-H210&lt;=0,"",J211/SQRT(Таблица_pr1[[#This Row],[Удельное сопротивление грунта, Ом·м]])),J211/SQRT(Таблица_pr1[[#This Row],[Удельное сопротивление грунта, Ом·м]]))</f>
        <v>8.8735650941631565</v>
      </c>
      <c r="Q211" s="61" t="str">
        <f>IFERROR(IF(N211-N210&lt;=0,"",P211/SQRT(Таблица_pr2[[#This Row],[Удельное сопротивление грунта, Ом·м]])),P211/SQRT(Таблица_pr2[[#This Row],[Удельное сопротивление грунта, Ом·м]]))</f>
        <v/>
      </c>
      <c r="W211" s="61" t="str">
        <f>IFERROR(IF(T211-T210&lt;=0,"",V211/SQRT(Таблица_pr3[[#This Row],[Удельное сопротивление грунта, Ом·м]])),V211/SQRT(Таблица_pr3[[#This Row],[Удельное сопротивление грунта, Ом·м]]))</f>
        <v/>
      </c>
      <c r="Y211" s="55"/>
      <c r="Z211" s="52"/>
      <c r="AA211" s="67"/>
      <c r="AB211" s="61" t="str">
        <f t="shared" si="23"/>
        <v/>
      </c>
      <c r="AC211" s="61" t="str">
        <f>IFERROR(IF(Z211-Z210&lt;=0,"",AB211/SQRT(Таблица_pr4[[#This Row],[Удельное сопротивление грунта, Ом·м]])),AB211/SQRT(Таблица_pr4[[#This Row],[Удельное сопротивление грунта, Ом·м]]))</f>
        <v/>
      </c>
      <c r="AE211" s="55"/>
      <c r="AF211" s="52"/>
      <c r="AG211" s="67"/>
      <c r="AI211" s="61" t="str">
        <f>IFERROR(IF(AF211-AF210&lt;=0,"",AH211/SQRT(Таблица_pr5[[#This Row],[Удельное сопротивление грунта, Ом·м]])),AH211/SQRT(Таблица_pr5[[#This Row],[Удельное сопротивление грунта, Ом·м]]))</f>
        <v/>
      </c>
      <c r="AK211" s="55"/>
      <c r="AL211" s="52"/>
      <c r="AM211" s="67"/>
      <c r="AN211" s="61" t="str">
        <f t="shared" si="21"/>
        <v/>
      </c>
      <c r="AO211" s="61" t="str">
        <f>IFERROR(IF(AL211-AL210&lt;=0,"",AN211/SQRT(Таблица_pr6[[#This Row],[Удельное сопротивление грунта, Ом·м]])),AN211/SQRT(Таблица_pr6[[#This Row],[Удельное сопротивление грунта, Ом·м]]))</f>
        <v/>
      </c>
      <c r="AQ211" s="55"/>
      <c r="AR211" s="52"/>
      <c r="AS211" s="67"/>
      <c r="AU211" s="61" t="str">
        <f>IFERROR(IF(AR211-AR210&lt;=0,"",AT211/SQRT(Таблица_pr7[[#This Row],[Удельное сопротивление грунта, Ом·м]])),AT211/SQRT(Таблица_pr7[[#This Row],[Удельное сопротивление грунта, Ом·м]]))</f>
        <v/>
      </c>
      <c r="AW211" s="55"/>
      <c r="AX211" s="52"/>
      <c r="AY211" s="67"/>
      <c r="AZ211" s="61" t="str">
        <f t="shared" si="22"/>
        <v/>
      </c>
      <c r="BA211" s="61" t="str">
        <f>IFERROR(IF(AX211-AX210&lt;=0,"",AZ211/SQRT(Таблица_pr8[[#This Row],[Удельное сопротивление грунта, Ом·м]])),AZ211/SQRT(Таблица_pr8[[#This Row],[Удельное сопротивление грунта, Ом·м]]))</f>
        <v/>
      </c>
      <c r="BC211" s="55"/>
      <c r="BD211" s="52"/>
      <c r="BE211" s="67"/>
      <c r="BG211" s="61" t="str">
        <f>IFERROR(IF(BD211-AX230&lt;=0,"",BF211/SQRT(Таблица_pr9[[#This Row],[Удельное сопротивление грунта, Ом·м]])),BF211/SQRT(Таблица_pr9[[#This Row],[Удельное сопротивление грунта, Ом·м]]))</f>
        <v/>
      </c>
      <c r="BI211" s="55"/>
      <c r="BJ211" s="52"/>
      <c r="BK211" s="67"/>
      <c r="BM211" s="61" t="str">
        <f>IFERROR(IF(BJ211-BD240&lt;=0,"",BL211/SQRT(Таблица_pr10[[#This Row],[Удельное сопротивление грунта, Ом·м]])),BL211/SQRT(Таблица_pr10[[#This Row],[Удельное сопротивление грунта, Ом·м]]))</f>
        <v/>
      </c>
    </row>
    <row r="212" spans="1:65">
      <c r="A212" s="64">
        <v>207</v>
      </c>
      <c r="B212" s="52">
        <v>517.20000000000471</v>
      </c>
      <c r="C212" s="67">
        <v>124.7</v>
      </c>
      <c r="D212" s="61">
        <f t="shared" si="19"/>
        <v>100.00000000002274</v>
      </c>
      <c r="E212" s="61">
        <f>IFERROR(IF(B212-B211&lt;=0,"",D212/SQRT(Таблица_pr[[#This Row],[Удельное сопротивление грунта, Ом·м]])),D212/SQRT(Таблица_pr[[#This Row],[Удельное сопротивление грунта, Ом·м]]))</f>
        <v>8.955024394641093</v>
      </c>
      <c r="G212" s="188">
        <v>207</v>
      </c>
      <c r="H212" s="184">
        <v>517.20000000000471</v>
      </c>
      <c r="I212" s="187">
        <v>124.7</v>
      </c>
      <c r="J212" s="181">
        <f t="shared" si="20"/>
        <v>100.00000000002274</v>
      </c>
      <c r="K212" s="61">
        <f>IFERROR(IF(H212-H211&lt;=0,"",J212/SQRT(Таблица_pr1[[#This Row],[Удельное сопротивление грунта, Ом·м]])),J212/SQRT(Таблица_pr1[[#This Row],[Удельное сопротивление грунта, Ом·м]]))</f>
        <v>8.955024394641093</v>
      </c>
      <c r="Q212" s="61" t="str">
        <f>IFERROR(IF(N212-N211&lt;=0,"",P212/SQRT(Таблица_pr2[[#This Row],[Удельное сопротивление грунта, Ом·м]])),P212/SQRT(Таблица_pr2[[#This Row],[Удельное сопротивление грунта, Ом·м]]))</f>
        <v/>
      </c>
      <c r="W212" s="61" t="str">
        <f>IFERROR(IF(T212-T211&lt;=0,"",V212/SQRT(Таблица_pr3[[#This Row],[Удельное сопротивление грунта, Ом·м]])),V212/SQRT(Таблица_pr3[[#This Row],[Удельное сопротивление грунта, Ом·м]]))</f>
        <v/>
      </c>
      <c r="Y212" s="55"/>
      <c r="Z212" s="52"/>
      <c r="AA212" s="67"/>
      <c r="AB212" s="61" t="str">
        <f t="shared" si="23"/>
        <v/>
      </c>
      <c r="AC212" s="61" t="str">
        <f>IFERROR(IF(Z212-Z211&lt;=0,"",AB212/SQRT(Таблица_pr4[[#This Row],[Удельное сопротивление грунта, Ом·м]])),AB212/SQRT(Таблица_pr4[[#This Row],[Удельное сопротивление грунта, Ом·м]]))</f>
        <v/>
      </c>
      <c r="AE212" s="55"/>
      <c r="AF212" s="52"/>
      <c r="AG212" s="67"/>
      <c r="AI212" s="61" t="str">
        <f>IFERROR(IF(AF212-AF211&lt;=0,"",AH212/SQRT(Таблица_pr5[[#This Row],[Удельное сопротивление грунта, Ом·м]])),AH212/SQRT(Таблица_pr5[[#This Row],[Удельное сопротивление грунта, Ом·м]]))</f>
        <v/>
      </c>
      <c r="AK212" s="55"/>
      <c r="AL212" s="52"/>
      <c r="AM212" s="67"/>
      <c r="AN212" s="61" t="str">
        <f t="shared" si="21"/>
        <v/>
      </c>
      <c r="AO212" s="61" t="str">
        <f>IFERROR(IF(AL212-AL211&lt;=0,"",AN212/SQRT(Таблица_pr6[[#This Row],[Удельное сопротивление грунта, Ом·м]])),AN212/SQRT(Таблица_pr6[[#This Row],[Удельное сопротивление грунта, Ом·м]]))</f>
        <v/>
      </c>
      <c r="AQ212" s="55"/>
      <c r="AR212" s="52"/>
      <c r="AS212" s="67"/>
      <c r="AU212" s="61" t="str">
        <f>IFERROR(IF(AR212-AR211&lt;=0,"",AT212/SQRT(Таблица_pr7[[#This Row],[Удельное сопротивление грунта, Ом·м]])),AT212/SQRT(Таблица_pr7[[#This Row],[Удельное сопротивление грунта, Ом·м]]))</f>
        <v/>
      </c>
      <c r="AW212" s="55"/>
      <c r="AX212" s="52"/>
      <c r="AY212" s="67"/>
      <c r="AZ212" s="61" t="str">
        <f t="shared" si="22"/>
        <v/>
      </c>
      <c r="BA212" s="61" t="str">
        <f>IFERROR(IF(AX212-AX211&lt;=0,"",AZ212/SQRT(Таблица_pr8[[#This Row],[Удельное сопротивление грунта, Ом·м]])),AZ212/SQRT(Таблица_pr8[[#This Row],[Удельное сопротивление грунта, Ом·м]]))</f>
        <v/>
      </c>
      <c r="BC212" s="55"/>
      <c r="BD212" s="52"/>
      <c r="BE212" s="67"/>
      <c r="BG212" s="61" t="str">
        <f>IFERROR(IF(BD212-AX231&lt;=0,"",BF212/SQRT(Таблица_pr9[[#This Row],[Удельное сопротивление грунта, Ом·м]])),BF212/SQRT(Таблица_pr9[[#This Row],[Удельное сопротивление грунта, Ом·м]]))</f>
        <v/>
      </c>
      <c r="BI212" s="55"/>
      <c r="BJ212" s="52"/>
      <c r="BK212" s="67"/>
      <c r="BM212" s="61" t="str">
        <f>IFERROR(IF(BJ212-BD241&lt;=0,"",BL212/SQRT(Таблица_pr10[[#This Row],[Удельное сопротивление грунта, Ом·м]])),BL212/SQRT(Таблица_pr10[[#This Row],[Удельное сопротивление грунта, Ом·м]]))</f>
        <v/>
      </c>
    </row>
    <row r="213" spans="1:65">
      <c r="A213" s="64">
        <v>208</v>
      </c>
      <c r="B213" s="52">
        <v>517.30000000000473</v>
      </c>
      <c r="C213" s="67">
        <v>132.4</v>
      </c>
      <c r="D213" s="61">
        <f t="shared" si="19"/>
        <v>100.00000000002274</v>
      </c>
      <c r="E213" s="61">
        <f>IFERROR(IF(B213-B212&lt;=0,"",D213/SQRT(Таблица_pr[[#This Row],[Удельное сопротивление грунта, Ом·м]])),D213/SQRT(Таблица_pr[[#This Row],[Удельное сопротивление грунта, Ом·м]]))</f>
        <v>8.6907249931394528</v>
      </c>
      <c r="G213" s="189">
        <v>208</v>
      </c>
      <c r="H213" s="185">
        <v>517.30000000000473</v>
      </c>
      <c r="I213" s="186">
        <v>132.4</v>
      </c>
      <c r="J213" s="180">
        <f t="shared" si="20"/>
        <v>100.00000000002274</v>
      </c>
      <c r="K213" s="61">
        <f>IFERROR(IF(H213-H212&lt;=0,"",J213/SQRT(Таблица_pr1[[#This Row],[Удельное сопротивление грунта, Ом·м]])),J213/SQRT(Таблица_pr1[[#This Row],[Удельное сопротивление грунта, Ом·м]]))</f>
        <v>8.6907249931394528</v>
      </c>
      <c r="Q213" s="61" t="str">
        <f>IFERROR(IF(N213-N212&lt;=0,"",P213/SQRT(Таблица_pr2[[#This Row],[Удельное сопротивление грунта, Ом·м]])),P213/SQRT(Таблица_pr2[[#This Row],[Удельное сопротивление грунта, Ом·м]]))</f>
        <v/>
      </c>
      <c r="W213" s="61" t="str">
        <f>IFERROR(IF(T213-T212&lt;=0,"",V213/SQRT(Таблица_pr3[[#This Row],[Удельное сопротивление грунта, Ом·м]])),V213/SQRT(Таблица_pr3[[#This Row],[Удельное сопротивление грунта, Ом·м]]))</f>
        <v/>
      </c>
      <c r="Y213" s="55"/>
      <c r="Z213" s="52"/>
      <c r="AA213" s="67"/>
      <c r="AB213" s="61" t="str">
        <f t="shared" si="23"/>
        <v/>
      </c>
      <c r="AC213" s="61" t="str">
        <f>IFERROR(IF(Z213-Z212&lt;=0,"",AB213/SQRT(Таблица_pr4[[#This Row],[Удельное сопротивление грунта, Ом·м]])),AB213/SQRT(Таблица_pr4[[#This Row],[Удельное сопротивление грунта, Ом·м]]))</f>
        <v/>
      </c>
      <c r="AE213" s="55"/>
      <c r="AF213" s="52"/>
      <c r="AG213" s="67"/>
      <c r="AI213" s="61" t="str">
        <f>IFERROR(IF(AF213-AF212&lt;=0,"",AH213/SQRT(Таблица_pr5[[#This Row],[Удельное сопротивление грунта, Ом·м]])),AH213/SQRT(Таблица_pr5[[#This Row],[Удельное сопротивление грунта, Ом·м]]))</f>
        <v/>
      </c>
      <c r="AK213" s="55"/>
      <c r="AL213" s="52"/>
      <c r="AM213" s="67"/>
      <c r="AN213" s="61" t="str">
        <f t="shared" si="21"/>
        <v/>
      </c>
      <c r="AO213" s="61" t="str">
        <f>IFERROR(IF(AL213-AL212&lt;=0,"",AN213/SQRT(Таблица_pr6[[#This Row],[Удельное сопротивление грунта, Ом·м]])),AN213/SQRT(Таблица_pr6[[#This Row],[Удельное сопротивление грунта, Ом·м]]))</f>
        <v/>
      </c>
      <c r="AQ213" s="55"/>
      <c r="AR213" s="52"/>
      <c r="AS213" s="67"/>
      <c r="AU213" s="61" t="str">
        <f>IFERROR(IF(AR213-AR212&lt;=0,"",AT213/SQRT(Таблица_pr7[[#This Row],[Удельное сопротивление грунта, Ом·м]])),AT213/SQRT(Таблица_pr7[[#This Row],[Удельное сопротивление грунта, Ом·м]]))</f>
        <v/>
      </c>
      <c r="AW213" s="55"/>
      <c r="AX213" s="52"/>
      <c r="AY213" s="67"/>
      <c r="AZ213" s="61" t="str">
        <f t="shared" si="22"/>
        <v/>
      </c>
      <c r="BA213" s="61" t="str">
        <f>IFERROR(IF(AX213-AX212&lt;=0,"",AZ213/SQRT(Таблица_pr8[[#This Row],[Удельное сопротивление грунта, Ом·м]])),AZ213/SQRT(Таблица_pr8[[#This Row],[Удельное сопротивление грунта, Ом·м]]))</f>
        <v/>
      </c>
      <c r="BC213" s="55"/>
      <c r="BD213" s="52"/>
      <c r="BE213" s="67"/>
      <c r="BG213" s="61" t="str">
        <f>IFERROR(IF(BD213-AX232&lt;=0,"",BF213/SQRT(Таблица_pr9[[#This Row],[Удельное сопротивление грунта, Ом·м]])),BF213/SQRT(Таблица_pr9[[#This Row],[Удельное сопротивление грунта, Ом·м]]))</f>
        <v/>
      </c>
      <c r="BI213" s="55"/>
      <c r="BJ213" s="52"/>
      <c r="BK213" s="67"/>
      <c r="BM213" s="61" t="str">
        <f>IFERROR(IF(BJ213-BD242&lt;=0,"",BL213/SQRT(Таблица_pr10[[#This Row],[Удельное сопротивление грунта, Ом·м]])),BL213/SQRT(Таблица_pr10[[#This Row],[Удельное сопротивление грунта, Ом·м]]))</f>
        <v/>
      </c>
    </row>
    <row r="214" spans="1:65">
      <c r="A214" s="64">
        <v>209</v>
      </c>
      <c r="B214" s="52">
        <v>517.40000000000475</v>
      </c>
      <c r="C214" s="67">
        <v>116.1</v>
      </c>
      <c r="D214" s="61">
        <f t="shared" si="19"/>
        <v>100.00000000002274</v>
      </c>
      <c r="E214" s="61">
        <f>IFERROR(IF(B214-B213&lt;=0,"",D214/SQRT(Таблица_pr[[#This Row],[Удельное сопротивление грунта, Ом·м]])),D214/SQRT(Таблица_pr[[#This Row],[Удельное сопротивление грунта, Ом·м]]))</f>
        <v>9.2807674398305195</v>
      </c>
      <c r="G214" s="188">
        <v>209</v>
      </c>
      <c r="H214" s="184">
        <v>517.40000000000475</v>
      </c>
      <c r="I214" s="187">
        <v>116.1</v>
      </c>
      <c r="J214" s="181">
        <f t="shared" si="20"/>
        <v>100.00000000002274</v>
      </c>
      <c r="K214" s="61">
        <f>IFERROR(IF(H214-H213&lt;=0,"",J214/SQRT(Таблица_pr1[[#This Row],[Удельное сопротивление грунта, Ом·м]])),J214/SQRT(Таблица_pr1[[#This Row],[Удельное сопротивление грунта, Ом·м]]))</f>
        <v>9.2807674398305195</v>
      </c>
      <c r="Q214" s="61" t="str">
        <f>IFERROR(IF(N214-N213&lt;=0,"",P214/SQRT(Таблица_pr2[[#This Row],[Удельное сопротивление грунта, Ом·м]])),P214/SQRT(Таблица_pr2[[#This Row],[Удельное сопротивление грунта, Ом·м]]))</f>
        <v/>
      </c>
      <c r="W214" s="61" t="str">
        <f>IFERROR(IF(T214-T213&lt;=0,"",V214/SQRT(Таблица_pr3[[#This Row],[Удельное сопротивление грунта, Ом·м]])),V214/SQRT(Таблица_pr3[[#This Row],[Удельное сопротивление грунта, Ом·м]]))</f>
        <v/>
      </c>
      <c r="Y214" s="55"/>
      <c r="Z214" s="52"/>
      <c r="AA214" s="67"/>
      <c r="AB214" s="61" t="str">
        <f t="shared" si="23"/>
        <v/>
      </c>
      <c r="AC214" s="61" t="str">
        <f>IFERROR(IF(Z214-Z213&lt;=0,"",AB214/SQRT(Таблица_pr4[[#This Row],[Удельное сопротивление грунта, Ом·м]])),AB214/SQRT(Таблица_pr4[[#This Row],[Удельное сопротивление грунта, Ом·м]]))</f>
        <v/>
      </c>
      <c r="AE214" s="55"/>
      <c r="AF214" s="52"/>
      <c r="AG214" s="67"/>
      <c r="AI214" s="61" t="str">
        <f>IFERROR(IF(AF214-AF213&lt;=0,"",AH214/SQRT(Таблица_pr5[[#This Row],[Удельное сопротивление грунта, Ом·м]])),AH214/SQRT(Таблица_pr5[[#This Row],[Удельное сопротивление грунта, Ом·м]]))</f>
        <v/>
      </c>
      <c r="AK214" s="55"/>
      <c r="AL214" s="52"/>
      <c r="AM214" s="67"/>
      <c r="AN214" s="61" t="str">
        <f t="shared" si="21"/>
        <v/>
      </c>
      <c r="AO214" s="61" t="str">
        <f>IFERROR(IF(AL214-AL213&lt;=0,"",AN214/SQRT(Таблица_pr6[[#This Row],[Удельное сопротивление грунта, Ом·м]])),AN214/SQRT(Таблица_pr6[[#This Row],[Удельное сопротивление грунта, Ом·м]]))</f>
        <v/>
      </c>
      <c r="AQ214" s="55"/>
      <c r="AR214" s="52"/>
      <c r="AS214" s="67"/>
      <c r="AU214" s="61" t="str">
        <f>IFERROR(IF(AR214-AR213&lt;=0,"",AT214/SQRT(Таблица_pr7[[#This Row],[Удельное сопротивление грунта, Ом·м]])),AT214/SQRT(Таблица_pr7[[#This Row],[Удельное сопротивление грунта, Ом·м]]))</f>
        <v/>
      </c>
      <c r="AW214" s="55"/>
      <c r="AX214" s="52"/>
      <c r="AY214" s="67"/>
      <c r="AZ214" s="61" t="str">
        <f t="shared" si="22"/>
        <v/>
      </c>
      <c r="BA214" s="61" t="str">
        <f>IFERROR(IF(AX214-AX213&lt;=0,"",AZ214/SQRT(Таблица_pr8[[#This Row],[Удельное сопротивление грунта, Ом·м]])),AZ214/SQRT(Таблица_pr8[[#This Row],[Удельное сопротивление грунта, Ом·м]]))</f>
        <v/>
      </c>
      <c r="BC214" s="55"/>
      <c r="BD214" s="52"/>
      <c r="BE214" s="67"/>
      <c r="BG214" s="61" t="str">
        <f>IFERROR(IF(BD214-AX233&lt;=0,"",BF214/SQRT(Таблица_pr9[[#This Row],[Удельное сопротивление грунта, Ом·м]])),BF214/SQRT(Таблица_pr9[[#This Row],[Удельное сопротивление грунта, Ом·м]]))</f>
        <v/>
      </c>
      <c r="BI214" s="55"/>
      <c r="BJ214" s="52"/>
      <c r="BK214" s="67"/>
      <c r="BM214" s="61" t="str">
        <f>IFERROR(IF(BJ214-BD243&lt;=0,"",BL214/SQRT(Таблица_pr10[[#This Row],[Удельное сопротивление грунта, Ом·м]])),BL214/SQRT(Таблица_pr10[[#This Row],[Удельное сопротивление грунта, Ом·м]]))</f>
        <v/>
      </c>
    </row>
    <row r="215" spans="1:65">
      <c r="A215" s="64">
        <v>210</v>
      </c>
      <c r="B215" s="52">
        <v>517.50000000000477</v>
      </c>
      <c r="C215" s="67">
        <v>112.9</v>
      </c>
      <c r="D215" s="61">
        <f t="shared" si="19"/>
        <v>100.00000000002274</v>
      </c>
      <c r="E215" s="61">
        <f>IFERROR(IF(B215-B214&lt;=0,"",D215/SQRT(Таблица_pr[[#This Row],[Удельное сопротивление грунта, Ом·м]])),D215/SQRT(Таблица_pr[[#This Row],[Удельное сопротивление грунта, Ом·м]]))</f>
        <v>9.4113739303047037</v>
      </c>
      <c r="G215" s="189">
        <v>210</v>
      </c>
      <c r="H215" s="185">
        <v>517.50000000000477</v>
      </c>
      <c r="I215" s="186">
        <v>112.9</v>
      </c>
      <c r="J215" s="180">
        <f t="shared" si="20"/>
        <v>100.00000000002274</v>
      </c>
      <c r="K215" s="61">
        <f>IFERROR(IF(H215-H214&lt;=0,"",J215/SQRT(Таблица_pr1[[#This Row],[Удельное сопротивление грунта, Ом·м]])),J215/SQRT(Таблица_pr1[[#This Row],[Удельное сопротивление грунта, Ом·м]]))</f>
        <v>9.4113739303047037</v>
      </c>
      <c r="Q215" s="61" t="str">
        <f>IFERROR(IF(N215-N214&lt;=0,"",P215/SQRT(Таблица_pr2[[#This Row],[Удельное сопротивление грунта, Ом·м]])),P215/SQRT(Таблица_pr2[[#This Row],[Удельное сопротивление грунта, Ом·м]]))</f>
        <v/>
      </c>
      <c r="W215" s="61" t="str">
        <f>IFERROR(IF(T215-T214&lt;=0,"",V215/SQRT(Таблица_pr3[[#This Row],[Удельное сопротивление грунта, Ом·м]])),V215/SQRT(Таблица_pr3[[#This Row],[Удельное сопротивление грунта, Ом·м]]))</f>
        <v/>
      </c>
      <c r="Y215" s="55"/>
      <c r="Z215" s="52"/>
      <c r="AA215" s="67"/>
      <c r="AB215" s="61" t="str">
        <f t="shared" si="23"/>
        <v/>
      </c>
      <c r="AC215" s="61" t="str">
        <f>IFERROR(IF(Z215-Z214&lt;=0,"",AB215/SQRT(Таблица_pr4[[#This Row],[Удельное сопротивление грунта, Ом·м]])),AB215/SQRT(Таблица_pr4[[#This Row],[Удельное сопротивление грунта, Ом·м]]))</f>
        <v/>
      </c>
      <c r="AE215" s="55"/>
      <c r="AF215" s="52"/>
      <c r="AG215" s="67"/>
      <c r="AI215" s="61" t="str">
        <f>IFERROR(IF(AF215-AF214&lt;=0,"",AH215/SQRT(Таблица_pr5[[#This Row],[Удельное сопротивление грунта, Ом·м]])),AH215/SQRT(Таблица_pr5[[#This Row],[Удельное сопротивление грунта, Ом·м]]))</f>
        <v/>
      </c>
      <c r="AK215" s="55"/>
      <c r="AL215" s="52"/>
      <c r="AM215" s="67"/>
      <c r="AN215" s="61" t="str">
        <f t="shared" si="21"/>
        <v/>
      </c>
      <c r="AO215" s="61" t="str">
        <f>IFERROR(IF(AL215-AL214&lt;=0,"",AN215/SQRT(Таблица_pr6[[#This Row],[Удельное сопротивление грунта, Ом·м]])),AN215/SQRT(Таблица_pr6[[#This Row],[Удельное сопротивление грунта, Ом·м]]))</f>
        <v/>
      </c>
      <c r="AQ215" s="55"/>
      <c r="AR215" s="52"/>
      <c r="AS215" s="67"/>
      <c r="AU215" s="61" t="str">
        <f>IFERROR(IF(AR215-AR214&lt;=0,"",AT215/SQRT(Таблица_pr7[[#This Row],[Удельное сопротивление грунта, Ом·м]])),AT215/SQRT(Таблица_pr7[[#This Row],[Удельное сопротивление грунта, Ом·м]]))</f>
        <v/>
      </c>
      <c r="AW215" s="55"/>
      <c r="AX215" s="52"/>
      <c r="AY215" s="67"/>
      <c r="AZ215" s="61" t="str">
        <f t="shared" si="22"/>
        <v/>
      </c>
      <c r="BA215" s="61" t="str">
        <f>IFERROR(IF(AX215-AX214&lt;=0,"",AZ215/SQRT(Таблица_pr8[[#This Row],[Удельное сопротивление грунта, Ом·м]])),AZ215/SQRT(Таблица_pr8[[#This Row],[Удельное сопротивление грунта, Ом·м]]))</f>
        <v/>
      </c>
      <c r="BC215" s="55"/>
      <c r="BD215" s="52"/>
      <c r="BE215" s="67"/>
      <c r="BG215" s="61" t="str">
        <f>IFERROR(IF(BD215-AX234&lt;=0,"",BF215/SQRT(Таблица_pr9[[#This Row],[Удельное сопротивление грунта, Ом·м]])),BF215/SQRT(Таблица_pr9[[#This Row],[Удельное сопротивление грунта, Ом·м]]))</f>
        <v/>
      </c>
      <c r="BI215" s="55"/>
      <c r="BJ215" s="52"/>
      <c r="BK215" s="67"/>
      <c r="BM215" s="61" t="str">
        <f>IFERROR(IF(BJ215-BD244&lt;=0,"",BL215/SQRT(Таблица_pr10[[#This Row],[Удельное сопротивление грунта, Ом·м]])),BL215/SQRT(Таблица_pr10[[#This Row],[Удельное сопротивление грунта, Ом·м]]))</f>
        <v/>
      </c>
    </row>
    <row r="216" spans="1:65">
      <c r="A216" s="64">
        <v>211</v>
      </c>
      <c r="B216" s="52">
        <v>517.6000000000048</v>
      </c>
      <c r="C216" s="67">
        <v>101.5</v>
      </c>
      <c r="D216" s="61">
        <f t="shared" si="19"/>
        <v>100.00000000002274</v>
      </c>
      <c r="E216" s="61">
        <f>IFERROR(IF(B216-B215&lt;=0,"",D216/SQRT(Таблица_pr[[#This Row],[Удельное сопротивление грунта, Ом·м]])),D216/SQRT(Таблица_pr[[#This Row],[Удельное сопротивление грунта, Ом·м]]))</f>
        <v>9.9258333397115592</v>
      </c>
      <c r="G216" s="188">
        <v>211</v>
      </c>
      <c r="H216" s="184">
        <v>517.6000000000048</v>
      </c>
      <c r="I216" s="187">
        <v>101.5</v>
      </c>
      <c r="J216" s="181">
        <f t="shared" si="20"/>
        <v>100.00000000002274</v>
      </c>
      <c r="K216" s="61">
        <f>IFERROR(IF(H216-H215&lt;=0,"",J216/SQRT(Таблица_pr1[[#This Row],[Удельное сопротивление грунта, Ом·м]])),J216/SQRT(Таблица_pr1[[#This Row],[Удельное сопротивление грунта, Ом·м]]))</f>
        <v>9.9258333397115592</v>
      </c>
      <c r="Q216" s="61" t="str">
        <f>IFERROR(IF(N216-N215&lt;=0,"",P216/SQRT(Таблица_pr2[[#This Row],[Удельное сопротивление грунта, Ом·м]])),P216/SQRT(Таблица_pr2[[#This Row],[Удельное сопротивление грунта, Ом·м]]))</f>
        <v/>
      </c>
      <c r="W216" s="61" t="str">
        <f>IFERROR(IF(T216-T215&lt;=0,"",V216/SQRT(Таблица_pr3[[#This Row],[Удельное сопротивление грунта, Ом·м]])),V216/SQRT(Таблица_pr3[[#This Row],[Удельное сопротивление грунта, Ом·м]]))</f>
        <v/>
      </c>
      <c r="Y216" s="55"/>
      <c r="Z216" s="52"/>
      <c r="AA216" s="67"/>
      <c r="AB216" s="61" t="str">
        <f t="shared" si="23"/>
        <v/>
      </c>
      <c r="AC216" s="61" t="str">
        <f>IFERROR(IF(Z216-Z215&lt;=0,"",AB216/SQRT(Таблица_pr4[[#This Row],[Удельное сопротивление грунта, Ом·м]])),AB216/SQRT(Таблица_pr4[[#This Row],[Удельное сопротивление грунта, Ом·м]]))</f>
        <v/>
      </c>
      <c r="AE216" s="55"/>
      <c r="AF216" s="52"/>
      <c r="AG216" s="67"/>
      <c r="AI216" s="61" t="str">
        <f>IFERROR(IF(AF216-AF215&lt;=0,"",AH216/SQRT(Таблица_pr5[[#This Row],[Удельное сопротивление грунта, Ом·м]])),AH216/SQRT(Таблица_pr5[[#This Row],[Удельное сопротивление грунта, Ом·м]]))</f>
        <v/>
      </c>
      <c r="AK216" s="55"/>
      <c r="AL216" s="52"/>
      <c r="AM216" s="67"/>
      <c r="AN216" s="61" t="str">
        <f t="shared" si="21"/>
        <v/>
      </c>
      <c r="AO216" s="61" t="str">
        <f>IFERROR(IF(AL216-AL215&lt;=0,"",AN216/SQRT(Таблица_pr6[[#This Row],[Удельное сопротивление грунта, Ом·м]])),AN216/SQRT(Таблица_pr6[[#This Row],[Удельное сопротивление грунта, Ом·м]]))</f>
        <v/>
      </c>
      <c r="AQ216" s="55"/>
      <c r="AR216" s="52"/>
      <c r="AS216" s="67"/>
      <c r="AU216" s="61" t="str">
        <f>IFERROR(IF(AR216-AR215&lt;=0,"",AT216/SQRT(Таблица_pr7[[#This Row],[Удельное сопротивление грунта, Ом·м]])),AT216/SQRT(Таблица_pr7[[#This Row],[Удельное сопротивление грунта, Ом·м]]))</f>
        <v/>
      </c>
      <c r="AW216" s="55"/>
      <c r="AX216" s="52"/>
      <c r="AY216" s="67"/>
      <c r="AZ216" s="61" t="str">
        <f t="shared" si="22"/>
        <v/>
      </c>
      <c r="BA216" s="61" t="str">
        <f>IFERROR(IF(AX216-AX215&lt;=0,"",AZ216/SQRT(Таблица_pr8[[#This Row],[Удельное сопротивление грунта, Ом·м]])),AZ216/SQRT(Таблица_pr8[[#This Row],[Удельное сопротивление грунта, Ом·м]]))</f>
        <v/>
      </c>
      <c r="BC216" s="55"/>
      <c r="BD216" s="52"/>
      <c r="BE216" s="67"/>
      <c r="BG216" s="61" t="str">
        <f>IFERROR(IF(BD216-AX235&lt;=0,"",BF216/SQRT(Таблица_pr9[[#This Row],[Удельное сопротивление грунта, Ом·м]])),BF216/SQRT(Таблица_pr9[[#This Row],[Удельное сопротивление грунта, Ом·м]]))</f>
        <v/>
      </c>
      <c r="BI216" s="55"/>
      <c r="BJ216" s="52"/>
      <c r="BK216" s="67"/>
      <c r="BM216" s="61" t="str">
        <f>IFERROR(IF(BJ216-BD245&lt;=0,"",BL216/SQRT(Таблица_pr10[[#This Row],[Удельное сопротивление грунта, Ом·м]])),BL216/SQRT(Таблица_pr10[[#This Row],[Удельное сопротивление грунта, Ом·м]]))</f>
        <v/>
      </c>
    </row>
    <row r="217" spans="1:65">
      <c r="A217" s="64">
        <v>212</v>
      </c>
      <c r="B217" s="52">
        <v>517.70000000000482</v>
      </c>
      <c r="C217" s="67">
        <v>118.6</v>
      </c>
      <c r="D217" s="61">
        <f t="shared" si="19"/>
        <v>100.00000000002274</v>
      </c>
      <c r="E217" s="61">
        <f>IFERROR(IF(B217-B216&lt;=0,"",D217/SQRT(Таблица_pr[[#This Row],[Удельное сопротивление грунта, Ом·м]])),D217/SQRT(Таблица_pr[[#This Row],[Удельное сопротивление грунта, Ом·м]]))</f>
        <v>9.182430617244572</v>
      </c>
      <c r="G217" s="189">
        <v>212</v>
      </c>
      <c r="H217" s="185">
        <v>517.70000000000482</v>
      </c>
      <c r="I217" s="186">
        <v>118.6</v>
      </c>
      <c r="J217" s="180">
        <f t="shared" si="20"/>
        <v>100.00000000002274</v>
      </c>
      <c r="K217" s="61">
        <f>IFERROR(IF(H217-H216&lt;=0,"",J217/SQRT(Таблица_pr1[[#This Row],[Удельное сопротивление грунта, Ом·м]])),J217/SQRT(Таблица_pr1[[#This Row],[Удельное сопротивление грунта, Ом·м]]))</f>
        <v>9.182430617244572</v>
      </c>
      <c r="Q217" s="61" t="str">
        <f>IFERROR(IF(N217-N216&lt;=0,"",P217/SQRT(Таблица_pr2[[#This Row],[Удельное сопротивление грунта, Ом·м]])),P217/SQRT(Таблица_pr2[[#This Row],[Удельное сопротивление грунта, Ом·м]]))</f>
        <v/>
      </c>
      <c r="W217" s="61" t="str">
        <f>IFERROR(IF(T217-T216&lt;=0,"",V217/SQRT(Таблица_pr3[[#This Row],[Удельное сопротивление грунта, Ом·м]])),V217/SQRT(Таблица_pr3[[#This Row],[Удельное сопротивление грунта, Ом·м]]))</f>
        <v/>
      </c>
      <c r="Y217" s="55"/>
      <c r="Z217" s="52"/>
      <c r="AA217" s="67"/>
      <c r="AB217" s="61" t="str">
        <f t="shared" si="23"/>
        <v/>
      </c>
      <c r="AC217" s="61" t="str">
        <f>IFERROR(IF(Z217-Z216&lt;=0,"",AB217/SQRT(Таблица_pr4[[#This Row],[Удельное сопротивление грунта, Ом·м]])),AB217/SQRT(Таблица_pr4[[#This Row],[Удельное сопротивление грунта, Ом·м]]))</f>
        <v/>
      </c>
      <c r="AE217" s="55"/>
      <c r="AF217" s="52"/>
      <c r="AG217" s="67"/>
      <c r="AI217" s="61" t="str">
        <f>IFERROR(IF(AF217-AF216&lt;=0,"",AH217/SQRT(Таблица_pr5[[#This Row],[Удельное сопротивление грунта, Ом·м]])),AH217/SQRT(Таблица_pr5[[#This Row],[Удельное сопротивление грунта, Ом·м]]))</f>
        <v/>
      </c>
      <c r="AK217" s="55"/>
      <c r="AL217" s="52"/>
      <c r="AM217" s="67"/>
      <c r="AN217" s="61" t="str">
        <f t="shared" si="21"/>
        <v/>
      </c>
      <c r="AO217" s="61" t="str">
        <f>IFERROR(IF(AL217-AL216&lt;=0,"",AN217/SQRT(Таблица_pr6[[#This Row],[Удельное сопротивление грунта, Ом·м]])),AN217/SQRT(Таблица_pr6[[#This Row],[Удельное сопротивление грунта, Ом·м]]))</f>
        <v/>
      </c>
      <c r="AQ217" s="55"/>
      <c r="AR217" s="52"/>
      <c r="AS217" s="67"/>
      <c r="AU217" s="61" t="str">
        <f>IFERROR(IF(AR217-AR216&lt;=0,"",AT217/SQRT(Таблица_pr7[[#This Row],[Удельное сопротивление грунта, Ом·м]])),AT217/SQRT(Таблица_pr7[[#This Row],[Удельное сопротивление грунта, Ом·м]]))</f>
        <v/>
      </c>
      <c r="AW217" s="55"/>
      <c r="AX217" s="52"/>
      <c r="AY217" s="67"/>
      <c r="AZ217" s="61" t="str">
        <f t="shared" si="22"/>
        <v/>
      </c>
      <c r="BA217" s="61" t="str">
        <f>IFERROR(IF(AX217-AX216&lt;=0,"",AZ217/SQRT(Таблица_pr8[[#This Row],[Удельное сопротивление грунта, Ом·м]])),AZ217/SQRT(Таблица_pr8[[#This Row],[Удельное сопротивление грунта, Ом·м]]))</f>
        <v/>
      </c>
      <c r="BC217" s="55"/>
      <c r="BD217" s="52"/>
      <c r="BE217" s="67"/>
      <c r="BG217" s="61" t="str">
        <f>IFERROR(IF(BD217-AX236&lt;=0,"",BF217/SQRT(Таблица_pr9[[#This Row],[Удельное сопротивление грунта, Ом·м]])),BF217/SQRT(Таблица_pr9[[#This Row],[Удельное сопротивление грунта, Ом·м]]))</f>
        <v/>
      </c>
      <c r="BI217" s="55"/>
      <c r="BJ217" s="52"/>
      <c r="BK217" s="67"/>
      <c r="BM217" s="61" t="str">
        <f>IFERROR(IF(BJ217-BD246&lt;=0,"",BL217/SQRT(Таблица_pr10[[#This Row],[Удельное сопротивление грунта, Ом·м]])),BL217/SQRT(Таблица_pr10[[#This Row],[Удельное сопротивление грунта, Ом·м]]))</f>
        <v/>
      </c>
    </row>
    <row r="218" spans="1:65">
      <c r="A218" s="64">
        <v>213</v>
      </c>
      <c r="B218" s="52">
        <v>517.80000000000484</v>
      </c>
      <c r="C218" s="67">
        <v>117.4</v>
      </c>
      <c r="D218" s="61">
        <f t="shared" si="19"/>
        <v>100.00000000002274</v>
      </c>
      <c r="E218" s="61">
        <f>IFERROR(IF(B218-B217&lt;=0,"",D218/SQRT(Таблица_pr[[#This Row],[Удельное сопротивление грунта, Ом·м]])),D218/SQRT(Таблица_pr[[#This Row],[Удельное сопротивление грунта, Ом·м]]))</f>
        <v>9.2292402525278483</v>
      </c>
      <c r="G218" s="188">
        <v>213</v>
      </c>
      <c r="H218" s="184">
        <v>517.80000000000484</v>
      </c>
      <c r="I218" s="187">
        <v>117.4</v>
      </c>
      <c r="J218" s="181">
        <f t="shared" si="20"/>
        <v>100.00000000002274</v>
      </c>
      <c r="K218" s="61">
        <f>IFERROR(IF(H218-H217&lt;=0,"",J218/SQRT(Таблица_pr1[[#This Row],[Удельное сопротивление грунта, Ом·м]])),J218/SQRT(Таблица_pr1[[#This Row],[Удельное сопротивление грунта, Ом·м]]))</f>
        <v>9.2292402525278483</v>
      </c>
      <c r="Q218" s="61" t="str">
        <f>IFERROR(IF(N218-N217&lt;=0,"",P218/SQRT(Таблица_pr2[[#This Row],[Удельное сопротивление грунта, Ом·м]])),P218/SQRT(Таблица_pr2[[#This Row],[Удельное сопротивление грунта, Ом·м]]))</f>
        <v/>
      </c>
      <c r="W218" s="61" t="str">
        <f>IFERROR(IF(T218-T217&lt;=0,"",V218/SQRT(Таблица_pr3[[#This Row],[Удельное сопротивление грунта, Ом·м]])),V218/SQRT(Таблица_pr3[[#This Row],[Удельное сопротивление грунта, Ом·м]]))</f>
        <v/>
      </c>
      <c r="Y218" s="55"/>
      <c r="Z218" s="52"/>
      <c r="AA218" s="67"/>
      <c r="AB218" s="61" t="str">
        <f t="shared" si="23"/>
        <v/>
      </c>
      <c r="AC218" s="61" t="str">
        <f>IFERROR(IF(Z218-Z217&lt;=0,"",AB218/SQRT(Таблица_pr4[[#This Row],[Удельное сопротивление грунта, Ом·м]])),AB218/SQRT(Таблица_pr4[[#This Row],[Удельное сопротивление грунта, Ом·м]]))</f>
        <v/>
      </c>
      <c r="AE218" s="55"/>
      <c r="AF218" s="52"/>
      <c r="AG218" s="67"/>
      <c r="AI218" s="61" t="str">
        <f>IFERROR(IF(AF218-AF217&lt;=0,"",AH218/SQRT(Таблица_pr5[[#This Row],[Удельное сопротивление грунта, Ом·м]])),AH218/SQRT(Таблица_pr5[[#This Row],[Удельное сопротивление грунта, Ом·м]]))</f>
        <v/>
      </c>
      <c r="AK218" s="55"/>
      <c r="AL218" s="52"/>
      <c r="AM218" s="67"/>
      <c r="AN218" s="61" t="str">
        <f t="shared" si="21"/>
        <v/>
      </c>
      <c r="AO218" s="61" t="str">
        <f>IFERROR(IF(AL218-AL217&lt;=0,"",AN218/SQRT(Таблица_pr6[[#This Row],[Удельное сопротивление грунта, Ом·м]])),AN218/SQRT(Таблица_pr6[[#This Row],[Удельное сопротивление грунта, Ом·м]]))</f>
        <v/>
      </c>
      <c r="AQ218" s="55"/>
      <c r="AR218" s="52"/>
      <c r="AS218" s="67"/>
      <c r="AU218" s="61" t="str">
        <f>IFERROR(IF(AR218-AR217&lt;=0,"",AT218/SQRT(Таблица_pr7[[#This Row],[Удельное сопротивление грунта, Ом·м]])),AT218/SQRT(Таблица_pr7[[#This Row],[Удельное сопротивление грунта, Ом·м]]))</f>
        <v/>
      </c>
      <c r="AW218" s="55"/>
      <c r="AX218" s="52"/>
      <c r="AY218" s="67"/>
      <c r="AZ218" s="61" t="str">
        <f t="shared" si="22"/>
        <v/>
      </c>
      <c r="BA218" s="61" t="str">
        <f>IFERROR(IF(AX218-AX217&lt;=0,"",AZ218/SQRT(Таблица_pr8[[#This Row],[Удельное сопротивление грунта, Ом·м]])),AZ218/SQRT(Таблица_pr8[[#This Row],[Удельное сопротивление грунта, Ом·м]]))</f>
        <v/>
      </c>
      <c r="BC218" s="55"/>
      <c r="BD218" s="52"/>
      <c r="BE218" s="67"/>
      <c r="BG218" s="61" t="str">
        <f>IFERROR(IF(BD218-AX237&lt;=0,"",BF218/SQRT(Таблица_pr9[[#This Row],[Удельное сопротивление грунта, Ом·м]])),BF218/SQRT(Таблица_pr9[[#This Row],[Удельное сопротивление грунта, Ом·м]]))</f>
        <v/>
      </c>
      <c r="BI218" s="55"/>
      <c r="BJ218" s="52"/>
      <c r="BK218" s="67"/>
      <c r="BM218" s="61" t="str">
        <f>IFERROR(IF(BJ218-BD247&lt;=0,"",BL218/SQRT(Таблица_pr10[[#This Row],[Удельное сопротивление грунта, Ом·м]])),BL218/SQRT(Таблица_pr10[[#This Row],[Удельное сопротивление грунта, Ом·м]]))</f>
        <v/>
      </c>
    </row>
    <row r="219" spans="1:65">
      <c r="A219" s="64">
        <v>214</v>
      </c>
      <c r="B219" s="52">
        <v>517.90000000000487</v>
      </c>
      <c r="C219" s="67">
        <v>81.099999999999994</v>
      </c>
      <c r="D219" s="61">
        <f t="shared" si="19"/>
        <v>100.00000000002274</v>
      </c>
      <c r="E219" s="61">
        <f>IFERROR(IF(B219-B218&lt;=0,"",D219/SQRT(Таблица_pr[[#This Row],[Удельное сопротивление грунта, Ом·м]])),D219/SQRT(Таблица_pr[[#This Row],[Удельное сопротивление грунта, Ом·м]]))</f>
        <v>11.104258744682603</v>
      </c>
      <c r="G219" s="189">
        <v>214</v>
      </c>
      <c r="H219" s="185">
        <v>517.90000000000487</v>
      </c>
      <c r="I219" s="186">
        <v>81.099999999999994</v>
      </c>
      <c r="J219" s="180">
        <f t="shared" si="20"/>
        <v>100.00000000002274</v>
      </c>
      <c r="K219" s="61">
        <f>IFERROR(IF(H219-H218&lt;=0,"",J219/SQRT(Таблица_pr1[[#This Row],[Удельное сопротивление грунта, Ом·м]])),J219/SQRT(Таблица_pr1[[#This Row],[Удельное сопротивление грунта, Ом·м]]))</f>
        <v>11.104258744682603</v>
      </c>
      <c r="Q219" s="61" t="str">
        <f>IFERROR(IF(N219-N218&lt;=0,"",P219/SQRT(Таблица_pr2[[#This Row],[Удельное сопротивление грунта, Ом·м]])),P219/SQRT(Таблица_pr2[[#This Row],[Удельное сопротивление грунта, Ом·м]]))</f>
        <v/>
      </c>
      <c r="W219" s="61" t="str">
        <f>IFERROR(IF(T219-T218&lt;=0,"",V219/SQRT(Таблица_pr3[[#This Row],[Удельное сопротивление грунта, Ом·м]])),V219/SQRT(Таблица_pr3[[#This Row],[Удельное сопротивление грунта, Ом·м]]))</f>
        <v/>
      </c>
      <c r="Y219" s="55"/>
      <c r="Z219" s="52"/>
      <c r="AA219" s="67"/>
      <c r="AB219" s="61" t="str">
        <f t="shared" si="23"/>
        <v/>
      </c>
      <c r="AC219" s="61" t="str">
        <f>IFERROR(IF(Z219-Z218&lt;=0,"",AB219/SQRT(Таблица_pr4[[#This Row],[Удельное сопротивление грунта, Ом·м]])),AB219/SQRT(Таблица_pr4[[#This Row],[Удельное сопротивление грунта, Ом·м]]))</f>
        <v/>
      </c>
      <c r="AE219" s="55"/>
      <c r="AF219" s="52"/>
      <c r="AG219" s="67"/>
      <c r="AI219" s="61" t="str">
        <f>IFERROR(IF(AF219-AF218&lt;=0,"",AH219/SQRT(Таблица_pr5[[#This Row],[Удельное сопротивление грунта, Ом·м]])),AH219/SQRT(Таблица_pr5[[#This Row],[Удельное сопротивление грунта, Ом·м]]))</f>
        <v/>
      </c>
      <c r="AK219" s="55"/>
      <c r="AL219" s="52"/>
      <c r="AM219" s="67"/>
      <c r="AN219" s="61" t="str">
        <f t="shared" si="21"/>
        <v/>
      </c>
      <c r="AO219" s="61" t="str">
        <f>IFERROR(IF(AL219-AL218&lt;=0,"",AN219/SQRT(Таблица_pr6[[#This Row],[Удельное сопротивление грунта, Ом·м]])),AN219/SQRT(Таблица_pr6[[#This Row],[Удельное сопротивление грунта, Ом·м]]))</f>
        <v/>
      </c>
      <c r="AQ219" s="55"/>
      <c r="AR219" s="52"/>
      <c r="AS219" s="67"/>
      <c r="AU219" s="61" t="str">
        <f>IFERROR(IF(AR219-AR218&lt;=0,"",AT219/SQRT(Таблица_pr7[[#This Row],[Удельное сопротивление грунта, Ом·м]])),AT219/SQRT(Таблица_pr7[[#This Row],[Удельное сопротивление грунта, Ом·м]]))</f>
        <v/>
      </c>
      <c r="AW219" s="55"/>
      <c r="AX219" s="52"/>
      <c r="AY219" s="67"/>
      <c r="AZ219" s="61" t="str">
        <f t="shared" si="22"/>
        <v/>
      </c>
      <c r="BA219" s="61" t="str">
        <f>IFERROR(IF(AX219-AX218&lt;=0,"",AZ219/SQRT(Таблица_pr8[[#This Row],[Удельное сопротивление грунта, Ом·м]])),AZ219/SQRT(Таблица_pr8[[#This Row],[Удельное сопротивление грунта, Ом·м]]))</f>
        <v/>
      </c>
      <c r="BC219" s="55"/>
      <c r="BD219" s="52"/>
      <c r="BE219" s="67"/>
      <c r="BG219" s="61" t="str">
        <f>IFERROR(IF(BD219-AX238&lt;=0,"",BF219/SQRT(Таблица_pr9[[#This Row],[Удельное сопротивление грунта, Ом·м]])),BF219/SQRT(Таблица_pr9[[#This Row],[Удельное сопротивление грунта, Ом·м]]))</f>
        <v/>
      </c>
      <c r="BI219" s="55"/>
      <c r="BJ219" s="52"/>
      <c r="BK219" s="67"/>
      <c r="BM219" s="61" t="str">
        <f>IFERROR(IF(BJ219-BD248&lt;=0,"",BL219/SQRT(Таблица_pr10[[#This Row],[Удельное сопротивление грунта, Ом·м]])),BL219/SQRT(Таблица_pr10[[#This Row],[Удельное сопротивление грунта, Ом·м]]))</f>
        <v/>
      </c>
    </row>
    <row r="220" spans="1:65">
      <c r="A220" s="64">
        <v>215</v>
      </c>
      <c r="B220" s="52">
        <v>518.00000000000489</v>
      </c>
      <c r="C220" s="67">
        <v>94.6</v>
      </c>
      <c r="D220" s="61">
        <f t="shared" si="19"/>
        <v>100.00000000002274</v>
      </c>
      <c r="E220" s="61">
        <f>IFERROR(IF(B220-B219&lt;=0,"",D220/SQRT(Таблица_pr[[#This Row],[Удельное сопротивление грунта, Ом·м]])),D220/SQRT(Таблица_pr[[#This Row],[Удельное сопротивление грунта, Ом·м]]))</f>
        <v>10.28145151441065</v>
      </c>
      <c r="G220" s="188">
        <v>215</v>
      </c>
      <c r="H220" s="184">
        <v>518.00000000000489</v>
      </c>
      <c r="I220" s="187">
        <v>94.6</v>
      </c>
      <c r="J220" s="181">
        <f t="shared" si="20"/>
        <v>100.00000000002274</v>
      </c>
      <c r="K220" s="61">
        <f>IFERROR(IF(H220-H219&lt;=0,"",J220/SQRT(Таблица_pr1[[#This Row],[Удельное сопротивление грунта, Ом·м]])),J220/SQRT(Таблица_pr1[[#This Row],[Удельное сопротивление грунта, Ом·м]]))</f>
        <v>10.28145151441065</v>
      </c>
      <c r="Q220" s="61" t="str">
        <f>IFERROR(IF(N220-N219&lt;=0,"",P220/SQRT(Таблица_pr2[[#This Row],[Удельное сопротивление грунта, Ом·м]])),P220/SQRT(Таблица_pr2[[#This Row],[Удельное сопротивление грунта, Ом·м]]))</f>
        <v/>
      </c>
      <c r="W220" s="61" t="str">
        <f>IFERROR(IF(T220-T219&lt;=0,"",V220/SQRT(Таблица_pr3[[#This Row],[Удельное сопротивление грунта, Ом·м]])),V220/SQRT(Таблица_pr3[[#This Row],[Удельное сопротивление грунта, Ом·м]]))</f>
        <v/>
      </c>
      <c r="Y220" s="55"/>
      <c r="Z220" s="52"/>
      <c r="AA220" s="67"/>
      <c r="AB220" s="61" t="str">
        <f t="shared" si="23"/>
        <v/>
      </c>
      <c r="AC220" s="61" t="str">
        <f>IFERROR(IF(Z220-Z219&lt;=0,"",AB220/SQRT(Таблица_pr4[[#This Row],[Удельное сопротивление грунта, Ом·м]])),AB220/SQRT(Таблица_pr4[[#This Row],[Удельное сопротивление грунта, Ом·м]]))</f>
        <v/>
      </c>
      <c r="AE220" s="55"/>
      <c r="AF220" s="52"/>
      <c r="AG220" s="67"/>
      <c r="AI220" s="61" t="str">
        <f>IFERROR(IF(AF220-AF219&lt;=0,"",AH220/SQRT(Таблица_pr5[[#This Row],[Удельное сопротивление грунта, Ом·м]])),AH220/SQRT(Таблица_pr5[[#This Row],[Удельное сопротивление грунта, Ом·м]]))</f>
        <v/>
      </c>
      <c r="AK220" s="55"/>
      <c r="AL220" s="52"/>
      <c r="AM220" s="67"/>
      <c r="AN220" s="61" t="str">
        <f t="shared" si="21"/>
        <v/>
      </c>
      <c r="AO220" s="61" t="str">
        <f>IFERROR(IF(AL220-AL219&lt;=0,"",AN220/SQRT(Таблица_pr6[[#This Row],[Удельное сопротивление грунта, Ом·м]])),AN220/SQRT(Таблица_pr6[[#This Row],[Удельное сопротивление грунта, Ом·м]]))</f>
        <v/>
      </c>
      <c r="AQ220" s="55"/>
      <c r="AR220" s="52"/>
      <c r="AS220" s="67"/>
      <c r="AU220" s="61" t="str">
        <f>IFERROR(IF(AR220-AR219&lt;=0,"",AT220/SQRT(Таблица_pr7[[#This Row],[Удельное сопротивление грунта, Ом·м]])),AT220/SQRT(Таблица_pr7[[#This Row],[Удельное сопротивление грунта, Ом·м]]))</f>
        <v/>
      </c>
      <c r="AW220" s="55"/>
      <c r="AX220" s="52"/>
      <c r="AY220" s="67"/>
      <c r="AZ220" s="61" t="str">
        <f t="shared" si="22"/>
        <v/>
      </c>
      <c r="BA220" s="61" t="str">
        <f>IFERROR(IF(AX220-AX219&lt;=0,"",AZ220/SQRT(Таблица_pr8[[#This Row],[Удельное сопротивление грунта, Ом·м]])),AZ220/SQRT(Таблица_pr8[[#This Row],[Удельное сопротивление грунта, Ом·м]]))</f>
        <v/>
      </c>
      <c r="BC220" s="55"/>
      <c r="BD220" s="52"/>
      <c r="BE220" s="67"/>
      <c r="BG220" s="61" t="str">
        <f>IFERROR(IF(BD220-AX239&lt;=0,"",BF220/SQRT(Таблица_pr9[[#This Row],[Удельное сопротивление грунта, Ом·м]])),BF220/SQRT(Таблица_pr9[[#This Row],[Удельное сопротивление грунта, Ом·м]]))</f>
        <v/>
      </c>
      <c r="BI220" s="55"/>
      <c r="BJ220" s="52"/>
      <c r="BK220" s="67"/>
      <c r="BM220" s="61" t="str">
        <f>IFERROR(IF(BJ220-BD249&lt;=0,"",BL220/SQRT(Таблица_pr10[[#This Row],[Удельное сопротивление грунта, Ом·м]])),BL220/SQRT(Таблица_pr10[[#This Row],[Удельное сопротивление грунта, Ом·м]]))</f>
        <v/>
      </c>
    </row>
    <row r="221" spans="1:65">
      <c r="A221" s="64">
        <v>216</v>
      </c>
      <c r="B221" s="52">
        <v>518.10000000000491</v>
      </c>
      <c r="C221" s="67">
        <v>152</v>
      </c>
      <c r="D221" s="61">
        <f t="shared" si="19"/>
        <v>100.00000000002274</v>
      </c>
      <c r="E221" s="61">
        <f>IFERROR(IF(B221-B220&lt;=0,"",D221/SQRT(Таблица_pr[[#This Row],[Удельное сопротивление грунта, Ом·м]])),D221/SQRT(Таблица_pr[[#This Row],[Удельное сопротивление грунта, Ом·м]]))</f>
        <v>8.1110710565399717</v>
      </c>
      <c r="G221" s="189">
        <v>216</v>
      </c>
      <c r="H221" s="185">
        <v>518.10000000000491</v>
      </c>
      <c r="I221" s="186">
        <v>152</v>
      </c>
      <c r="J221" s="180">
        <f t="shared" si="20"/>
        <v>100.00000000002274</v>
      </c>
      <c r="K221" s="61">
        <f>IFERROR(IF(H221-H220&lt;=0,"",J221/SQRT(Таблица_pr1[[#This Row],[Удельное сопротивление грунта, Ом·м]])),J221/SQRT(Таблица_pr1[[#This Row],[Удельное сопротивление грунта, Ом·м]]))</f>
        <v>8.1110710565399717</v>
      </c>
      <c r="Q221" s="61" t="str">
        <f>IFERROR(IF(N221-N220&lt;=0,"",P221/SQRT(Таблица_pr2[[#This Row],[Удельное сопротивление грунта, Ом·м]])),P221/SQRT(Таблица_pr2[[#This Row],[Удельное сопротивление грунта, Ом·м]]))</f>
        <v/>
      </c>
      <c r="W221" s="61" t="str">
        <f>IFERROR(IF(T221-T220&lt;=0,"",V221/SQRT(Таблица_pr3[[#This Row],[Удельное сопротивление грунта, Ом·м]])),V221/SQRT(Таблица_pr3[[#This Row],[Удельное сопротивление грунта, Ом·м]]))</f>
        <v/>
      </c>
      <c r="Y221" s="55"/>
      <c r="Z221" s="52"/>
      <c r="AA221" s="67"/>
      <c r="AB221" s="61" t="str">
        <f t="shared" si="23"/>
        <v/>
      </c>
      <c r="AC221" s="61" t="str">
        <f>IFERROR(IF(Z221-Z220&lt;=0,"",AB221/SQRT(Таблица_pr4[[#This Row],[Удельное сопротивление грунта, Ом·м]])),AB221/SQRT(Таблица_pr4[[#This Row],[Удельное сопротивление грунта, Ом·м]]))</f>
        <v/>
      </c>
      <c r="AE221" s="55"/>
      <c r="AF221" s="52"/>
      <c r="AG221" s="67"/>
      <c r="AI221" s="61" t="str">
        <f>IFERROR(IF(AF221-AF220&lt;=0,"",AH221/SQRT(Таблица_pr5[[#This Row],[Удельное сопротивление грунта, Ом·м]])),AH221/SQRT(Таблица_pr5[[#This Row],[Удельное сопротивление грунта, Ом·м]]))</f>
        <v/>
      </c>
      <c r="AK221" s="55"/>
      <c r="AL221" s="52"/>
      <c r="AM221" s="67"/>
      <c r="AN221" s="61" t="str">
        <f t="shared" si="21"/>
        <v/>
      </c>
      <c r="AO221" s="61" t="str">
        <f>IFERROR(IF(AL221-AL220&lt;=0,"",AN221/SQRT(Таблица_pr6[[#This Row],[Удельное сопротивление грунта, Ом·м]])),AN221/SQRT(Таблица_pr6[[#This Row],[Удельное сопротивление грунта, Ом·м]]))</f>
        <v/>
      </c>
      <c r="AQ221" s="55"/>
      <c r="AR221" s="52"/>
      <c r="AS221" s="67"/>
      <c r="AU221" s="61" t="str">
        <f>IFERROR(IF(AR221-AR220&lt;=0,"",AT221/SQRT(Таблица_pr7[[#This Row],[Удельное сопротивление грунта, Ом·м]])),AT221/SQRT(Таблица_pr7[[#This Row],[Удельное сопротивление грунта, Ом·м]]))</f>
        <v/>
      </c>
      <c r="AW221" s="55"/>
      <c r="AX221" s="52"/>
      <c r="AY221" s="67"/>
      <c r="AZ221" s="61" t="str">
        <f t="shared" si="22"/>
        <v/>
      </c>
      <c r="BA221" s="61" t="str">
        <f>IFERROR(IF(AX221-AX220&lt;=0,"",AZ221/SQRT(Таблица_pr8[[#This Row],[Удельное сопротивление грунта, Ом·м]])),AZ221/SQRT(Таблица_pr8[[#This Row],[Удельное сопротивление грунта, Ом·м]]))</f>
        <v/>
      </c>
      <c r="BC221" s="55"/>
      <c r="BD221" s="52"/>
      <c r="BE221" s="67"/>
      <c r="BG221" s="61" t="str">
        <f>IFERROR(IF(BD221-AX240&lt;=0,"",BF221/SQRT(Таблица_pr9[[#This Row],[Удельное сопротивление грунта, Ом·м]])),BF221/SQRT(Таблица_pr9[[#This Row],[Удельное сопротивление грунта, Ом·м]]))</f>
        <v/>
      </c>
      <c r="BI221" s="55"/>
      <c r="BJ221" s="52"/>
      <c r="BK221" s="67"/>
      <c r="BM221" s="61" t="str">
        <f>IFERROR(IF(BJ221-BD250&lt;=0,"",BL221/SQRT(Таблица_pr10[[#This Row],[Удельное сопротивление грунта, Ом·м]])),BL221/SQRT(Таблица_pr10[[#This Row],[Удельное сопротивление грунта, Ом·м]]))</f>
        <v/>
      </c>
    </row>
    <row r="222" spans="1:65">
      <c r="A222" s="64">
        <v>217</v>
      </c>
      <c r="B222" s="52">
        <v>518.20000000000493</v>
      </c>
      <c r="C222" s="67">
        <v>90.9</v>
      </c>
      <c r="D222" s="61">
        <f t="shared" si="19"/>
        <v>100.00000000002274</v>
      </c>
      <c r="E222" s="61">
        <f>IFERROR(IF(B222-B221&lt;=0,"",D222/SQRT(Таблица_pr[[#This Row],[Удельное сопротивление грунта, Ом·м]])),D222/SQRT(Таблица_pr[[#This Row],[Удельное сопротивление грунта, Ом·м]]))</f>
        <v>10.488612925461595</v>
      </c>
      <c r="G222" s="188">
        <v>217</v>
      </c>
      <c r="H222" s="184">
        <v>518.20000000000493</v>
      </c>
      <c r="I222" s="187">
        <v>90.9</v>
      </c>
      <c r="J222" s="181">
        <f t="shared" si="20"/>
        <v>100.00000000002274</v>
      </c>
      <c r="K222" s="61">
        <f>IFERROR(IF(H222-H221&lt;=0,"",J222/SQRT(Таблица_pr1[[#This Row],[Удельное сопротивление грунта, Ом·м]])),J222/SQRT(Таблица_pr1[[#This Row],[Удельное сопротивление грунта, Ом·м]]))</f>
        <v>10.488612925461595</v>
      </c>
      <c r="Q222" s="61" t="str">
        <f>IFERROR(IF(N222-N221&lt;=0,"",P222/SQRT(Таблица_pr2[[#This Row],[Удельное сопротивление грунта, Ом·м]])),P222/SQRT(Таблица_pr2[[#This Row],[Удельное сопротивление грунта, Ом·м]]))</f>
        <v/>
      </c>
      <c r="W222" s="61" t="str">
        <f>IFERROR(IF(T222-T221&lt;=0,"",V222/SQRT(Таблица_pr3[[#This Row],[Удельное сопротивление грунта, Ом·м]])),V222/SQRT(Таблица_pr3[[#This Row],[Удельное сопротивление грунта, Ом·м]]))</f>
        <v/>
      </c>
      <c r="Y222" s="55"/>
      <c r="Z222" s="52"/>
      <c r="AA222" s="67"/>
      <c r="AB222" s="61" t="str">
        <f t="shared" si="23"/>
        <v/>
      </c>
      <c r="AC222" s="61" t="str">
        <f>IFERROR(IF(Z222-Z221&lt;=0,"",AB222/SQRT(Таблица_pr4[[#This Row],[Удельное сопротивление грунта, Ом·м]])),AB222/SQRT(Таблица_pr4[[#This Row],[Удельное сопротивление грунта, Ом·м]]))</f>
        <v/>
      </c>
      <c r="AE222" s="55"/>
      <c r="AF222" s="52"/>
      <c r="AG222" s="67"/>
      <c r="AI222" s="61" t="str">
        <f>IFERROR(IF(AF222-AF221&lt;=0,"",AH222/SQRT(Таблица_pr5[[#This Row],[Удельное сопротивление грунта, Ом·м]])),AH222/SQRT(Таблица_pr5[[#This Row],[Удельное сопротивление грунта, Ом·м]]))</f>
        <v/>
      </c>
      <c r="AK222" s="55"/>
      <c r="AL222" s="52"/>
      <c r="AM222" s="67"/>
      <c r="AN222" s="61" t="str">
        <f t="shared" si="21"/>
        <v/>
      </c>
      <c r="AO222" s="61" t="str">
        <f>IFERROR(IF(AL222-AL221&lt;=0,"",AN222/SQRT(Таблица_pr6[[#This Row],[Удельное сопротивление грунта, Ом·м]])),AN222/SQRT(Таблица_pr6[[#This Row],[Удельное сопротивление грунта, Ом·м]]))</f>
        <v/>
      </c>
      <c r="AQ222" s="55"/>
      <c r="AR222" s="52"/>
      <c r="AS222" s="67"/>
      <c r="AU222" s="61" t="str">
        <f>IFERROR(IF(AR222-AR221&lt;=0,"",AT222/SQRT(Таблица_pr7[[#This Row],[Удельное сопротивление грунта, Ом·м]])),AT222/SQRT(Таблица_pr7[[#This Row],[Удельное сопротивление грунта, Ом·м]]))</f>
        <v/>
      </c>
      <c r="AW222" s="55"/>
      <c r="AX222" s="52"/>
      <c r="AY222" s="67"/>
      <c r="AZ222" s="61" t="str">
        <f t="shared" si="22"/>
        <v/>
      </c>
      <c r="BA222" s="61" t="str">
        <f>IFERROR(IF(AX222-AX221&lt;=0,"",AZ222/SQRT(Таблица_pr8[[#This Row],[Удельное сопротивление грунта, Ом·м]])),AZ222/SQRT(Таблица_pr8[[#This Row],[Удельное сопротивление грунта, Ом·м]]))</f>
        <v/>
      </c>
      <c r="BC222" s="55"/>
      <c r="BD222" s="52"/>
      <c r="BE222" s="67"/>
      <c r="BG222" s="61" t="str">
        <f>IFERROR(IF(BD222-AX241&lt;=0,"",BF222/SQRT(Таблица_pr9[[#This Row],[Удельное сопротивление грунта, Ом·м]])),BF222/SQRT(Таблица_pr9[[#This Row],[Удельное сопротивление грунта, Ом·м]]))</f>
        <v/>
      </c>
      <c r="BI222" s="55"/>
      <c r="BJ222" s="52"/>
      <c r="BK222" s="67"/>
      <c r="BM222" s="61" t="str">
        <f>IFERROR(IF(BJ222-BD251&lt;=0,"",BL222/SQRT(Таблица_pr10[[#This Row],[Удельное сопротивление грунта, Ом·м]])),BL222/SQRT(Таблица_pr10[[#This Row],[Удельное сопротивление грунта, Ом·м]]))</f>
        <v/>
      </c>
    </row>
    <row r="223" spans="1:65">
      <c r="A223" s="64">
        <v>218</v>
      </c>
      <c r="B223" s="52">
        <v>518.30000000000496</v>
      </c>
      <c r="C223" s="67">
        <v>69.5</v>
      </c>
      <c r="D223" s="61">
        <f t="shared" si="19"/>
        <v>100.00000000002274</v>
      </c>
      <c r="E223" s="61">
        <f>IFERROR(IF(B223-B222&lt;=0,"",D223/SQRT(Таблица_pr[[#This Row],[Удельное сопротивление грунта, Ом·м]])),D223/SQRT(Таблица_pr[[#This Row],[Удельное сопротивление грунта, Ом·м]]))</f>
        <v>11.995202878084072</v>
      </c>
      <c r="G223" s="189">
        <v>218</v>
      </c>
      <c r="H223" s="185">
        <v>518.30000000000496</v>
      </c>
      <c r="I223" s="186">
        <v>69.5</v>
      </c>
      <c r="J223" s="180">
        <f t="shared" si="20"/>
        <v>100.00000000002274</v>
      </c>
      <c r="K223" s="61">
        <f>IFERROR(IF(H223-H222&lt;=0,"",J223/SQRT(Таблица_pr1[[#This Row],[Удельное сопротивление грунта, Ом·м]])),J223/SQRT(Таблица_pr1[[#This Row],[Удельное сопротивление грунта, Ом·м]]))</f>
        <v>11.995202878084072</v>
      </c>
      <c r="Q223" s="61" t="str">
        <f>IFERROR(IF(N223-N222&lt;=0,"",P223/SQRT(Таблица_pr2[[#This Row],[Удельное сопротивление грунта, Ом·м]])),P223/SQRT(Таблица_pr2[[#This Row],[Удельное сопротивление грунта, Ом·м]]))</f>
        <v/>
      </c>
      <c r="W223" s="61" t="str">
        <f>IFERROR(IF(T223-T222&lt;=0,"",V223/SQRT(Таблица_pr3[[#This Row],[Удельное сопротивление грунта, Ом·м]])),V223/SQRT(Таблица_pr3[[#This Row],[Удельное сопротивление грунта, Ом·м]]))</f>
        <v/>
      </c>
      <c r="Y223" s="55"/>
      <c r="Z223" s="52"/>
      <c r="AA223" s="67"/>
      <c r="AB223" s="61" t="str">
        <f t="shared" si="23"/>
        <v/>
      </c>
      <c r="AC223" s="61" t="str">
        <f>IFERROR(IF(Z223-Z222&lt;=0,"",AB223/SQRT(Таблица_pr4[[#This Row],[Удельное сопротивление грунта, Ом·м]])),AB223/SQRT(Таблица_pr4[[#This Row],[Удельное сопротивление грунта, Ом·м]]))</f>
        <v/>
      </c>
      <c r="AE223" s="55"/>
      <c r="AF223" s="52"/>
      <c r="AG223" s="67"/>
      <c r="AI223" s="61" t="str">
        <f>IFERROR(IF(AF223-AF222&lt;=0,"",AH223/SQRT(Таблица_pr5[[#This Row],[Удельное сопротивление грунта, Ом·м]])),AH223/SQRT(Таблица_pr5[[#This Row],[Удельное сопротивление грунта, Ом·м]]))</f>
        <v/>
      </c>
      <c r="AK223" s="55"/>
      <c r="AL223" s="52"/>
      <c r="AM223" s="67"/>
      <c r="AN223" s="61" t="str">
        <f t="shared" si="21"/>
        <v/>
      </c>
      <c r="AO223" s="61" t="str">
        <f>IFERROR(IF(AL223-AL222&lt;=0,"",AN223/SQRT(Таблица_pr6[[#This Row],[Удельное сопротивление грунта, Ом·м]])),AN223/SQRT(Таблица_pr6[[#This Row],[Удельное сопротивление грунта, Ом·м]]))</f>
        <v/>
      </c>
      <c r="AQ223" s="55"/>
      <c r="AR223" s="52"/>
      <c r="AS223" s="67"/>
      <c r="AU223" s="61" t="str">
        <f>IFERROR(IF(AR223-AR222&lt;=0,"",AT223/SQRT(Таблица_pr7[[#This Row],[Удельное сопротивление грунта, Ом·м]])),AT223/SQRT(Таблица_pr7[[#This Row],[Удельное сопротивление грунта, Ом·м]]))</f>
        <v/>
      </c>
      <c r="AW223" s="55"/>
      <c r="AX223" s="52"/>
      <c r="AY223" s="67"/>
      <c r="AZ223" s="61" t="str">
        <f t="shared" si="22"/>
        <v/>
      </c>
      <c r="BA223" s="61" t="str">
        <f>IFERROR(IF(AX223-AX222&lt;=0,"",AZ223/SQRT(Таблица_pr8[[#This Row],[Удельное сопротивление грунта, Ом·м]])),AZ223/SQRT(Таблица_pr8[[#This Row],[Удельное сопротивление грунта, Ом·м]]))</f>
        <v/>
      </c>
      <c r="BC223" s="55"/>
      <c r="BD223" s="52"/>
      <c r="BE223" s="67"/>
      <c r="BG223" s="61" t="str">
        <f>IFERROR(IF(BD223-AX242&lt;=0,"",BF223/SQRT(Таблица_pr9[[#This Row],[Удельное сопротивление грунта, Ом·м]])),BF223/SQRT(Таблица_pr9[[#This Row],[Удельное сопротивление грунта, Ом·м]]))</f>
        <v/>
      </c>
      <c r="BI223" s="55"/>
      <c r="BJ223" s="52"/>
      <c r="BK223" s="67"/>
      <c r="BM223" s="61" t="str">
        <f>IFERROR(IF(BJ223-BD252&lt;=0,"",BL223/SQRT(Таблица_pr10[[#This Row],[Удельное сопротивление грунта, Ом·м]])),BL223/SQRT(Таблица_pr10[[#This Row],[Удельное сопротивление грунта, Ом·м]]))</f>
        <v/>
      </c>
    </row>
    <row r="224" spans="1:65">
      <c r="A224" s="64">
        <v>219</v>
      </c>
      <c r="B224" s="52">
        <v>518.40000000000498</v>
      </c>
      <c r="C224" s="67">
        <v>62.5</v>
      </c>
      <c r="D224" s="61">
        <f t="shared" si="19"/>
        <v>100.00000000002274</v>
      </c>
      <c r="E224" s="61">
        <f>IFERROR(IF(B224-B223&lt;=0,"",D224/SQRT(Таблица_pr[[#This Row],[Удельное сопротивление грунта, Ом·м]])),D224/SQRT(Таблица_pr[[#This Row],[Удельное сопротивление грунта, Ом·м]]))</f>
        <v>12.649110640676394</v>
      </c>
      <c r="G224" s="188">
        <v>219</v>
      </c>
      <c r="H224" s="184">
        <v>518.40000000000498</v>
      </c>
      <c r="I224" s="187">
        <v>62.5</v>
      </c>
      <c r="J224" s="181">
        <f t="shared" si="20"/>
        <v>100.00000000002274</v>
      </c>
      <c r="K224" s="61">
        <f>IFERROR(IF(H224-H223&lt;=0,"",J224/SQRT(Таблица_pr1[[#This Row],[Удельное сопротивление грунта, Ом·м]])),J224/SQRT(Таблица_pr1[[#This Row],[Удельное сопротивление грунта, Ом·м]]))</f>
        <v>12.649110640676394</v>
      </c>
      <c r="Q224" s="61" t="str">
        <f>IFERROR(IF(N224-N223&lt;=0,"",P224/SQRT(Таблица_pr2[[#This Row],[Удельное сопротивление грунта, Ом·м]])),P224/SQRT(Таблица_pr2[[#This Row],[Удельное сопротивление грунта, Ом·м]]))</f>
        <v/>
      </c>
      <c r="W224" s="61" t="str">
        <f>IFERROR(IF(T224-T223&lt;=0,"",V224/SQRT(Таблица_pr3[[#This Row],[Удельное сопротивление грунта, Ом·м]])),V224/SQRT(Таблица_pr3[[#This Row],[Удельное сопротивление грунта, Ом·м]]))</f>
        <v/>
      </c>
      <c r="Y224" s="55"/>
      <c r="Z224" s="52"/>
      <c r="AA224" s="67"/>
      <c r="AB224" s="61" t="str">
        <f t="shared" si="23"/>
        <v/>
      </c>
      <c r="AC224" s="61" t="str">
        <f>IFERROR(IF(Z224-Z223&lt;=0,"",AB224/SQRT(Таблица_pr4[[#This Row],[Удельное сопротивление грунта, Ом·м]])),AB224/SQRT(Таблица_pr4[[#This Row],[Удельное сопротивление грунта, Ом·м]]))</f>
        <v/>
      </c>
      <c r="AE224" s="55"/>
      <c r="AF224" s="52"/>
      <c r="AG224" s="67"/>
      <c r="AI224" s="61" t="str">
        <f>IFERROR(IF(AF224-AF223&lt;=0,"",AH224/SQRT(Таблица_pr5[[#This Row],[Удельное сопротивление грунта, Ом·м]])),AH224/SQRT(Таблица_pr5[[#This Row],[Удельное сопротивление грунта, Ом·м]]))</f>
        <v/>
      </c>
      <c r="AK224" s="55"/>
      <c r="AL224" s="52"/>
      <c r="AM224" s="67"/>
      <c r="AN224" s="61" t="str">
        <f t="shared" si="21"/>
        <v/>
      </c>
      <c r="AO224" s="61" t="str">
        <f>IFERROR(IF(AL224-AL223&lt;=0,"",AN224/SQRT(Таблица_pr6[[#This Row],[Удельное сопротивление грунта, Ом·м]])),AN224/SQRT(Таблица_pr6[[#This Row],[Удельное сопротивление грунта, Ом·м]]))</f>
        <v/>
      </c>
      <c r="AQ224" s="55"/>
      <c r="AR224" s="52"/>
      <c r="AS224" s="67"/>
      <c r="AU224" s="61" t="str">
        <f>IFERROR(IF(AR224-AR223&lt;=0,"",AT224/SQRT(Таблица_pr7[[#This Row],[Удельное сопротивление грунта, Ом·м]])),AT224/SQRT(Таблица_pr7[[#This Row],[Удельное сопротивление грунта, Ом·м]]))</f>
        <v/>
      </c>
      <c r="AW224" s="55"/>
      <c r="AX224" s="52"/>
      <c r="AY224" s="67"/>
      <c r="AZ224" s="61" t="str">
        <f t="shared" si="22"/>
        <v/>
      </c>
      <c r="BA224" s="61" t="str">
        <f>IFERROR(IF(AX224-AX223&lt;=0,"",AZ224/SQRT(Таблица_pr8[[#This Row],[Удельное сопротивление грунта, Ом·м]])),AZ224/SQRT(Таблица_pr8[[#This Row],[Удельное сопротивление грунта, Ом·м]]))</f>
        <v/>
      </c>
      <c r="BC224" s="55"/>
      <c r="BD224" s="52"/>
      <c r="BE224" s="67"/>
      <c r="BG224" s="61" t="str">
        <f>IFERROR(IF(BD224-AX243&lt;=0,"",BF224/SQRT(Таблица_pr9[[#This Row],[Удельное сопротивление грунта, Ом·м]])),BF224/SQRT(Таблица_pr9[[#This Row],[Удельное сопротивление грунта, Ом·м]]))</f>
        <v/>
      </c>
      <c r="BI224" s="55"/>
      <c r="BJ224" s="52"/>
      <c r="BK224" s="67"/>
      <c r="BM224" s="61" t="str">
        <f>IFERROR(IF(BJ224-BD253&lt;=0,"",BL224/SQRT(Таблица_pr10[[#This Row],[Удельное сопротивление грунта, Ом·м]])),BL224/SQRT(Таблица_pr10[[#This Row],[Удельное сопротивление грунта, Ом·м]]))</f>
        <v/>
      </c>
    </row>
    <row r="225" spans="1:65">
      <c r="A225" s="64">
        <v>220</v>
      </c>
      <c r="B225" s="52">
        <v>518.500000000005</v>
      </c>
      <c r="C225" s="67">
        <v>61.7</v>
      </c>
      <c r="D225" s="61">
        <f t="shared" si="19"/>
        <v>100.00000000002274</v>
      </c>
      <c r="E225" s="61">
        <f>IFERROR(IF(B225-B224&lt;=0,"",D225/SQRT(Таблица_pr[[#This Row],[Удельное сопротивление грунта, Ом·м]])),D225/SQRT(Таблица_pr[[#This Row],[Удельное сопротивление грунта, Ом·м]]))</f>
        <v>12.730850493782786</v>
      </c>
      <c r="G225" s="189">
        <v>220</v>
      </c>
      <c r="H225" s="185">
        <v>518.500000000005</v>
      </c>
      <c r="I225" s="186">
        <v>61.7</v>
      </c>
      <c r="J225" s="180">
        <f t="shared" si="20"/>
        <v>100.00000000002274</v>
      </c>
      <c r="K225" s="61">
        <f>IFERROR(IF(H225-H224&lt;=0,"",J225/SQRT(Таблица_pr1[[#This Row],[Удельное сопротивление грунта, Ом·м]])),J225/SQRT(Таблица_pr1[[#This Row],[Удельное сопротивление грунта, Ом·м]]))</f>
        <v>12.730850493782786</v>
      </c>
      <c r="Q225" s="61" t="str">
        <f>IFERROR(IF(N225-N224&lt;=0,"",P225/SQRT(Таблица_pr2[[#This Row],[Удельное сопротивление грунта, Ом·м]])),P225/SQRT(Таблица_pr2[[#This Row],[Удельное сопротивление грунта, Ом·м]]))</f>
        <v/>
      </c>
      <c r="W225" s="61" t="str">
        <f>IFERROR(IF(T225-T224&lt;=0,"",V225/SQRT(Таблица_pr3[[#This Row],[Удельное сопротивление грунта, Ом·м]])),V225/SQRT(Таблица_pr3[[#This Row],[Удельное сопротивление грунта, Ом·м]]))</f>
        <v/>
      </c>
      <c r="Y225" s="55"/>
      <c r="Z225" s="52"/>
      <c r="AA225" s="67"/>
      <c r="AB225" s="61" t="str">
        <f t="shared" si="23"/>
        <v/>
      </c>
      <c r="AC225" s="61" t="str">
        <f>IFERROR(IF(Z225-Z224&lt;=0,"",AB225/SQRT(Таблица_pr4[[#This Row],[Удельное сопротивление грунта, Ом·м]])),AB225/SQRT(Таблица_pr4[[#This Row],[Удельное сопротивление грунта, Ом·м]]))</f>
        <v/>
      </c>
      <c r="AE225" s="55"/>
      <c r="AF225" s="52"/>
      <c r="AG225" s="67"/>
      <c r="AI225" s="61" t="str">
        <f>IFERROR(IF(AF225-AF224&lt;=0,"",AH225/SQRT(Таблица_pr5[[#This Row],[Удельное сопротивление грунта, Ом·м]])),AH225/SQRT(Таблица_pr5[[#This Row],[Удельное сопротивление грунта, Ом·м]]))</f>
        <v/>
      </c>
      <c r="AK225" s="55"/>
      <c r="AL225" s="52"/>
      <c r="AM225" s="67"/>
      <c r="AN225" s="61" t="str">
        <f t="shared" si="21"/>
        <v/>
      </c>
      <c r="AO225" s="61" t="str">
        <f>IFERROR(IF(AL225-AL224&lt;=0,"",AN225/SQRT(Таблица_pr6[[#This Row],[Удельное сопротивление грунта, Ом·м]])),AN225/SQRT(Таблица_pr6[[#This Row],[Удельное сопротивление грунта, Ом·м]]))</f>
        <v/>
      </c>
      <c r="AQ225" s="55"/>
      <c r="AR225" s="52"/>
      <c r="AS225" s="67"/>
      <c r="AU225" s="61" t="str">
        <f>IFERROR(IF(AR225-AR224&lt;=0,"",AT225/SQRT(Таблица_pr7[[#This Row],[Удельное сопротивление грунта, Ом·м]])),AT225/SQRT(Таблица_pr7[[#This Row],[Удельное сопротивление грунта, Ом·м]]))</f>
        <v/>
      </c>
      <c r="AW225" s="55"/>
      <c r="AX225" s="52"/>
      <c r="AY225" s="67"/>
      <c r="AZ225" s="61" t="str">
        <f t="shared" si="22"/>
        <v/>
      </c>
      <c r="BA225" s="61" t="str">
        <f>IFERROR(IF(AX225-AX224&lt;=0,"",AZ225/SQRT(Таблица_pr8[[#This Row],[Удельное сопротивление грунта, Ом·м]])),AZ225/SQRT(Таблица_pr8[[#This Row],[Удельное сопротивление грунта, Ом·м]]))</f>
        <v/>
      </c>
      <c r="BC225" s="55"/>
      <c r="BD225" s="52"/>
      <c r="BE225" s="67"/>
      <c r="BG225" s="61" t="str">
        <f>IFERROR(IF(BD225-AX244&lt;=0,"",BF225/SQRT(Таблица_pr9[[#This Row],[Удельное сопротивление грунта, Ом·м]])),BF225/SQRT(Таблица_pr9[[#This Row],[Удельное сопротивление грунта, Ом·м]]))</f>
        <v/>
      </c>
      <c r="BI225" s="55"/>
      <c r="BJ225" s="52"/>
      <c r="BK225" s="67"/>
      <c r="BM225" s="61" t="str">
        <f>IFERROR(IF(BJ225-BD254&lt;=0,"",BL225/SQRT(Таблица_pr10[[#This Row],[Удельное сопротивление грунта, Ом·м]])),BL225/SQRT(Таблица_pr10[[#This Row],[Удельное сопротивление грунта, Ом·м]]))</f>
        <v/>
      </c>
    </row>
    <row r="226" spans="1:65">
      <c r="A226" s="64">
        <v>221</v>
      </c>
      <c r="B226" s="52">
        <v>518.60000000000502</v>
      </c>
      <c r="C226" s="67">
        <v>69.900000000000006</v>
      </c>
      <c r="D226" s="61">
        <f t="shared" si="19"/>
        <v>100.00000000002274</v>
      </c>
      <c r="E226" s="61">
        <f>IFERROR(IF(B226-B225&lt;=0,"",D226/SQRT(Таблица_pr[[#This Row],[Удельное сопротивление грунта, Ом·м]])),D226/SQRT(Таблица_pr[[#This Row],[Удельное сопротивление грунта, Ом·м]]))</f>
        <v>11.960832598617015</v>
      </c>
      <c r="G226" s="188">
        <v>221</v>
      </c>
      <c r="H226" s="184">
        <v>518.60000000000502</v>
      </c>
      <c r="I226" s="187">
        <v>69.900000000000006</v>
      </c>
      <c r="J226" s="181">
        <f t="shared" si="20"/>
        <v>100.00000000002274</v>
      </c>
      <c r="K226" s="61">
        <f>IFERROR(IF(H226-H225&lt;=0,"",J226/SQRT(Таблица_pr1[[#This Row],[Удельное сопротивление грунта, Ом·м]])),J226/SQRT(Таблица_pr1[[#This Row],[Удельное сопротивление грунта, Ом·м]]))</f>
        <v>11.960832598617015</v>
      </c>
      <c r="Q226" s="61" t="str">
        <f>IFERROR(IF(N226-N225&lt;=0,"",P226/SQRT(Таблица_pr2[[#This Row],[Удельное сопротивление грунта, Ом·м]])),P226/SQRT(Таблица_pr2[[#This Row],[Удельное сопротивление грунта, Ом·м]]))</f>
        <v/>
      </c>
      <c r="W226" s="61" t="str">
        <f>IFERROR(IF(T226-T225&lt;=0,"",V226/SQRT(Таблица_pr3[[#This Row],[Удельное сопротивление грунта, Ом·м]])),V226/SQRT(Таблица_pr3[[#This Row],[Удельное сопротивление грунта, Ом·м]]))</f>
        <v/>
      </c>
      <c r="Y226" s="55"/>
      <c r="Z226" s="52"/>
      <c r="AA226" s="67"/>
      <c r="AB226" s="61" t="str">
        <f t="shared" si="23"/>
        <v/>
      </c>
      <c r="AC226" s="61" t="str">
        <f>IFERROR(IF(Z226-Z225&lt;=0,"",AB226/SQRT(Таблица_pr4[[#This Row],[Удельное сопротивление грунта, Ом·м]])),AB226/SQRT(Таблица_pr4[[#This Row],[Удельное сопротивление грунта, Ом·м]]))</f>
        <v/>
      </c>
      <c r="AE226" s="55"/>
      <c r="AF226" s="52"/>
      <c r="AG226" s="67"/>
      <c r="AI226" s="61" t="str">
        <f>IFERROR(IF(AF226-AF225&lt;=0,"",AH226/SQRT(Таблица_pr5[[#This Row],[Удельное сопротивление грунта, Ом·м]])),AH226/SQRT(Таблица_pr5[[#This Row],[Удельное сопротивление грунта, Ом·м]]))</f>
        <v/>
      </c>
      <c r="AK226" s="55"/>
      <c r="AL226" s="52"/>
      <c r="AM226" s="67"/>
      <c r="AN226" s="61" t="str">
        <f t="shared" si="21"/>
        <v/>
      </c>
      <c r="AO226" s="61" t="str">
        <f>IFERROR(IF(AL226-AL225&lt;=0,"",AN226/SQRT(Таблица_pr6[[#This Row],[Удельное сопротивление грунта, Ом·м]])),AN226/SQRT(Таблица_pr6[[#This Row],[Удельное сопротивление грунта, Ом·м]]))</f>
        <v/>
      </c>
      <c r="AQ226" s="55"/>
      <c r="AR226" s="52"/>
      <c r="AS226" s="67"/>
      <c r="AU226" s="61" t="str">
        <f>IFERROR(IF(AR226-AR225&lt;=0,"",AT226/SQRT(Таблица_pr7[[#This Row],[Удельное сопротивление грунта, Ом·м]])),AT226/SQRT(Таблица_pr7[[#This Row],[Удельное сопротивление грунта, Ом·м]]))</f>
        <v/>
      </c>
      <c r="AW226" s="55"/>
      <c r="AX226" s="52"/>
      <c r="AY226" s="67"/>
      <c r="AZ226" s="61" t="str">
        <f t="shared" si="22"/>
        <v/>
      </c>
      <c r="BA226" s="61" t="str">
        <f>IFERROR(IF(AX226-AX225&lt;=0,"",AZ226/SQRT(Таблица_pr8[[#This Row],[Удельное сопротивление грунта, Ом·м]])),AZ226/SQRT(Таблица_pr8[[#This Row],[Удельное сопротивление грунта, Ом·м]]))</f>
        <v/>
      </c>
      <c r="BC226" s="55"/>
      <c r="BD226" s="52"/>
      <c r="BE226" s="67"/>
      <c r="BG226" s="61" t="str">
        <f>IFERROR(IF(BD226-AX245&lt;=0,"",BF226/SQRT(Таблица_pr9[[#This Row],[Удельное сопротивление грунта, Ом·м]])),BF226/SQRT(Таблица_pr9[[#This Row],[Удельное сопротивление грунта, Ом·м]]))</f>
        <v/>
      </c>
      <c r="BI226" s="55"/>
      <c r="BJ226" s="52"/>
      <c r="BK226" s="67"/>
      <c r="BM226" s="61" t="str">
        <f>IFERROR(IF(BJ226-BD255&lt;=0,"",BL226/SQRT(Таблица_pr10[[#This Row],[Удельное сопротивление грунта, Ом·м]])),BL226/SQRT(Таблица_pr10[[#This Row],[Удельное сопротивление грунта, Ом·м]]))</f>
        <v/>
      </c>
    </row>
    <row r="227" spans="1:65">
      <c r="A227" s="64">
        <v>222</v>
      </c>
      <c r="B227" s="52">
        <v>518.70000000000505</v>
      </c>
      <c r="C227" s="67">
        <v>90.1</v>
      </c>
      <c r="D227" s="61">
        <f t="shared" si="19"/>
        <v>100.00000000002274</v>
      </c>
      <c r="E227" s="61">
        <f>IFERROR(IF(B227-B226&lt;=0,"",D227/SQRT(Таблица_pr[[#This Row],[Удельное сопротивление грунта, Ом·м]])),D227/SQRT(Таблица_pr[[#This Row],[Удельное сопротивление грунта, Ом·м]]))</f>
        <v>10.535074339699875</v>
      </c>
      <c r="G227" s="189">
        <v>222</v>
      </c>
      <c r="H227" s="185">
        <v>518.70000000000505</v>
      </c>
      <c r="I227" s="186">
        <v>90.1</v>
      </c>
      <c r="J227" s="180">
        <f t="shared" si="20"/>
        <v>100.00000000002274</v>
      </c>
      <c r="K227" s="61">
        <f>IFERROR(IF(H227-H226&lt;=0,"",J227/SQRT(Таблица_pr1[[#This Row],[Удельное сопротивление грунта, Ом·м]])),J227/SQRT(Таблица_pr1[[#This Row],[Удельное сопротивление грунта, Ом·м]]))</f>
        <v>10.535074339699875</v>
      </c>
      <c r="Q227" s="61" t="str">
        <f>IFERROR(IF(N227-N226&lt;=0,"",P227/SQRT(Таблица_pr2[[#This Row],[Удельное сопротивление грунта, Ом·м]])),P227/SQRT(Таблица_pr2[[#This Row],[Удельное сопротивление грунта, Ом·м]]))</f>
        <v/>
      </c>
      <c r="W227" s="61" t="str">
        <f>IFERROR(IF(T227-T226&lt;=0,"",V227/SQRT(Таблица_pr3[[#This Row],[Удельное сопротивление грунта, Ом·м]])),V227/SQRT(Таблица_pr3[[#This Row],[Удельное сопротивление грунта, Ом·м]]))</f>
        <v/>
      </c>
      <c r="Y227" s="55"/>
      <c r="Z227" s="52"/>
      <c r="AA227" s="67"/>
      <c r="AB227" s="61" t="str">
        <f t="shared" si="23"/>
        <v/>
      </c>
      <c r="AC227" s="61" t="str">
        <f>IFERROR(IF(Z227-Z226&lt;=0,"",AB227/SQRT(Таблица_pr4[[#This Row],[Удельное сопротивление грунта, Ом·м]])),AB227/SQRT(Таблица_pr4[[#This Row],[Удельное сопротивление грунта, Ом·м]]))</f>
        <v/>
      </c>
      <c r="AE227" s="55"/>
      <c r="AF227" s="52"/>
      <c r="AG227" s="67"/>
      <c r="AI227" s="61" t="str">
        <f>IFERROR(IF(AF227-AF226&lt;=0,"",AH227/SQRT(Таблица_pr5[[#This Row],[Удельное сопротивление грунта, Ом·м]])),AH227/SQRT(Таблица_pr5[[#This Row],[Удельное сопротивление грунта, Ом·м]]))</f>
        <v/>
      </c>
      <c r="AK227" s="55"/>
      <c r="AL227" s="52"/>
      <c r="AM227" s="67"/>
      <c r="AN227" s="61" t="str">
        <f t="shared" si="21"/>
        <v/>
      </c>
      <c r="AO227" s="61" t="str">
        <f>IFERROR(IF(AL227-AL226&lt;=0,"",AN227/SQRT(Таблица_pr6[[#This Row],[Удельное сопротивление грунта, Ом·м]])),AN227/SQRT(Таблица_pr6[[#This Row],[Удельное сопротивление грунта, Ом·м]]))</f>
        <v/>
      </c>
      <c r="AQ227" s="55"/>
      <c r="AR227" s="52"/>
      <c r="AS227" s="67"/>
      <c r="AU227" s="61" t="str">
        <f>IFERROR(IF(AR227-AR226&lt;=0,"",AT227/SQRT(Таблица_pr7[[#This Row],[Удельное сопротивление грунта, Ом·м]])),AT227/SQRT(Таблица_pr7[[#This Row],[Удельное сопротивление грунта, Ом·м]]))</f>
        <v/>
      </c>
      <c r="AW227" s="55"/>
      <c r="AX227" s="52"/>
      <c r="AY227" s="67"/>
      <c r="AZ227" s="61" t="str">
        <f t="shared" si="22"/>
        <v/>
      </c>
      <c r="BA227" s="61" t="str">
        <f>IFERROR(IF(AX227-AX226&lt;=0,"",AZ227/SQRT(Таблица_pr8[[#This Row],[Удельное сопротивление грунта, Ом·м]])),AZ227/SQRT(Таблица_pr8[[#This Row],[Удельное сопротивление грунта, Ом·м]]))</f>
        <v/>
      </c>
      <c r="BC227" s="55"/>
      <c r="BD227" s="52"/>
      <c r="BE227" s="67"/>
      <c r="BG227" s="61" t="str">
        <f>IFERROR(IF(BD227-AX246&lt;=0,"",BF227/SQRT(Таблица_pr9[[#This Row],[Удельное сопротивление грунта, Ом·м]])),BF227/SQRT(Таблица_pr9[[#This Row],[Удельное сопротивление грунта, Ом·м]]))</f>
        <v/>
      </c>
      <c r="BI227" s="55"/>
      <c r="BJ227" s="52"/>
      <c r="BK227" s="67"/>
      <c r="BM227" s="61" t="str">
        <f>IFERROR(IF(BJ227-BD256&lt;=0,"",BL227/SQRT(Таблица_pr10[[#This Row],[Удельное сопротивление грунта, Ом·м]])),BL227/SQRT(Таблица_pr10[[#This Row],[Удельное сопротивление грунта, Ом·м]]))</f>
        <v/>
      </c>
    </row>
    <row r="228" spans="1:65">
      <c r="A228" s="64">
        <v>223</v>
      </c>
      <c r="B228" s="52">
        <v>518.80000000000507</v>
      </c>
      <c r="C228" s="67">
        <v>112</v>
      </c>
      <c r="D228" s="61">
        <f t="shared" si="19"/>
        <v>100.00000000002274</v>
      </c>
      <c r="E228" s="61">
        <f>IFERROR(IF(B228-B227&lt;=0,"",D228/SQRT(Таблица_pr[[#This Row],[Удельное сопротивление грунта, Ом·м]])),D228/SQRT(Таблица_pr[[#This Row],[Удельное сопротивление грунта, Ом·м]]))</f>
        <v>9.4491118252328281</v>
      </c>
      <c r="G228" s="188">
        <v>223</v>
      </c>
      <c r="H228" s="184">
        <v>518.80000000000507</v>
      </c>
      <c r="I228" s="187">
        <v>112</v>
      </c>
      <c r="J228" s="181">
        <f t="shared" si="20"/>
        <v>100.00000000002274</v>
      </c>
      <c r="K228" s="61">
        <f>IFERROR(IF(H228-H227&lt;=0,"",J228/SQRT(Таблица_pr1[[#This Row],[Удельное сопротивление грунта, Ом·м]])),J228/SQRT(Таблица_pr1[[#This Row],[Удельное сопротивление грунта, Ом·м]]))</f>
        <v>9.4491118252328281</v>
      </c>
      <c r="Q228" s="61" t="str">
        <f>IFERROR(IF(N228-N227&lt;=0,"",P228/SQRT(Таблица_pr2[[#This Row],[Удельное сопротивление грунта, Ом·м]])),P228/SQRT(Таблица_pr2[[#This Row],[Удельное сопротивление грунта, Ом·м]]))</f>
        <v/>
      </c>
      <c r="S228" s="55"/>
      <c r="T228" s="52"/>
      <c r="U228" s="67"/>
      <c r="W228" s="61" t="str">
        <f>IFERROR(IF(T228-T227&lt;=0,"",V228/SQRT(Таблица_pr3[[#This Row],[Удельное сопротивление грунта, Ом·м]])),V228/SQRT(Таблица_pr3[[#This Row],[Удельное сопротивление грунта, Ом·м]]))</f>
        <v/>
      </c>
      <c r="Y228" s="55"/>
      <c r="Z228" s="52"/>
      <c r="AA228" s="67"/>
      <c r="AB228" s="61" t="str">
        <f t="shared" si="23"/>
        <v/>
      </c>
      <c r="AC228" s="61" t="str">
        <f>IFERROR(IF(Z228-Z227&lt;=0,"",AB228/SQRT(Таблица_pr4[[#This Row],[Удельное сопротивление грунта, Ом·м]])),AB228/SQRT(Таблица_pr4[[#This Row],[Удельное сопротивление грунта, Ом·м]]))</f>
        <v/>
      </c>
      <c r="AE228" s="55"/>
      <c r="AF228" s="52"/>
      <c r="AG228" s="67"/>
      <c r="AI228" s="61" t="str">
        <f>IFERROR(IF(AF228-AF227&lt;=0,"",AH228/SQRT(Таблица_pr5[[#This Row],[Удельное сопротивление грунта, Ом·м]])),AH228/SQRT(Таблица_pr5[[#This Row],[Удельное сопротивление грунта, Ом·м]]))</f>
        <v/>
      </c>
      <c r="AK228" s="55"/>
      <c r="AL228" s="52"/>
      <c r="AM228" s="67"/>
      <c r="AN228" s="61" t="str">
        <f t="shared" si="21"/>
        <v/>
      </c>
      <c r="AO228" s="61" t="str">
        <f>IFERROR(IF(AL228-AL227&lt;=0,"",AN228/SQRT(Таблица_pr6[[#This Row],[Удельное сопротивление грунта, Ом·м]])),AN228/SQRT(Таблица_pr6[[#This Row],[Удельное сопротивление грунта, Ом·м]]))</f>
        <v/>
      </c>
      <c r="AQ228" s="55"/>
      <c r="AR228" s="52"/>
      <c r="AS228" s="67"/>
      <c r="AU228" s="61" t="str">
        <f>IFERROR(IF(AR228-AR227&lt;=0,"",AT228/SQRT(Таблица_pr7[[#This Row],[Удельное сопротивление грунта, Ом·м]])),AT228/SQRT(Таблица_pr7[[#This Row],[Удельное сопротивление грунта, Ом·м]]))</f>
        <v/>
      </c>
      <c r="AW228" s="55"/>
      <c r="AX228" s="52"/>
      <c r="AY228" s="67"/>
      <c r="AZ228" s="61" t="str">
        <f t="shared" si="22"/>
        <v/>
      </c>
      <c r="BA228" s="61" t="str">
        <f>IFERROR(IF(AX228-AX227&lt;=0,"",AZ228/SQRT(Таблица_pr8[[#This Row],[Удельное сопротивление грунта, Ом·м]])),AZ228/SQRT(Таблица_pr8[[#This Row],[Удельное сопротивление грунта, Ом·м]]))</f>
        <v/>
      </c>
      <c r="BC228" s="55"/>
      <c r="BD228" s="52"/>
      <c r="BE228" s="67"/>
      <c r="BG228" s="61" t="str">
        <f>IFERROR(IF(BD228-AX247&lt;=0,"",BF228/SQRT(Таблица_pr9[[#This Row],[Удельное сопротивление грунта, Ом·м]])),BF228/SQRT(Таблица_pr9[[#This Row],[Удельное сопротивление грунта, Ом·м]]))</f>
        <v/>
      </c>
      <c r="BI228" s="55"/>
      <c r="BJ228" s="52"/>
      <c r="BK228" s="67"/>
      <c r="BM228" s="61" t="str">
        <f>IFERROR(IF(BJ228-BD257&lt;=0,"",BL228/SQRT(Таблица_pr10[[#This Row],[Удельное сопротивление грунта, Ом·м]])),BL228/SQRT(Таблица_pr10[[#This Row],[Удельное сопротивление грунта, Ом·м]]))</f>
        <v/>
      </c>
    </row>
    <row r="229" spans="1:65">
      <c r="A229" s="64">
        <v>224</v>
      </c>
      <c r="B229" s="52">
        <v>518.90000000000509</v>
      </c>
      <c r="C229" s="67">
        <v>134</v>
      </c>
      <c r="D229" s="61">
        <f t="shared" si="19"/>
        <v>100.00000000002274</v>
      </c>
      <c r="E229" s="61">
        <f>IFERROR(IF(B229-B228&lt;=0,"",D229/SQRT(Таблица_pr[[#This Row],[Удельное сопротивление грунта, Ом·м]])),D229/SQRT(Таблица_pr[[#This Row],[Удельное сопротивление грунта, Ом·м]]))</f>
        <v>8.6386842558155656</v>
      </c>
      <c r="G229" s="189">
        <v>224</v>
      </c>
      <c r="H229" s="185">
        <v>518.90000000000509</v>
      </c>
      <c r="I229" s="186">
        <v>134</v>
      </c>
      <c r="J229" s="180">
        <f t="shared" si="20"/>
        <v>100.00000000002274</v>
      </c>
      <c r="K229" s="61">
        <f>IFERROR(IF(H229-H228&lt;=0,"",J229/SQRT(Таблица_pr1[[#This Row],[Удельное сопротивление грунта, Ом·м]])),J229/SQRT(Таблица_pr1[[#This Row],[Удельное сопротивление грунта, Ом·м]]))</f>
        <v>8.6386842558155656</v>
      </c>
      <c r="Q229" s="61" t="str">
        <f>IFERROR(IF(N229-N228&lt;=0,"",P229/SQRT(Таблица_pr2[[#This Row],[Удельное сопротивление грунта, Ом·м]])),P229/SQRT(Таблица_pr2[[#This Row],[Удельное сопротивление грунта, Ом·м]]))</f>
        <v/>
      </c>
      <c r="S229" s="55"/>
      <c r="T229" s="52"/>
      <c r="U229" s="67"/>
      <c r="W229" s="61" t="str">
        <f>IFERROR(IF(T229-T228&lt;=0,"",V229/SQRT(Таблица_pr3[[#This Row],[Удельное сопротивление грунта, Ом·м]])),V229/SQRT(Таблица_pr3[[#This Row],[Удельное сопротивление грунта, Ом·м]]))</f>
        <v/>
      </c>
      <c r="Y229" s="55"/>
      <c r="Z229" s="52"/>
      <c r="AA229" s="67"/>
      <c r="AB229" s="61" t="str">
        <f t="shared" si="23"/>
        <v/>
      </c>
      <c r="AC229" s="61" t="str">
        <f>IFERROR(IF(Z229-Z228&lt;=0,"",AB229/SQRT(Таблица_pr4[[#This Row],[Удельное сопротивление грунта, Ом·м]])),AB229/SQRT(Таблица_pr4[[#This Row],[Удельное сопротивление грунта, Ом·м]]))</f>
        <v/>
      </c>
      <c r="AE229" s="55"/>
      <c r="AF229" s="52"/>
      <c r="AG229" s="67"/>
      <c r="AI229" s="61" t="str">
        <f>IFERROR(IF(AF229-AF228&lt;=0,"",AH229/SQRT(Таблица_pr5[[#This Row],[Удельное сопротивление грунта, Ом·м]])),AH229/SQRT(Таблица_pr5[[#This Row],[Удельное сопротивление грунта, Ом·м]]))</f>
        <v/>
      </c>
      <c r="AK229" s="55"/>
      <c r="AL229" s="52"/>
      <c r="AM229" s="67"/>
      <c r="AN229" s="61" t="str">
        <f t="shared" si="21"/>
        <v/>
      </c>
      <c r="AO229" s="61" t="str">
        <f>IFERROR(IF(AL229-AL228&lt;=0,"",AN229/SQRT(Таблица_pr6[[#This Row],[Удельное сопротивление грунта, Ом·м]])),AN229/SQRT(Таблица_pr6[[#This Row],[Удельное сопротивление грунта, Ом·м]]))</f>
        <v/>
      </c>
      <c r="AQ229" s="55"/>
      <c r="AR229" s="52"/>
      <c r="AS229" s="67"/>
      <c r="AU229" s="61" t="str">
        <f>IFERROR(IF(AR229-AR228&lt;=0,"",AT229/SQRT(Таблица_pr7[[#This Row],[Удельное сопротивление грунта, Ом·м]])),AT229/SQRT(Таблица_pr7[[#This Row],[Удельное сопротивление грунта, Ом·м]]))</f>
        <v/>
      </c>
      <c r="AW229" s="55"/>
      <c r="AX229" s="52"/>
      <c r="AY229" s="67"/>
      <c r="AZ229" s="61" t="str">
        <f t="shared" si="22"/>
        <v/>
      </c>
      <c r="BA229" s="61" t="str">
        <f>IFERROR(IF(AX229-AX228&lt;=0,"",AZ229/SQRT(Таблица_pr8[[#This Row],[Удельное сопротивление грунта, Ом·м]])),AZ229/SQRT(Таблица_pr8[[#This Row],[Удельное сопротивление грунта, Ом·м]]))</f>
        <v/>
      </c>
      <c r="BC229" s="55"/>
      <c r="BD229" s="52"/>
      <c r="BE229" s="67"/>
      <c r="BG229" s="61" t="str">
        <f>IFERROR(IF(BD229-AX248&lt;=0,"",BF229/SQRT(Таблица_pr9[[#This Row],[Удельное сопротивление грунта, Ом·м]])),BF229/SQRT(Таблица_pr9[[#This Row],[Удельное сопротивление грунта, Ом·м]]))</f>
        <v/>
      </c>
      <c r="BI229" s="55"/>
      <c r="BJ229" s="52"/>
      <c r="BK229" s="67"/>
      <c r="BM229" s="61" t="str">
        <f>IFERROR(IF(BJ229-BD258&lt;=0,"",BL229/SQRT(Таблица_pr10[[#This Row],[Удельное сопротивление грунта, Ом·м]])),BL229/SQRT(Таблица_pr10[[#This Row],[Удельное сопротивление грунта, Ом·м]]))</f>
        <v/>
      </c>
    </row>
    <row r="230" spans="1:65">
      <c r="A230" s="64">
        <v>225</v>
      </c>
      <c r="B230" s="52">
        <v>519.00000000000512</v>
      </c>
      <c r="C230" s="67">
        <v>163.6</v>
      </c>
      <c r="D230" s="61">
        <f t="shared" si="19"/>
        <v>100.00000000002274</v>
      </c>
      <c r="E230" s="61">
        <f>IFERROR(IF(B230-B229&lt;=0,"",D230/SQRT(Таблица_pr[[#This Row],[Удельное сопротивление грунта, Ом·м]])),D230/SQRT(Таблица_pr[[#This Row],[Удельное сопротивление грунта, Ом·м]]))</f>
        <v>7.818228340011304</v>
      </c>
      <c r="G230" s="188">
        <v>225</v>
      </c>
      <c r="H230" s="184">
        <v>519.00000000000512</v>
      </c>
      <c r="I230" s="187">
        <v>163.6</v>
      </c>
      <c r="J230" s="181">
        <f t="shared" si="20"/>
        <v>100.00000000002274</v>
      </c>
      <c r="K230" s="61">
        <f>IFERROR(IF(H230-H229&lt;=0,"",J230/SQRT(Таблица_pr1[[#This Row],[Удельное сопротивление грунта, Ом·м]])),J230/SQRT(Таблица_pr1[[#This Row],[Удельное сопротивление грунта, Ом·м]]))</f>
        <v>7.818228340011304</v>
      </c>
      <c r="Q230" s="61" t="str">
        <f>IFERROR(IF(N230-N229&lt;=0,"",P230/SQRT(Таблица_pr2[[#This Row],[Удельное сопротивление грунта, Ом·м]])),P230/SQRT(Таблица_pr2[[#This Row],[Удельное сопротивление грунта, Ом·м]]))</f>
        <v/>
      </c>
      <c r="S230" s="55"/>
      <c r="T230" s="52"/>
      <c r="U230" s="67"/>
      <c r="W230" s="61" t="str">
        <f>IFERROR(IF(T230-T229&lt;=0,"",V230/SQRT(Таблица_pr3[[#This Row],[Удельное сопротивление грунта, Ом·м]])),V230/SQRT(Таблица_pr3[[#This Row],[Удельное сопротивление грунта, Ом·м]]))</f>
        <v/>
      </c>
      <c r="Y230" s="55"/>
      <c r="Z230" s="52"/>
      <c r="AA230" s="67"/>
      <c r="AB230" s="61" t="str">
        <f t="shared" si="23"/>
        <v/>
      </c>
      <c r="AC230" s="61" t="str">
        <f>IFERROR(IF(Z230-Z229&lt;=0,"",AB230/SQRT(Таблица_pr4[[#This Row],[Удельное сопротивление грунта, Ом·м]])),AB230/SQRT(Таблица_pr4[[#This Row],[Удельное сопротивление грунта, Ом·м]]))</f>
        <v/>
      </c>
      <c r="AE230" s="55"/>
      <c r="AF230" s="52"/>
      <c r="AG230" s="67"/>
      <c r="AI230" s="61" t="str">
        <f>IFERROR(IF(AF230-AF229&lt;=0,"",AH230/SQRT(Таблица_pr5[[#This Row],[Удельное сопротивление грунта, Ом·м]])),AH230/SQRT(Таблица_pr5[[#This Row],[Удельное сопротивление грунта, Ом·м]]))</f>
        <v/>
      </c>
      <c r="AK230" s="55"/>
      <c r="AL230" s="52"/>
      <c r="AM230" s="67"/>
      <c r="AN230" s="61" t="str">
        <f t="shared" si="21"/>
        <v/>
      </c>
      <c r="AO230" s="61" t="str">
        <f>IFERROR(IF(AL230-AL229&lt;=0,"",AN230/SQRT(Таблица_pr6[[#This Row],[Удельное сопротивление грунта, Ом·м]])),AN230/SQRT(Таблица_pr6[[#This Row],[Удельное сопротивление грунта, Ом·м]]))</f>
        <v/>
      </c>
      <c r="AQ230" s="55"/>
      <c r="AR230" s="52"/>
      <c r="AS230" s="67"/>
      <c r="AU230" s="61" t="str">
        <f>IFERROR(IF(AR230-AR229&lt;=0,"",AT230/SQRT(Таблица_pr7[[#This Row],[Удельное сопротивление грунта, Ом·м]])),AT230/SQRT(Таблица_pr7[[#This Row],[Удельное сопротивление грунта, Ом·м]]))</f>
        <v/>
      </c>
      <c r="AW230" s="55"/>
      <c r="AX230" s="52"/>
      <c r="AY230" s="67"/>
      <c r="AZ230" s="61" t="str">
        <f t="shared" si="22"/>
        <v/>
      </c>
      <c r="BA230" s="61" t="str">
        <f>IFERROR(IF(AX230-AX229&lt;=0,"",AZ230/SQRT(Таблица_pr8[[#This Row],[Удельное сопротивление грунта, Ом·м]])),AZ230/SQRT(Таблица_pr8[[#This Row],[Удельное сопротивление грунта, Ом·м]]))</f>
        <v/>
      </c>
      <c r="BC230" s="55"/>
      <c r="BD230" s="52"/>
      <c r="BE230" s="67"/>
      <c r="BG230" s="61" t="str">
        <f>IFERROR(IF(BD230-AX249&lt;=0,"",BF230/SQRT(Таблица_pr9[[#This Row],[Удельное сопротивление грунта, Ом·м]])),BF230/SQRT(Таблица_pr9[[#This Row],[Удельное сопротивление грунта, Ом·м]]))</f>
        <v/>
      </c>
      <c r="BI230" s="55"/>
      <c r="BJ230" s="52"/>
      <c r="BK230" s="67"/>
      <c r="BM230" s="61" t="str">
        <f>IFERROR(IF(BJ230-BD259&lt;=0,"",BL230/SQRT(Таблица_pr10[[#This Row],[Удельное сопротивление грунта, Ом·м]])),BL230/SQRT(Таблица_pr10[[#This Row],[Удельное сопротивление грунта, Ом·м]]))</f>
        <v/>
      </c>
    </row>
    <row r="231" spans="1:65">
      <c r="A231" s="64">
        <v>226</v>
      </c>
      <c r="B231" s="52">
        <v>519.10000000000514</v>
      </c>
      <c r="C231" s="67">
        <v>91.7</v>
      </c>
      <c r="D231" s="61">
        <f t="shared" si="19"/>
        <v>100.00000000002274</v>
      </c>
      <c r="E231" s="61">
        <f>IFERROR(IF(B231-B230&lt;=0,"",D231/SQRT(Таблица_pr[[#This Row],[Удельное сопротивление грунта, Ом·м]])),D231/SQRT(Таблица_pr[[#This Row],[Удельное сопротивление грунта, Ом·м]]))</f>
        <v>10.442760846130282</v>
      </c>
      <c r="G231" s="189">
        <v>226</v>
      </c>
      <c r="H231" s="185">
        <v>519.10000000000514</v>
      </c>
      <c r="I231" s="186">
        <v>91.7</v>
      </c>
      <c r="J231" s="180">
        <f t="shared" si="20"/>
        <v>100.00000000002274</v>
      </c>
      <c r="K231" s="61">
        <f>IFERROR(IF(H231-H230&lt;=0,"",J231/SQRT(Таблица_pr1[[#This Row],[Удельное сопротивление грунта, Ом·м]])),J231/SQRT(Таблица_pr1[[#This Row],[Удельное сопротивление грунта, Ом·м]]))</f>
        <v>10.442760846130282</v>
      </c>
      <c r="Q231" s="61" t="str">
        <f>IFERROR(IF(N231-N230&lt;=0,"",P231/SQRT(Таблица_pr2[[#This Row],[Удельное сопротивление грунта, Ом·м]])),P231/SQRT(Таблица_pr2[[#This Row],[Удельное сопротивление грунта, Ом·м]]))</f>
        <v/>
      </c>
      <c r="S231" s="55"/>
      <c r="T231" s="52"/>
      <c r="U231" s="67"/>
      <c r="W231" s="61" t="str">
        <f>IFERROR(IF(T231-T230&lt;=0,"",V231/SQRT(Таблица_pr3[[#This Row],[Удельное сопротивление грунта, Ом·м]])),V231/SQRT(Таблица_pr3[[#This Row],[Удельное сопротивление грунта, Ом·м]]))</f>
        <v/>
      </c>
      <c r="Y231" s="55"/>
      <c r="Z231" s="52"/>
      <c r="AA231" s="67"/>
      <c r="AB231" s="61" t="str">
        <f t="shared" si="23"/>
        <v/>
      </c>
      <c r="AC231" s="61" t="str">
        <f>IFERROR(IF(Z231-Z230&lt;=0,"",AB231/SQRT(Таблица_pr4[[#This Row],[Удельное сопротивление грунта, Ом·м]])),AB231/SQRT(Таблица_pr4[[#This Row],[Удельное сопротивление грунта, Ом·м]]))</f>
        <v/>
      </c>
      <c r="AE231" s="55"/>
      <c r="AF231" s="52"/>
      <c r="AG231" s="67"/>
      <c r="AI231" s="61" t="str">
        <f>IFERROR(IF(AF231-AF230&lt;=0,"",AH231/SQRT(Таблица_pr5[[#This Row],[Удельное сопротивление грунта, Ом·м]])),AH231/SQRT(Таблица_pr5[[#This Row],[Удельное сопротивление грунта, Ом·м]]))</f>
        <v/>
      </c>
      <c r="AK231" s="55"/>
      <c r="AL231" s="52"/>
      <c r="AM231" s="67"/>
      <c r="AN231" s="61" t="str">
        <f t="shared" si="21"/>
        <v/>
      </c>
      <c r="AO231" s="61" t="str">
        <f>IFERROR(IF(AL231-AL230&lt;=0,"",AN231/SQRT(Таблица_pr6[[#This Row],[Удельное сопротивление грунта, Ом·м]])),AN231/SQRT(Таблица_pr6[[#This Row],[Удельное сопротивление грунта, Ом·м]]))</f>
        <v/>
      </c>
      <c r="AQ231" s="55"/>
      <c r="AR231" s="52"/>
      <c r="AS231" s="67"/>
      <c r="AU231" s="61" t="str">
        <f>IFERROR(IF(AR231-AR230&lt;=0,"",AT231/SQRT(Таблица_pr7[[#This Row],[Удельное сопротивление грунта, Ом·м]])),AT231/SQRT(Таблица_pr7[[#This Row],[Удельное сопротивление грунта, Ом·м]]))</f>
        <v/>
      </c>
      <c r="AW231" s="55"/>
      <c r="AX231" s="52"/>
      <c r="AY231" s="67"/>
      <c r="AZ231" s="61" t="str">
        <f t="shared" si="22"/>
        <v/>
      </c>
      <c r="BA231" s="61" t="str">
        <f>IFERROR(IF(AX231-AX230&lt;=0,"",AZ231/SQRT(Таблица_pr8[[#This Row],[Удельное сопротивление грунта, Ом·м]])),AZ231/SQRT(Таблица_pr8[[#This Row],[Удельное сопротивление грунта, Ом·м]]))</f>
        <v/>
      </c>
      <c r="BC231" s="55"/>
      <c r="BD231" s="52"/>
      <c r="BE231" s="67"/>
      <c r="BG231" s="61" t="str">
        <f>IFERROR(IF(BD231-AX250&lt;=0,"",BF231/SQRT(Таблица_pr9[[#This Row],[Удельное сопротивление грунта, Ом·м]])),BF231/SQRT(Таблица_pr9[[#This Row],[Удельное сопротивление грунта, Ом·м]]))</f>
        <v/>
      </c>
      <c r="BI231" s="55"/>
      <c r="BJ231" s="52"/>
      <c r="BK231" s="67"/>
      <c r="BM231" s="61" t="str">
        <f>IFERROR(IF(BJ231-BD260&lt;=0,"",BL231/SQRT(Таблица_pr10[[#This Row],[Удельное сопротивление грунта, Ом·м]])),BL231/SQRT(Таблица_pr10[[#This Row],[Удельное сопротивление грунта, Ом·м]]))</f>
        <v/>
      </c>
    </row>
    <row r="232" spans="1:65">
      <c r="A232" s="64">
        <v>227</v>
      </c>
      <c r="B232" s="52">
        <v>519.20000000000516</v>
      </c>
      <c r="C232" s="67">
        <v>202.6</v>
      </c>
      <c r="D232" s="61">
        <f t="shared" si="19"/>
        <v>100.00000000002274</v>
      </c>
      <c r="E232" s="61">
        <f>IFERROR(IF(B232-B231&lt;=0,"",D232/SQRT(Таблица_pr[[#This Row],[Удельное сопротивление грунта, Ом·м]])),D232/SQRT(Таблица_pr[[#This Row],[Удельное сопротивление грунта, Ом·м]]))</f>
        <v>7.0255491998665871</v>
      </c>
      <c r="G232" s="188">
        <v>227</v>
      </c>
      <c r="H232" s="184">
        <v>519.20000000000516</v>
      </c>
      <c r="I232" s="187">
        <v>202.6</v>
      </c>
      <c r="J232" s="181">
        <f t="shared" si="20"/>
        <v>100.00000000002274</v>
      </c>
      <c r="K232" s="61">
        <f>IFERROR(IF(H232-H231&lt;=0,"",J232/SQRT(Таблица_pr1[[#This Row],[Удельное сопротивление грунта, Ом·м]])),J232/SQRT(Таблица_pr1[[#This Row],[Удельное сопротивление грунта, Ом·м]]))</f>
        <v>7.0255491998665871</v>
      </c>
      <c r="Q232" s="61" t="str">
        <f>IFERROR(IF(N232-N231&lt;=0,"",P232/SQRT(Таблица_pr2[[#This Row],[Удельное сопротивление грунта, Ом·м]])),P232/SQRT(Таблица_pr2[[#This Row],[Удельное сопротивление грунта, Ом·м]]))</f>
        <v/>
      </c>
      <c r="S232" s="55"/>
      <c r="T232" s="52"/>
      <c r="U232" s="67"/>
      <c r="W232" s="61" t="str">
        <f>IFERROR(IF(T232-T231&lt;=0,"",V232/SQRT(Таблица_pr3[[#This Row],[Удельное сопротивление грунта, Ом·м]])),V232/SQRT(Таблица_pr3[[#This Row],[Удельное сопротивление грунта, Ом·м]]))</f>
        <v/>
      </c>
      <c r="Y232" s="55"/>
      <c r="Z232" s="52"/>
      <c r="AA232" s="67"/>
      <c r="AB232" s="61" t="str">
        <f t="shared" si="23"/>
        <v/>
      </c>
      <c r="AC232" s="61" t="str">
        <f>IFERROR(IF(Z232-Z231&lt;=0,"",AB232/SQRT(Таблица_pr4[[#This Row],[Удельное сопротивление грунта, Ом·м]])),AB232/SQRT(Таблица_pr4[[#This Row],[Удельное сопротивление грунта, Ом·м]]))</f>
        <v/>
      </c>
      <c r="AE232" s="55"/>
      <c r="AF232" s="52"/>
      <c r="AG232" s="67"/>
      <c r="AI232" s="61" t="str">
        <f>IFERROR(IF(AF232-AF231&lt;=0,"",AH232/SQRT(Таблица_pr5[[#This Row],[Удельное сопротивление грунта, Ом·м]])),AH232/SQRT(Таблица_pr5[[#This Row],[Удельное сопротивление грунта, Ом·м]]))</f>
        <v/>
      </c>
      <c r="AK232" s="55"/>
      <c r="AL232" s="52"/>
      <c r="AM232" s="67"/>
      <c r="AN232" s="61" t="str">
        <f t="shared" si="21"/>
        <v/>
      </c>
      <c r="AO232" s="61" t="str">
        <f>IFERROR(IF(AL232-AL231&lt;=0,"",AN232/SQRT(Таблица_pr6[[#This Row],[Удельное сопротивление грунта, Ом·м]])),AN232/SQRT(Таблица_pr6[[#This Row],[Удельное сопротивление грунта, Ом·м]]))</f>
        <v/>
      </c>
      <c r="AQ232" s="55"/>
      <c r="AR232" s="52"/>
      <c r="AS232" s="67"/>
      <c r="AU232" s="61" t="str">
        <f>IFERROR(IF(AR232-AR231&lt;=0,"",AT232/SQRT(Таблица_pr7[[#This Row],[Удельное сопротивление грунта, Ом·м]])),AT232/SQRT(Таблица_pr7[[#This Row],[Удельное сопротивление грунта, Ом·м]]))</f>
        <v/>
      </c>
      <c r="AW232" s="55"/>
      <c r="AX232" s="52"/>
      <c r="AY232" s="67"/>
      <c r="AZ232" s="61" t="str">
        <f t="shared" si="22"/>
        <v/>
      </c>
      <c r="BA232" s="61" t="str">
        <f>IFERROR(IF(AX232-AX231&lt;=0,"",AZ232/SQRT(Таблица_pr8[[#This Row],[Удельное сопротивление грунта, Ом·м]])),AZ232/SQRT(Таблица_pr8[[#This Row],[Удельное сопротивление грунта, Ом·м]]))</f>
        <v/>
      </c>
      <c r="BC232" s="55"/>
      <c r="BD232" s="52"/>
      <c r="BE232" s="67"/>
      <c r="BG232" s="61" t="str">
        <f>IFERROR(IF(BD232-AX251&lt;=0,"",BF232/SQRT(Таблица_pr9[[#This Row],[Удельное сопротивление грунта, Ом·м]])),BF232/SQRT(Таблица_pr9[[#This Row],[Удельное сопротивление грунта, Ом·м]]))</f>
        <v/>
      </c>
      <c r="BI232" s="55"/>
      <c r="BJ232" s="52"/>
      <c r="BK232" s="67"/>
      <c r="BM232" s="61" t="str">
        <f>IFERROR(IF(BJ232-BD261&lt;=0,"",BL232/SQRT(Таблица_pr10[[#This Row],[Удельное сопротивление грунта, Ом·м]])),BL232/SQRT(Таблица_pr10[[#This Row],[Удельное сопротивление грунта, Ом·м]]))</f>
        <v/>
      </c>
    </row>
    <row r="233" spans="1:65">
      <c r="A233" s="64">
        <v>228</v>
      </c>
      <c r="B233" s="52">
        <v>519.30000000000518</v>
      </c>
      <c r="C233" s="67">
        <v>225.3</v>
      </c>
      <c r="D233" s="61">
        <f t="shared" si="19"/>
        <v>100.00000000002274</v>
      </c>
      <c r="E233" s="61">
        <f>IFERROR(IF(B233-B232&lt;=0,"",D233/SQRT(Таблица_pr[[#This Row],[Удельное сопротивление грунта, Ом·м]])),D233/SQRT(Таблица_pr[[#This Row],[Удельное сопротивление грунта, Ом·м]]))</f>
        <v>6.662226661735664</v>
      </c>
      <c r="G233" s="189">
        <v>228</v>
      </c>
      <c r="H233" s="185">
        <v>519.30000000000518</v>
      </c>
      <c r="I233" s="186">
        <v>225.3</v>
      </c>
      <c r="J233" s="180">
        <f t="shared" si="20"/>
        <v>100.00000000002274</v>
      </c>
      <c r="K233" s="61">
        <f>IFERROR(IF(H233-H232&lt;=0,"",J233/SQRT(Таблица_pr1[[#This Row],[Удельное сопротивление грунта, Ом·м]])),J233/SQRT(Таблица_pr1[[#This Row],[Удельное сопротивление грунта, Ом·м]]))</f>
        <v>6.662226661735664</v>
      </c>
      <c r="Q233" s="61" t="str">
        <f>IFERROR(IF(N233-N232&lt;=0,"",P233/SQRT(Таблица_pr2[[#This Row],[Удельное сопротивление грунта, Ом·м]])),P233/SQRT(Таблица_pr2[[#This Row],[Удельное сопротивление грунта, Ом·м]]))</f>
        <v/>
      </c>
      <c r="S233" s="55"/>
      <c r="T233" s="52"/>
      <c r="U233" s="67"/>
      <c r="W233" s="61" t="str">
        <f>IFERROR(IF(T233-T232&lt;=0,"",V233/SQRT(Таблица_pr3[[#This Row],[Удельное сопротивление грунта, Ом·м]])),V233/SQRT(Таблица_pr3[[#This Row],[Удельное сопротивление грунта, Ом·м]]))</f>
        <v/>
      </c>
      <c r="Y233" s="55"/>
      <c r="Z233" s="52"/>
      <c r="AA233" s="67"/>
      <c r="AB233" s="61" t="str">
        <f t="shared" si="23"/>
        <v/>
      </c>
      <c r="AC233" s="61" t="str">
        <f>IFERROR(IF(Z233-Z232&lt;=0,"",AB233/SQRT(Таблица_pr4[[#This Row],[Удельное сопротивление грунта, Ом·м]])),AB233/SQRT(Таблица_pr4[[#This Row],[Удельное сопротивление грунта, Ом·м]]))</f>
        <v/>
      </c>
      <c r="AE233" s="55"/>
      <c r="AF233" s="52"/>
      <c r="AG233" s="67"/>
      <c r="AI233" s="61" t="str">
        <f>IFERROR(IF(AF233-AF232&lt;=0,"",AH233/SQRT(Таблица_pr5[[#This Row],[Удельное сопротивление грунта, Ом·м]])),AH233/SQRT(Таблица_pr5[[#This Row],[Удельное сопротивление грунта, Ом·м]]))</f>
        <v/>
      </c>
      <c r="AK233" s="55"/>
      <c r="AL233" s="52"/>
      <c r="AM233" s="67"/>
      <c r="AN233" s="61" t="str">
        <f t="shared" si="21"/>
        <v/>
      </c>
      <c r="AO233" s="61" t="str">
        <f>IFERROR(IF(AL233-AL232&lt;=0,"",AN233/SQRT(Таблица_pr6[[#This Row],[Удельное сопротивление грунта, Ом·м]])),AN233/SQRT(Таблица_pr6[[#This Row],[Удельное сопротивление грунта, Ом·м]]))</f>
        <v/>
      </c>
      <c r="AQ233" s="55"/>
      <c r="AR233" s="52"/>
      <c r="AS233" s="67"/>
      <c r="AU233" s="61" t="str">
        <f>IFERROR(IF(AR233-AR232&lt;=0,"",AT233/SQRT(Таблица_pr7[[#This Row],[Удельное сопротивление грунта, Ом·м]])),AT233/SQRT(Таблица_pr7[[#This Row],[Удельное сопротивление грунта, Ом·м]]))</f>
        <v/>
      </c>
      <c r="AW233" s="55"/>
      <c r="AX233" s="52"/>
      <c r="AY233" s="67"/>
      <c r="AZ233" s="61" t="str">
        <f t="shared" si="22"/>
        <v/>
      </c>
      <c r="BA233" s="61" t="str">
        <f>IFERROR(IF(AX233-AX232&lt;=0,"",AZ233/SQRT(Таблица_pr8[[#This Row],[Удельное сопротивление грунта, Ом·м]])),AZ233/SQRT(Таблица_pr8[[#This Row],[Удельное сопротивление грунта, Ом·м]]))</f>
        <v/>
      </c>
      <c r="BC233" s="55"/>
      <c r="BD233" s="52"/>
      <c r="BE233" s="67"/>
      <c r="BG233" s="61" t="str">
        <f>IFERROR(IF(BD233-AX252&lt;=0,"",BF233/SQRT(Таблица_pr9[[#This Row],[Удельное сопротивление грунта, Ом·м]])),BF233/SQRT(Таблица_pr9[[#This Row],[Удельное сопротивление грунта, Ом·м]]))</f>
        <v/>
      </c>
      <c r="BI233" s="55"/>
      <c r="BJ233" s="52"/>
      <c r="BK233" s="67"/>
      <c r="BM233" s="61" t="str">
        <f>IFERROR(IF(BJ233-BD262&lt;=0,"",BL233/SQRT(Таблица_pr10[[#This Row],[Удельное сопротивление грунта, Ом·м]])),BL233/SQRT(Таблица_pr10[[#This Row],[Удельное сопротивление грунта, Ом·м]]))</f>
        <v/>
      </c>
    </row>
    <row r="234" spans="1:65">
      <c r="A234" s="64">
        <v>229</v>
      </c>
      <c r="B234" s="52">
        <v>519.40000000000521</v>
      </c>
      <c r="C234" s="67">
        <v>246</v>
      </c>
      <c r="D234" s="61">
        <f t="shared" si="19"/>
        <v>100.00000000002274</v>
      </c>
      <c r="E234" s="61">
        <f>IFERROR(IF(B234-B233&lt;=0,"",D234/SQRT(Таблица_pr[[#This Row],[Удельное сопротивление грунта, Ом·м]])),D234/SQRT(Таблица_pr[[#This Row],[Удельное сопротивление грунта, Ом·м]]))</f>
        <v>6.3757671306348325</v>
      </c>
      <c r="G234" s="188">
        <v>229</v>
      </c>
      <c r="H234" s="184">
        <v>519.40000000000521</v>
      </c>
      <c r="I234" s="187">
        <v>246</v>
      </c>
      <c r="J234" s="181">
        <f t="shared" si="20"/>
        <v>100.00000000002274</v>
      </c>
      <c r="K234" s="61">
        <f>IFERROR(IF(H234-H233&lt;=0,"",J234/SQRT(Таблица_pr1[[#This Row],[Удельное сопротивление грунта, Ом·м]])),J234/SQRT(Таблица_pr1[[#This Row],[Удельное сопротивление грунта, Ом·м]]))</f>
        <v>6.3757671306348325</v>
      </c>
      <c r="Q234" s="61" t="str">
        <f>IFERROR(IF(N234-N233&lt;=0,"",P234/SQRT(Таблица_pr2[[#This Row],[Удельное сопротивление грунта, Ом·м]])),P234/SQRT(Таблица_pr2[[#This Row],[Удельное сопротивление грунта, Ом·м]]))</f>
        <v/>
      </c>
      <c r="S234" s="55"/>
      <c r="T234" s="52"/>
      <c r="U234" s="67"/>
      <c r="W234" s="61" t="str">
        <f>IFERROR(IF(T234-T233&lt;=0,"",V234/SQRT(Таблица_pr3[[#This Row],[Удельное сопротивление грунта, Ом·м]])),V234/SQRT(Таблица_pr3[[#This Row],[Удельное сопротивление грунта, Ом·м]]))</f>
        <v/>
      </c>
      <c r="Y234" s="55"/>
      <c r="Z234" s="52"/>
      <c r="AA234" s="67"/>
      <c r="AB234" s="61" t="str">
        <f t="shared" si="23"/>
        <v/>
      </c>
      <c r="AC234" s="61" t="str">
        <f>IFERROR(IF(Z234-Z233&lt;=0,"",AB234/SQRT(Таблица_pr4[[#This Row],[Удельное сопротивление грунта, Ом·м]])),AB234/SQRT(Таблица_pr4[[#This Row],[Удельное сопротивление грунта, Ом·м]]))</f>
        <v/>
      </c>
      <c r="AE234" s="55"/>
      <c r="AF234" s="52"/>
      <c r="AG234" s="67"/>
      <c r="AI234" s="61" t="str">
        <f>IFERROR(IF(AF234-AF233&lt;=0,"",AH234/SQRT(Таблица_pr5[[#This Row],[Удельное сопротивление грунта, Ом·м]])),AH234/SQRT(Таблица_pr5[[#This Row],[Удельное сопротивление грунта, Ом·м]]))</f>
        <v/>
      </c>
      <c r="AK234" s="55"/>
      <c r="AL234" s="52"/>
      <c r="AM234" s="67"/>
      <c r="AN234" s="61" t="str">
        <f t="shared" si="21"/>
        <v/>
      </c>
      <c r="AO234" s="61" t="str">
        <f>IFERROR(IF(AL234-AL233&lt;=0,"",AN234/SQRT(Таблица_pr6[[#This Row],[Удельное сопротивление грунта, Ом·м]])),AN234/SQRT(Таблица_pr6[[#This Row],[Удельное сопротивление грунта, Ом·м]]))</f>
        <v/>
      </c>
      <c r="AQ234" s="55"/>
      <c r="AR234" s="52"/>
      <c r="AS234" s="67"/>
      <c r="AU234" s="61" t="str">
        <f>IFERROR(IF(AR234-AR233&lt;=0,"",AT234/SQRT(Таблица_pr7[[#This Row],[Удельное сопротивление грунта, Ом·м]])),AT234/SQRT(Таблица_pr7[[#This Row],[Удельное сопротивление грунта, Ом·м]]))</f>
        <v/>
      </c>
      <c r="AW234" s="55"/>
      <c r="AX234" s="52"/>
      <c r="AY234" s="67"/>
      <c r="AZ234" s="61" t="str">
        <f t="shared" si="22"/>
        <v/>
      </c>
      <c r="BA234" s="61" t="str">
        <f>IFERROR(IF(AX234-AX233&lt;=0,"",AZ234/SQRT(Таблица_pr8[[#This Row],[Удельное сопротивление грунта, Ом·м]])),AZ234/SQRT(Таблица_pr8[[#This Row],[Удельное сопротивление грунта, Ом·м]]))</f>
        <v/>
      </c>
      <c r="BC234" s="55"/>
      <c r="BD234" s="52"/>
      <c r="BE234" s="67"/>
      <c r="BG234" s="61" t="str">
        <f>IFERROR(IF(BD234-AX253&lt;=0,"",BF234/SQRT(Таблица_pr9[[#This Row],[Удельное сопротивление грунта, Ом·м]])),BF234/SQRT(Таблица_pr9[[#This Row],[Удельное сопротивление грунта, Ом·м]]))</f>
        <v/>
      </c>
      <c r="BI234" s="55"/>
      <c r="BJ234" s="52"/>
      <c r="BK234" s="67"/>
      <c r="BM234" s="61" t="str">
        <f>IFERROR(IF(BJ234-BD263&lt;=0,"",BL234/SQRT(Таблица_pr10[[#This Row],[Удельное сопротивление грунта, Ом·м]])),BL234/SQRT(Таблица_pr10[[#This Row],[Удельное сопротивление грунта, Ом·м]]))</f>
        <v/>
      </c>
    </row>
    <row r="235" spans="1:65">
      <c r="A235" s="64">
        <v>230</v>
      </c>
      <c r="B235" s="52">
        <v>519.50000000000523</v>
      </c>
      <c r="C235" s="67">
        <v>271.2</v>
      </c>
      <c r="D235" s="61">
        <f t="shared" si="19"/>
        <v>100.00000000002274</v>
      </c>
      <c r="E235" s="61">
        <f>IFERROR(IF(B235-B234&lt;=0,"",D235/SQRT(Таблица_pr[[#This Row],[Удельное сопротивление грунта, Ом·м]])),D235/SQRT(Таблица_pr[[#This Row],[Удельное сопротивление грунта, Ом·м]]))</f>
        <v>6.0723270944671341</v>
      </c>
      <c r="G235" s="189">
        <v>230</v>
      </c>
      <c r="H235" s="185">
        <v>519.50000000000523</v>
      </c>
      <c r="I235" s="186">
        <v>271.2</v>
      </c>
      <c r="J235" s="180">
        <f t="shared" si="20"/>
        <v>100.00000000002274</v>
      </c>
      <c r="K235" s="61">
        <f>IFERROR(IF(H235-H234&lt;=0,"",J235/SQRT(Таблица_pr1[[#This Row],[Удельное сопротивление грунта, Ом·м]])),J235/SQRT(Таблица_pr1[[#This Row],[Удельное сопротивление грунта, Ом·м]]))</f>
        <v>6.0723270944671341</v>
      </c>
      <c r="Q235" s="61" t="str">
        <f>IFERROR(IF(N235-N234&lt;=0,"",P235/SQRT(Таблица_pr2[[#This Row],[Удельное сопротивление грунта, Ом·м]])),P235/SQRT(Таблица_pr2[[#This Row],[Удельное сопротивление грунта, Ом·м]]))</f>
        <v/>
      </c>
      <c r="S235" s="55"/>
      <c r="T235" s="52"/>
      <c r="U235" s="67"/>
      <c r="W235" s="61" t="str">
        <f>IFERROR(IF(T235-T234&lt;=0,"",V235/SQRT(Таблица_pr3[[#This Row],[Удельное сопротивление грунта, Ом·м]])),V235/SQRT(Таблица_pr3[[#This Row],[Удельное сопротивление грунта, Ом·м]]))</f>
        <v/>
      </c>
      <c r="Y235" s="55"/>
      <c r="Z235" s="52"/>
      <c r="AA235" s="67"/>
      <c r="AB235" s="61" t="str">
        <f t="shared" si="23"/>
        <v/>
      </c>
      <c r="AC235" s="61" t="str">
        <f>IFERROR(IF(Z235-Z234&lt;=0,"",AB235/SQRT(Таблица_pr4[[#This Row],[Удельное сопротивление грунта, Ом·м]])),AB235/SQRT(Таблица_pr4[[#This Row],[Удельное сопротивление грунта, Ом·м]]))</f>
        <v/>
      </c>
      <c r="AE235" s="55"/>
      <c r="AF235" s="52"/>
      <c r="AG235" s="67"/>
      <c r="AI235" s="61" t="str">
        <f>IFERROR(IF(AF235-AF234&lt;=0,"",AH235/SQRT(Таблица_pr5[[#This Row],[Удельное сопротивление грунта, Ом·м]])),AH235/SQRT(Таблица_pr5[[#This Row],[Удельное сопротивление грунта, Ом·м]]))</f>
        <v/>
      </c>
      <c r="AK235" s="55"/>
      <c r="AL235" s="52"/>
      <c r="AM235" s="67"/>
      <c r="AN235" s="61" t="str">
        <f t="shared" si="21"/>
        <v/>
      </c>
      <c r="AO235" s="61" t="str">
        <f>IFERROR(IF(AL235-AL234&lt;=0,"",AN235/SQRT(Таблица_pr6[[#This Row],[Удельное сопротивление грунта, Ом·м]])),AN235/SQRT(Таблица_pr6[[#This Row],[Удельное сопротивление грунта, Ом·м]]))</f>
        <v/>
      </c>
      <c r="AQ235" s="55"/>
      <c r="AR235" s="52"/>
      <c r="AS235" s="67"/>
      <c r="AU235" s="61" t="str">
        <f>IFERROR(IF(AR235-AR234&lt;=0,"",AT235/SQRT(Таблица_pr7[[#This Row],[Удельное сопротивление грунта, Ом·м]])),AT235/SQRT(Таблица_pr7[[#This Row],[Удельное сопротивление грунта, Ом·м]]))</f>
        <v/>
      </c>
      <c r="AW235" s="55"/>
      <c r="AX235" s="52"/>
      <c r="AY235" s="67"/>
      <c r="AZ235" s="61" t="str">
        <f t="shared" si="22"/>
        <v/>
      </c>
      <c r="BA235" s="61" t="str">
        <f>IFERROR(IF(AX235-AX234&lt;=0,"",AZ235/SQRT(Таблица_pr8[[#This Row],[Удельное сопротивление грунта, Ом·м]])),AZ235/SQRT(Таблица_pr8[[#This Row],[Удельное сопротивление грунта, Ом·м]]))</f>
        <v/>
      </c>
      <c r="BC235" s="55"/>
      <c r="BD235" s="52"/>
      <c r="BE235" s="67"/>
      <c r="BG235" s="61" t="str">
        <f>IFERROR(IF(BD235-AX254&lt;=0,"",BF235/SQRT(Таблица_pr9[[#This Row],[Удельное сопротивление грунта, Ом·м]])),BF235/SQRT(Таблица_pr9[[#This Row],[Удельное сопротивление грунта, Ом·м]]))</f>
        <v/>
      </c>
      <c r="BI235" s="55"/>
      <c r="BJ235" s="52"/>
      <c r="BK235" s="67"/>
      <c r="BM235" s="61" t="str">
        <f>IFERROR(IF(BJ235-BD264&lt;=0,"",BL235/SQRT(Таблица_pr10[[#This Row],[Удельное сопротивление грунта, Ом·м]])),BL235/SQRT(Таблица_pr10[[#This Row],[Удельное сопротивление грунта, Ом·м]]))</f>
        <v/>
      </c>
    </row>
    <row r="236" spans="1:65">
      <c r="A236" s="64">
        <v>231</v>
      </c>
      <c r="B236" s="52">
        <v>519.60000000000525</v>
      </c>
      <c r="C236" s="67">
        <v>272</v>
      </c>
      <c r="D236" s="61">
        <f t="shared" si="19"/>
        <v>100.00000000002274</v>
      </c>
      <c r="E236" s="61">
        <f>IFERROR(IF(B236-B235&lt;=0,"",D236/SQRT(Таблица_pr[[#This Row],[Удельное сопротивление грунта, Ом·м]])),D236/SQRT(Таблица_pr[[#This Row],[Удельное сопротивление грунта, Ом·м]]))</f>
        <v>6.0633906259097028</v>
      </c>
      <c r="G236" s="188">
        <v>231</v>
      </c>
      <c r="H236" s="184">
        <v>519.60000000000525</v>
      </c>
      <c r="I236" s="187">
        <v>272</v>
      </c>
      <c r="J236" s="181">
        <f t="shared" si="20"/>
        <v>100.00000000002274</v>
      </c>
      <c r="K236" s="61">
        <f>IFERROR(IF(H236-H235&lt;=0,"",J236/SQRT(Таблица_pr1[[#This Row],[Удельное сопротивление грунта, Ом·м]])),J236/SQRT(Таблица_pr1[[#This Row],[Удельное сопротивление грунта, Ом·м]]))</f>
        <v>6.0633906259097028</v>
      </c>
      <c r="Q236" s="61" t="str">
        <f>IFERROR(IF(N236-N235&lt;=0,"",P236/SQRT(Таблица_pr2[[#This Row],[Удельное сопротивление грунта, Ом·м]])),P236/SQRT(Таблица_pr2[[#This Row],[Удельное сопротивление грунта, Ом·м]]))</f>
        <v/>
      </c>
      <c r="S236" s="55"/>
      <c r="T236" s="52"/>
      <c r="U236" s="67"/>
      <c r="W236" s="61" t="str">
        <f>IFERROR(IF(T236-T235&lt;=0,"",V236/SQRT(Таблица_pr3[[#This Row],[Удельное сопротивление грунта, Ом·м]])),V236/SQRT(Таблица_pr3[[#This Row],[Удельное сопротивление грунта, Ом·м]]))</f>
        <v/>
      </c>
      <c r="Y236" s="55"/>
      <c r="Z236" s="52"/>
      <c r="AA236" s="67"/>
      <c r="AB236" s="61" t="str">
        <f t="shared" si="23"/>
        <v/>
      </c>
      <c r="AC236" s="61" t="str">
        <f>IFERROR(IF(Z236-Z235&lt;=0,"",AB236/SQRT(Таблица_pr4[[#This Row],[Удельное сопротивление грунта, Ом·м]])),AB236/SQRT(Таблица_pr4[[#This Row],[Удельное сопротивление грунта, Ом·м]]))</f>
        <v/>
      </c>
      <c r="AE236" s="55"/>
      <c r="AF236" s="52"/>
      <c r="AG236" s="67"/>
      <c r="AI236" s="61" t="str">
        <f>IFERROR(IF(AF236-AF235&lt;=0,"",AH236/SQRT(Таблица_pr5[[#This Row],[Удельное сопротивление грунта, Ом·м]])),AH236/SQRT(Таблица_pr5[[#This Row],[Удельное сопротивление грунта, Ом·м]]))</f>
        <v/>
      </c>
      <c r="AK236" s="55"/>
      <c r="AL236" s="52"/>
      <c r="AM236" s="67"/>
      <c r="AN236" s="61" t="str">
        <f t="shared" si="21"/>
        <v/>
      </c>
      <c r="AO236" s="61" t="str">
        <f>IFERROR(IF(AL236-AL235&lt;=0,"",AN236/SQRT(Таблица_pr6[[#This Row],[Удельное сопротивление грунта, Ом·м]])),AN236/SQRT(Таблица_pr6[[#This Row],[Удельное сопротивление грунта, Ом·м]]))</f>
        <v/>
      </c>
      <c r="AQ236" s="55"/>
      <c r="AR236" s="52"/>
      <c r="AS236" s="67"/>
      <c r="AU236" s="61" t="str">
        <f>IFERROR(IF(AR236-AR235&lt;=0,"",AT236/SQRT(Таблица_pr7[[#This Row],[Удельное сопротивление грунта, Ом·м]])),AT236/SQRT(Таблица_pr7[[#This Row],[Удельное сопротивление грунта, Ом·м]]))</f>
        <v/>
      </c>
      <c r="AW236" s="55"/>
      <c r="AX236" s="52"/>
      <c r="AY236" s="67"/>
      <c r="AZ236" s="61" t="str">
        <f t="shared" si="22"/>
        <v/>
      </c>
      <c r="BA236" s="61" t="str">
        <f>IFERROR(IF(AX236-AX235&lt;=0,"",AZ236/SQRT(Таблица_pr8[[#This Row],[Удельное сопротивление грунта, Ом·м]])),AZ236/SQRT(Таблица_pr8[[#This Row],[Удельное сопротивление грунта, Ом·м]]))</f>
        <v/>
      </c>
      <c r="BC236" s="55"/>
      <c r="BD236" s="52"/>
      <c r="BE236" s="67"/>
      <c r="BG236" s="61" t="str">
        <f>IFERROR(IF(BD236-AX255&lt;=0,"",BF236/SQRT(Таблица_pr9[[#This Row],[Удельное сопротивление грунта, Ом·м]])),BF236/SQRT(Таблица_pr9[[#This Row],[Удельное сопротивление грунта, Ом·м]]))</f>
        <v/>
      </c>
      <c r="BI236" s="55"/>
      <c r="BJ236" s="52"/>
      <c r="BK236" s="67"/>
      <c r="BM236" s="61" t="str">
        <f>IFERROR(IF(BJ236-BD265&lt;=0,"",BL236/SQRT(Таблица_pr10[[#This Row],[Удельное сопротивление грунта, Ом·м]])),BL236/SQRT(Таблица_pr10[[#This Row],[Удельное сопротивление грунта, Ом·м]]))</f>
        <v/>
      </c>
    </row>
    <row r="237" spans="1:65">
      <c r="A237" s="64">
        <v>232</v>
      </c>
      <c r="B237" s="52">
        <v>519.70000000000528</v>
      </c>
      <c r="C237" s="67">
        <v>272.8</v>
      </c>
      <c r="D237" s="61">
        <f t="shared" si="19"/>
        <v>100.00000000002274</v>
      </c>
      <c r="E237" s="61">
        <f>IFERROR(IF(B237-B236&lt;=0,"",D237/SQRT(Таблица_pr[[#This Row],[Удельное сопротивление грунта, Ом·м]])),D237/SQRT(Таблица_pr[[#This Row],[Удельное сопротивление грунта, Ом·м]]))</f>
        <v>6.0544934962074102</v>
      </c>
      <c r="G237" s="189">
        <v>232</v>
      </c>
      <c r="H237" s="185">
        <v>519.70000000000528</v>
      </c>
      <c r="I237" s="186">
        <v>272.8</v>
      </c>
      <c r="J237" s="180">
        <f t="shared" si="20"/>
        <v>100.00000000002274</v>
      </c>
      <c r="K237" s="61">
        <f>IFERROR(IF(H237-H236&lt;=0,"",J237/SQRT(Таблица_pr1[[#This Row],[Удельное сопротивление грунта, Ом·м]])),J237/SQRT(Таблица_pr1[[#This Row],[Удельное сопротивление грунта, Ом·м]]))</f>
        <v>6.0544934962074102</v>
      </c>
      <c r="Q237" s="61" t="str">
        <f>IFERROR(IF(N237-N236&lt;=0,"",P237/SQRT(Таблица_pr2[[#This Row],[Удельное сопротивление грунта, Ом·м]])),P237/SQRT(Таблица_pr2[[#This Row],[Удельное сопротивление грунта, Ом·м]]))</f>
        <v/>
      </c>
      <c r="S237" s="55"/>
      <c r="T237" s="52"/>
      <c r="U237" s="67"/>
      <c r="W237" s="61" t="str">
        <f>IFERROR(IF(T237-T236&lt;=0,"",V237/SQRT(Таблица_pr3[[#This Row],[Удельное сопротивление грунта, Ом·м]])),V237/SQRT(Таблица_pr3[[#This Row],[Удельное сопротивление грунта, Ом·м]]))</f>
        <v/>
      </c>
      <c r="Y237" s="55"/>
      <c r="Z237" s="52"/>
      <c r="AA237" s="67"/>
      <c r="AB237" s="61" t="str">
        <f t="shared" si="23"/>
        <v/>
      </c>
      <c r="AC237" s="61" t="str">
        <f>IFERROR(IF(Z237-Z236&lt;=0,"",AB237/SQRT(Таблица_pr4[[#This Row],[Удельное сопротивление грунта, Ом·м]])),AB237/SQRT(Таблица_pr4[[#This Row],[Удельное сопротивление грунта, Ом·м]]))</f>
        <v/>
      </c>
      <c r="AE237" s="55"/>
      <c r="AF237" s="52"/>
      <c r="AG237" s="67"/>
      <c r="AI237" s="61" t="str">
        <f>IFERROR(IF(AF237-AF236&lt;=0,"",AH237/SQRT(Таблица_pr5[[#This Row],[Удельное сопротивление грунта, Ом·м]])),AH237/SQRT(Таблица_pr5[[#This Row],[Удельное сопротивление грунта, Ом·м]]))</f>
        <v/>
      </c>
      <c r="AK237" s="55"/>
      <c r="AL237" s="52"/>
      <c r="AM237" s="67"/>
      <c r="AN237" s="61" t="str">
        <f t="shared" si="21"/>
        <v/>
      </c>
      <c r="AO237" s="61" t="str">
        <f>IFERROR(IF(AL237-AL236&lt;=0,"",AN237/SQRT(Таблица_pr6[[#This Row],[Удельное сопротивление грунта, Ом·м]])),AN237/SQRT(Таблица_pr6[[#This Row],[Удельное сопротивление грунта, Ом·м]]))</f>
        <v/>
      </c>
      <c r="AQ237" s="55"/>
      <c r="AR237" s="52"/>
      <c r="AS237" s="67"/>
      <c r="AU237" s="61" t="str">
        <f>IFERROR(IF(AR237-AR236&lt;=0,"",AT237/SQRT(Таблица_pr7[[#This Row],[Удельное сопротивление грунта, Ом·м]])),AT237/SQRT(Таблица_pr7[[#This Row],[Удельное сопротивление грунта, Ом·м]]))</f>
        <v/>
      </c>
      <c r="AW237" s="55"/>
      <c r="AX237" s="52"/>
      <c r="AY237" s="67"/>
      <c r="AZ237" s="61" t="str">
        <f t="shared" si="22"/>
        <v/>
      </c>
      <c r="BA237" s="61" t="str">
        <f>IFERROR(IF(AX237-AX236&lt;=0,"",AZ237/SQRT(Таблица_pr8[[#This Row],[Удельное сопротивление грунта, Ом·м]])),AZ237/SQRT(Таблица_pr8[[#This Row],[Удельное сопротивление грунта, Ом·м]]))</f>
        <v/>
      </c>
      <c r="BC237" s="55"/>
      <c r="BD237" s="52"/>
      <c r="BE237" s="67"/>
      <c r="BG237" s="61" t="str">
        <f>IFERROR(IF(BD237-AX256&lt;=0,"",BF237/SQRT(Таблица_pr9[[#This Row],[Удельное сопротивление грунта, Ом·м]])),BF237/SQRT(Таблица_pr9[[#This Row],[Удельное сопротивление грунта, Ом·м]]))</f>
        <v/>
      </c>
      <c r="BI237" s="55"/>
      <c r="BJ237" s="52"/>
      <c r="BK237" s="67"/>
      <c r="BM237" s="61" t="str">
        <f>IFERROR(IF(BJ237-BD266&lt;=0,"",BL237/SQRT(Таблица_pr10[[#This Row],[Удельное сопротивление грунта, Ом·м]])),BL237/SQRT(Таблица_pr10[[#This Row],[Удельное сопротивление грунта, Ом·м]]))</f>
        <v/>
      </c>
    </row>
    <row r="238" spans="1:65">
      <c r="A238" s="64">
        <v>233</v>
      </c>
      <c r="B238" s="52">
        <v>519.8000000000053</v>
      </c>
      <c r="C238" s="67">
        <v>271.89999999999998</v>
      </c>
      <c r="D238" s="61">
        <f t="shared" si="19"/>
        <v>100.00000000002274</v>
      </c>
      <c r="E238" s="61">
        <f>IFERROR(IF(B238-B237&lt;=0,"",D238/SQRT(Таблица_pr[[#This Row],[Удельное сопротивление грунта, Ом·м]])),D238/SQRT(Таблица_pr[[#This Row],[Удельное сопротивление грунта, Ом·м]]))</f>
        <v>6.0645055272018151</v>
      </c>
      <c r="G238" s="188">
        <v>233</v>
      </c>
      <c r="H238" s="184">
        <v>519.8000000000053</v>
      </c>
      <c r="I238" s="187">
        <v>271.89999999999998</v>
      </c>
      <c r="J238" s="181">
        <f t="shared" si="20"/>
        <v>100.00000000002274</v>
      </c>
      <c r="K238" s="61">
        <f>IFERROR(IF(H238-H237&lt;=0,"",J238/SQRT(Таблица_pr1[[#This Row],[Удельное сопротивление грунта, Ом·м]])),J238/SQRT(Таблица_pr1[[#This Row],[Удельное сопротивление грунта, Ом·м]]))</f>
        <v>6.0645055272018151</v>
      </c>
      <c r="Q238" s="61" t="str">
        <f>IFERROR(IF(N238-N237&lt;=0,"",P238/SQRT(Таблица_pr2[[#This Row],[Удельное сопротивление грунта, Ом·м]])),P238/SQRT(Таблица_pr2[[#This Row],[Удельное сопротивление грунта, Ом·м]]))</f>
        <v/>
      </c>
      <c r="S238" s="55"/>
      <c r="T238" s="52"/>
      <c r="U238" s="67"/>
      <c r="W238" s="61" t="str">
        <f>IFERROR(IF(T238-T237&lt;=0,"",V238/SQRT(Таблица_pr3[[#This Row],[Удельное сопротивление грунта, Ом·м]])),V238/SQRT(Таблица_pr3[[#This Row],[Удельное сопротивление грунта, Ом·м]]))</f>
        <v/>
      </c>
      <c r="Y238" s="55"/>
      <c r="Z238" s="52"/>
      <c r="AA238" s="67"/>
      <c r="AB238" s="61" t="str">
        <f t="shared" si="23"/>
        <v/>
      </c>
      <c r="AC238" s="61" t="str">
        <f>IFERROR(IF(Z238-Z237&lt;=0,"",AB238/SQRT(Таблица_pr4[[#This Row],[Удельное сопротивление грунта, Ом·м]])),AB238/SQRT(Таблица_pr4[[#This Row],[Удельное сопротивление грунта, Ом·м]]))</f>
        <v/>
      </c>
      <c r="AE238" s="55"/>
      <c r="AF238" s="52"/>
      <c r="AG238" s="67"/>
      <c r="AI238" s="61" t="str">
        <f>IFERROR(IF(AF238-AF237&lt;=0,"",AH238/SQRT(Таблица_pr5[[#This Row],[Удельное сопротивление грунта, Ом·м]])),AH238/SQRT(Таблица_pr5[[#This Row],[Удельное сопротивление грунта, Ом·м]]))</f>
        <v/>
      </c>
      <c r="AK238" s="55"/>
      <c r="AL238" s="52"/>
      <c r="AM238" s="67"/>
      <c r="AN238" s="61" t="str">
        <f t="shared" si="21"/>
        <v/>
      </c>
      <c r="AO238" s="61" t="str">
        <f>IFERROR(IF(AL238-AL237&lt;=0,"",AN238/SQRT(Таблица_pr6[[#This Row],[Удельное сопротивление грунта, Ом·м]])),AN238/SQRT(Таблица_pr6[[#This Row],[Удельное сопротивление грунта, Ом·м]]))</f>
        <v/>
      </c>
      <c r="AQ238" s="55"/>
      <c r="AR238" s="52"/>
      <c r="AS238" s="67"/>
      <c r="AU238" s="61" t="str">
        <f>IFERROR(IF(AR238-AR237&lt;=0,"",AT238/SQRT(Таблица_pr7[[#This Row],[Удельное сопротивление грунта, Ом·м]])),AT238/SQRT(Таблица_pr7[[#This Row],[Удельное сопротивление грунта, Ом·м]]))</f>
        <v/>
      </c>
      <c r="AW238" s="55"/>
      <c r="AX238" s="52"/>
      <c r="AY238" s="67"/>
      <c r="AZ238" s="61" t="str">
        <f t="shared" si="22"/>
        <v/>
      </c>
      <c r="BA238" s="61" t="str">
        <f>IFERROR(IF(AX238-AX237&lt;=0,"",AZ238/SQRT(Таблица_pr8[[#This Row],[Удельное сопротивление грунта, Ом·м]])),AZ238/SQRT(Таблица_pr8[[#This Row],[Удельное сопротивление грунта, Ом·м]]))</f>
        <v/>
      </c>
      <c r="BC238" s="55"/>
      <c r="BD238" s="52"/>
      <c r="BE238" s="67"/>
      <c r="BG238" s="61" t="str">
        <f>IFERROR(IF(BD238-AX257&lt;=0,"",BF238/SQRT(Таблица_pr9[[#This Row],[Удельное сопротивление грунта, Ом·м]])),BF238/SQRT(Таблица_pr9[[#This Row],[Удельное сопротивление грунта, Ом·м]]))</f>
        <v/>
      </c>
      <c r="BI238" s="55"/>
      <c r="BJ238" s="52"/>
      <c r="BK238" s="67"/>
      <c r="BM238" s="61" t="str">
        <f>IFERROR(IF(BJ238-BD267&lt;=0,"",BL238/SQRT(Таблица_pr10[[#This Row],[Удельное сопротивление грунта, Ом·м]])),BL238/SQRT(Таблица_pr10[[#This Row],[Удельное сопротивление грунта, Ом·м]]))</f>
        <v/>
      </c>
    </row>
    <row r="239" spans="1:65">
      <c r="A239" s="64">
        <v>234</v>
      </c>
      <c r="B239" s="52">
        <v>519.90000000000532</v>
      </c>
      <c r="C239" s="67">
        <v>270.39999999999998</v>
      </c>
      <c r="D239" s="61">
        <f t="shared" si="19"/>
        <v>100.00000000002274</v>
      </c>
      <c r="E239" s="61">
        <f>IFERROR(IF(B239-B238&lt;=0,"",D239/SQRT(Таблица_pr[[#This Row],[Удельное сопротивление грунта, Ом·м]])),D239/SQRT(Таблица_pr[[#This Row],[Удельное сопротивление грунта, Ом·м]]))</f>
        <v>6.0813031926328813</v>
      </c>
      <c r="G239" s="189">
        <v>234</v>
      </c>
      <c r="H239" s="185">
        <v>519.90000000000532</v>
      </c>
      <c r="I239" s="186">
        <v>270.39999999999998</v>
      </c>
      <c r="J239" s="180">
        <f t="shared" si="20"/>
        <v>100.00000000002274</v>
      </c>
      <c r="K239" s="61">
        <f>IFERROR(IF(H239-H238&lt;=0,"",J239/SQRT(Таблица_pr1[[#This Row],[Удельное сопротивление грунта, Ом·м]])),J239/SQRT(Таблица_pr1[[#This Row],[Удельное сопротивление грунта, Ом·м]]))</f>
        <v>6.0813031926328813</v>
      </c>
      <c r="Q239" s="61" t="str">
        <f>IFERROR(IF(N239-N238&lt;=0,"",P239/SQRT(Таблица_pr2[[#This Row],[Удельное сопротивление грунта, Ом·м]])),P239/SQRT(Таблица_pr2[[#This Row],[Удельное сопротивление грунта, Ом·м]]))</f>
        <v/>
      </c>
      <c r="S239" s="55"/>
      <c r="T239" s="52"/>
      <c r="U239" s="67"/>
      <c r="W239" s="61" t="str">
        <f>IFERROR(IF(T239-T238&lt;=0,"",V239/SQRT(Таблица_pr3[[#This Row],[Удельное сопротивление грунта, Ом·м]])),V239/SQRT(Таблица_pr3[[#This Row],[Удельное сопротивление грунта, Ом·м]]))</f>
        <v/>
      </c>
      <c r="Y239" s="55"/>
      <c r="Z239" s="52"/>
      <c r="AA239" s="67"/>
      <c r="AB239" s="61" t="str">
        <f t="shared" si="23"/>
        <v/>
      </c>
      <c r="AC239" s="61" t="str">
        <f>IFERROR(IF(Z239-Z238&lt;=0,"",AB239/SQRT(Таблица_pr4[[#This Row],[Удельное сопротивление грунта, Ом·м]])),AB239/SQRT(Таблица_pr4[[#This Row],[Удельное сопротивление грунта, Ом·м]]))</f>
        <v/>
      </c>
      <c r="AE239" s="55"/>
      <c r="AF239" s="52"/>
      <c r="AG239" s="67"/>
      <c r="AI239" s="61" t="str">
        <f>IFERROR(IF(AF239-AF238&lt;=0,"",AH239/SQRT(Таблица_pr5[[#This Row],[Удельное сопротивление грунта, Ом·м]])),AH239/SQRT(Таблица_pr5[[#This Row],[Удельное сопротивление грунта, Ом·м]]))</f>
        <v/>
      </c>
      <c r="AK239" s="55"/>
      <c r="AL239" s="52"/>
      <c r="AM239" s="67"/>
      <c r="AN239" s="61" t="str">
        <f t="shared" si="21"/>
        <v/>
      </c>
      <c r="AO239" s="61" t="str">
        <f>IFERROR(IF(AL239-AL238&lt;=0,"",AN239/SQRT(Таблица_pr6[[#This Row],[Удельное сопротивление грунта, Ом·м]])),AN239/SQRT(Таблица_pr6[[#This Row],[Удельное сопротивление грунта, Ом·м]]))</f>
        <v/>
      </c>
      <c r="AQ239" s="55"/>
      <c r="AR239" s="52"/>
      <c r="AS239" s="67"/>
      <c r="AU239" s="61" t="str">
        <f>IFERROR(IF(AR239-AR238&lt;=0,"",AT239/SQRT(Таблица_pr7[[#This Row],[Удельное сопротивление грунта, Ом·м]])),AT239/SQRT(Таблица_pr7[[#This Row],[Удельное сопротивление грунта, Ом·м]]))</f>
        <v/>
      </c>
      <c r="AW239" s="55"/>
      <c r="AX239" s="52"/>
      <c r="AY239" s="67"/>
      <c r="AZ239" s="61" t="str">
        <f t="shared" si="22"/>
        <v/>
      </c>
      <c r="BA239" s="61" t="str">
        <f>IFERROR(IF(AX239-AX238&lt;=0,"",AZ239/SQRT(Таблица_pr8[[#This Row],[Удельное сопротивление грунта, Ом·м]])),AZ239/SQRT(Таблица_pr8[[#This Row],[Удельное сопротивление грунта, Ом·м]]))</f>
        <v/>
      </c>
      <c r="BC239" s="55"/>
      <c r="BD239" s="52"/>
      <c r="BE239" s="67"/>
      <c r="BG239" s="61" t="str">
        <f>IFERROR(IF(BD239-AX258&lt;=0,"",BF239/SQRT(Таблица_pr9[[#This Row],[Удельное сопротивление грунта, Ом·м]])),BF239/SQRT(Таблица_pr9[[#This Row],[Удельное сопротивление грунта, Ом·м]]))</f>
        <v/>
      </c>
      <c r="BI239" s="55"/>
      <c r="BJ239" s="52"/>
      <c r="BK239" s="67"/>
      <c r="BM239" s="61" t="str">
        <f>IFERROR(IF(BJ239-BD268&lt;=0,"",BL239/SQRT(Таблица_pr10[[#This Row],[Удельное сопротивление грунта, Ом·м]])),BL239/SQRT(Таблица_pr10[[#This Row],[Удельное сопротивление грунта, Ом·м]]))</f>
        <v/>
      </c>
    </row>
    <row r="240" spans="1:65">
      <c r="A240" s="64">
        <v>235</v>
      </c>
      <c r="B240" s="52">
        <v>520.00000000000534</v>
      </c>
      <c r="C240" s="67">
        <v>273.2</v>
      </c>
      <c r="D240" s="61">
        <f t="shared" si="19"/>
        <v>100.00000000002274</v>
      </c>
      <c r="E240" s="61">
        <f>IFERROR(IF(B240-B239&lt;=0,"",D240/SQRT(Таблица_pr[[#This Row],[Удельное сопротивление грунта, Ом·м]])),D240/SQRT(Таблица_pr[[#This Row],[Удельное сопротивление грунта, Ом·м]]))</f>
        <v>6.050059593381869</v>
      </c>
      <c r="G240" s="188">
        <v>235</v>
      </c>
      <c r="H240" s="184">
        <v>520.00000000000534</v>
      </c>
      <c r="I240" s="187">
        <v>273.2</v>
      </c>
      <c r="J240" s="181">
        <f t="shared" si="20"/>
        <v>100.00000000002274</v>
      </c>
      <c r="K240" s="61">
        <f>IFERROR(IF(H240-H239&lt;=0,"",J240/SQRT(Таблица_pr1[[#This Row],[Удельное сопротивление грунта, Ом·м]])),J240/SQRT(Таблица_pr1[[#This Row],[Удельное сопротивление грунта, Ом·м]]))</f>
        <v>6.050059593381869</v>
      </c>
      <c r="Q240" s="61" t="str">
        <f>IFERROR(IF(N240-N239&lt;=0,"",P240/SQRT(Таблица_pr2[[#This Row],[Удельное сопротивление грунта, Ом·м]])),P240/SQRT(Таблица_pr2[[#This Row],[Удельное сопротивление грунта, Ом·м]]))</f>
        <v/>
      </c>
      <c r="S240" s="55"/>
      <c r="T240" s="52"/>
      <c r="U240" s="67"/>
      <c r="W240" s="61" t="str">
        <f>IFERROR(IF(T240-T239&lt;=0,"",V240/SQRT(Таблица_pr3[[#This Row],[Удельное сопротивление грунта, Ом·м]])),V240/SQRT(Таблица_pr3[[#This Row],[Удельное сопротивление грунта, Ом·м]]))</f>
        <v/>
      </c>
      <c r="Y240" s="55"/>
      <c r="Z240" s="52"/>
      <c r="AA240" s="67"/>
      <c r="AB240" s="61" t="str">
        <f t="shared" si="23"/>
        <v/>
      </c>
      <c r="AC240" s="61" t="str">
        <f>IFERROR(IF(Z240-Z239&lt;=0,"",AB240/SQRT(Таблица_pr4[[#This Row],[Удельное сопротивление грунта, Ом·м]])),AB240/SQRT(Таблица_pr4[[#This Row],[Удельное сопротивление грунта, Ом·м]]))</f>
        <v/>
      </c>
      <c r="AE240" s="55"/>
      <c r="AF240" s="52"/>
      <c r="AG240" s="67"/>
      <c r="AI240" s="61" t="str">
        <f>IFERROR(IF(AF240-AF239&lt;=0,"",AH240/SQRT(Таблица_pr5[[#This Row],[Удельное сопротивление грунта, Ом·м]])),AH240/SQRT(Таблица_pr5[[#This Row],[Удельное сопротивление грунта, Ом·м]]))</f>
        <v/>
      </c>
      <c r="AK240" s="55"/>
      <c r="AL240" s="52"/>
      <c r="AM240" s="67"/>
      <c r="AN240" s="61" t="str">
        <f t="shared" si="21"/>
        <v/>
      </c>
      <c r="AO240" s="61" t="str">
        <f>IFERROR(IF(AL240-AL239&lt;=0,"",AN240/SQRT(Таблица_pr6[[#This Row],[Удельное сопротивление грунта, Ом·м]])),AN240/SQRT(Таблица_pr6[[#This Row],[Удельное сопротивление грунта, Ом·м]]))</f>
        <v/>
      </c>
      <c r="AQ240" s="55"/>
      <c r="AR240" s="52"/>
      <c r="AS240" s="67"/>
      <c r="AU240" s="61" t="str">
        <f>IFERROR(IF(AR240-AR239&lt;=0,"",AT240/SQRT(Таблица_pr7[[#This Row],[Удельное сопротивление грунта, Ом·м]])),AT240/SQRT(Таблица_pr7[[#This Row],[Удельное сопротивление грунта, Ом·м]]))</f>
        <v/>
      </c>
      <c r="AW240" s="55"/>
      <c r="AX240" s="52"/>
      <c r="AY240" s="67"/>
      <c r="AZ240" s="61" t="str">
        <f t="shared" si="22"/>
        <v/>
      </c>
      <c r="BA240" s="61" t="str">
        <f>IFERROR(IF(AX240-AX239&lt;=0,"",AZ240/SQRT(Таблица_pr8[[#This Row],[Удельное сопротивление грунта, Ом·м]])),AZ240/SQRT(Таблица_pr8[[#This Row],[Удельное сопротивление грунта, Ом·м]]))</f>
        <v/>
      </c>
      <c r="BC240" s="55"/>
      <c r="BD240" s="52"/>
      <c r="BE240" s="67"/>
      <c r="BG240" s="61" t="str">
        <f>IFERROR(IF(BD240-AX259&lt;=0,"",BF240/SQRT(Таблица_pr9[[#This Row],[Удельное сопротивление грунта, Ом·м]])),BF240/SQRT(Таблица_pr9[[#This Row],[Удельное сопротивление грунта, Ом·м]]))</f>
        <v/>
      </c>
      <c r="BI240" s="55"/>
      <c r="BJ240" s="52"/>
      <c r="BK240" s="67"/>
      <c r="BM240" s="61" t="str">
        <f>IFERROR(IF(BJ240-BD269&lt;=0,"",BL240/SQRT(Таблица_pr10[[#This Row],[Удельное сопротивление грунта, Ом·м]])),BL240/SQRT(Таблица_pr10[[#This Row],[Удельное сопротивление грунта, Ом·м]]))</f>
        <v/>
      </c>
    </row>
    <row r="241" spans="1:65">
      <c r="A241" s="64">
        <v>236</v>
      </c>
      <c r="B241" s="52">
        <v>520.10000000000537</v>
      </c>
      <c r="C241" s="67">
        <v>21.3</v>
      </c>
      <c r="D241" s="61">
        <f t="shared" si="19"/>
        <v>100.00000000002274</v>
      </c>
      <c r="E241" s="61">
        <f>IFERROR(IF(B241-B240&lt;=0,"",D241/SQRT(Таблица_pr[[#This Row],[Удельное сопротивление грунта, Ом·м]])),D241/SQRT(Таблица_pr[[#This Row],[Удельное сопротивление грунта, Ом·м]]))</f>
        <v>21.667569500876901</v>
      </c>
      <c r="G241" s="189">
        <v>236</v>
      </c>
      <c r="H241" s="185">
        <v>520.10000000000537</v>
      </c>
      <c r="I241" s="186">
        <v>21.3</v>
      </c>
      <c r="J241" s="180">
        <f t="shared" si="20"/>
        <v>100.00000000002274</v>
      </c>
      <c r="K241" s="61">
        <f>IFERROR(IF(H241-H240&lt;=0,"",J241/SQRT(Таблица_pr1[[#This Row],[Удельное сопротивление грунта, Ом·м]])),J241/SQRT(Таблица_pr1[[#This Row],[Удельное сопротивление грунта, Ом·м]]))</f>
        <v>21.667569500876901</v>
      </c>
      <c r="Q241" s="61" t="str">
        <f>IFERROR(IF(N241-N240&lt;=0,"",P241/SQRT(Таблица_pr2[[#This Row],[Удельное сопротивление грунта, Ом·м]])),P241/SQRT(Таблица_pr2[[#This Row],[Удельное сопротивление грунта, Ом·м]]))</f>
        <v/>
      </c>
      <c r="S241" s="55"/>
      <c r="T241" s="52"/>
      <c r="U241" s="67"/>
      <c r="W241" s="61" t="str">
        <f>IFERROR(IF(T241-T240&lt;=0,"",V241/SQRT(Таблица_pr3[[#This Row],[Удельное сопротивление грунта, Ом·м]])),V241/SQRT(Таблица_pr3[[#This Row],[Удельное сопротивление грунта, Ом·м]]))</f>
        <v/>
      </c>
      <c r="Y241" s="55"/>
      <c r="Z241" s="52"/>
      <c r="AA241" s="67"/>
      <c r="AB241" s="61" t="str">
        <f t="shared" si="23"/>
        <v/>
      </c>
      <c r="AC241" s="61" t="str">
        <f>IFERROR(IF(Z241-Z240&lt;=0,"",AB241/SQRT(Таблица_pr4[[#This Row],[Удельное сопротивление грунта, Ом·м]])),AB241/SQRT(Таблица_pr4[[#This Row],[Удельное сопротивление грунта, Ом·м]]))</f>
        <v/>
      </c>
      <c r="AE241" s="55"/>
      <c r="AF241" s="52"/>
      <c r="AG241" s="67"/>
      <c r="AI241" s="61" t="str">
        <f>IFERROR(IF(AF241-AF240&lt;=0,"",AH241/SQRT(Таблица_pr5[[#This Row],[Удельное сопротивление грунта, Ом·м]])),AH241/SQRT(Таблица_pr5[[#This Row],[Удельное сопротивление грунта, Ом·м]]))</f>
        <v/>
      </c>
      <c r="AK241" s="55"/>
      <c r="AL241" s="52"/>
      <c r="AM241" s="67"/>
      <c r="AN241" s="61" t="str">
        <f t="shared" si="21"/>
        <v/>
      </c>
      <c r="AO241" s="61" t="str">
        <f>IFERROR(IF(AL241-AL240&lt;=0,"",AN241/SQRT(Таблица_pr6[[#This Row],[Удельное сопротивление грунта, Ом·м]])),AN241/SQRT(Таблица_pr6[[#This Row],[Удельное сопротивление грунта, Ом·м]]))</f>
        <v/>
      </c>
      <c r="AQ241" s="55"/>
      <c r="AR241" s="52"/>
      <c r="AS241" s="67"/>
      <c r="AU241" s="61" t="str">
        <f>IFERROR(IF(AR241-AR240&lt;=0,"",AT241/SQRT(Таблица_pr7[[#This Row],[Удельное сопротивление грунта, Ом·м]])),AT241/SQRT(Таблица_pr7[[#This Row],[Удельное сопротивление грунта, Ом·м]]))</f>
        <v/>
      </c>
      <c r="AW241" s="55"/>
      <c r="AX241" s="52"/>
      <c r="AY241" s="67"/>
      <c r="AZ241" s="61" t="str">
        <f t="shared" si="22"/>
        <v/>
      </c>
      <c r="BA241" s="61" t="str">
        <f>IFERROR(IF(AX241-AX240&lt;=0,"",AZ241/SQRT(Таблица_pr8[[#This Row],[Удельное сопротивление грунта, Ом·м]])),AZ241/SQRT(Таблица_pr8[[#This Row],[Удельное сопротивление грунта, Ом·м]]))</f>
        <v/>
      </c>
      <c r="BC241" s="55"/>
      <c r="BD241" s="52"/>
      <c r="BE241" s="67"/>
      <c r="BG241" s="61" t="str">
        <f>IFERROR(IF(BD241-AX260&lt;=0,"",BF241/SQRT(Таблица_pr9[[#This Row],[Удельное сопротивление грунта, Ом·м]])),BF241/SQRT(Таблица_pr9[[#This Row],[Удельное сопротивление грунта, Ом·м]]))</f>
        <v/>
      </c>
      <c r="BI241" s="55"/>
      <c r="BJ241" s="52"/>
      <c r="BK241" s="67"/>
      <c r="BM241" s="61" t="str">
        <f>IFERROR(IF(BJ241-BD270&lt;=0,"",BL241/SQRT(Таблица_pr10[[#This Row],[Удельное сопротивление грунта, Ом·м]])),BL241/SQRT(Таблица_pr10[[#This Row],[Удельное сопротивление грунта, Ом·м]]))</f>
        <v/>
      </c>
    </row>
    <row r="242" spans="1:65">
      <c r="A242" s="64">
        <v>237</v>
      </c>
      <c r="B242" s="52">
        <v>520.20000000000539</v>
      </c>
      <c r="C242" s="67">
        <v>275.39999999999998</v>
      </c>
      <c r="D242" s="61">
        <f t="shared" si="19"/>
        <v>100.00000000002274</v>
      </c>
      <c r="E242" s="61">
        <f>IFERROR(IF(B242-B241&lt;=0,"",D242/SQRT(Таблица_pr[[#This Row],[Удельное сопротивление грунта, Ом·м]])),D242/SQRT(Таблица_pr[[#This Row],[Удельное сопротивление грунта, Ом·м]]))</f>
        <v>6.0258460505195979</v>
      </c>
      <c r="G242" s="188">
        <v>237</v>
      </c>
      <c r="H242" s="184">
        <v>520.20000000000539</v>
      </c>
      <c r="I242" s="187">
        <v>275.39999999999998</v>
      </c>
      <c r="J242" s="181">
        <f t="shared" si="20"/>
        <v>100.00000000002274</v>
      </c>
      <c r="K242" s="61">
        <f>IFERROR(IF(H242-H241&lt;=0,"",J242/SQRT(Таблица_pr1[[#This Row],[Удельное сопротивление грунта, Ом·м]])),J242/SQRT(Таблица_pr1[[#This Row],[Удельное сопротивление грунта, Ом·м]]))</f>
        <v>6.0258460505195979</v>
      </c>
      <c r="Q242" s="61" t="str">
        <f>IFERROR(IF(N242-N241&lt;=0,"",P242/SQRT(Таблица_pr2[[#This Row],[Удельное сопротивление грунта, Ом·м]])),P242/SQRT(Таблица_pr2[[#This Row],[Удельное сопротивление грунта, Ом·м]]))</f>
        <v/>
      </c>
      <c r="S242" s="55"/>
      <c r="T242" s="52"/>
      <c r="U242" s="67"/>
      <c r="W242" s="61" t="str">
        <f>IFERROR(IF(T242-T241&lt;=0,"",V242/SQRT(Таблица_pr3[[#This Row],[Удельное сопротивление грунта, Ом·м]])),V242/SQRT(Таблица_pr3[[#This Row],[Удельное сопротивление грунта, Ом·м]]))</f>
        <v/>
      </c>
      <c r="Y242" s="55"/>
      <c r="Z242" s="52"/>
      <c r="AA242" s="67"/>
      <c r="AB242" s="61" t="str">
        <f t="shared" si="23"/>
        <v/>
      </c>
      <c r="AC242" s="61" t="str">
        <f>IFERROR(IF(Z242-Z241&lt;=0,"",AB242/SQRT(Таблица_pr4[[#This Row],[Удельное сопротивление грунта, Ом·м]])),AB242/SQRT(Таблица_pr4[[#This Row],[Удельное сопротивление грунта, Ом·м]]))</f>
        <v/>
      </c>
      <c r="AE242" s="55"/>
      <c r="AF242" s="52"/>
      <c r="AG242" s="67"/>
      <c r="AI242" s="61" t="str">
        <f>IFERROR(IF(AF242-AF241&lt;=0,"",AH242/SQRT(Таблица_pr5[[#This Row],[Удельное сопротивление грунта, Ом·м]])),AH242/SQRT(Таблица_pr5[[#This Row],[Удельное сопротивление грунта, Ом·м]]))</f>
        <v/>
      </c>
      <c r="AK242" s="55"/>
      <c r="AL242" s="52"/>
      <c r="AM242" s="67"/>
      <c r="AN242" s="61" t="str">
        <f t="shared" si="21"/>
        <v/>
      </c>
      <c r="AO242" s="61" t="str">
        <f>IFERROR(IF(AL242-AL241&lt;=0,"",AN242/SQRT(Таблица_pr6[[#This Row],[Удельное сопротивление грунта, Ом·м]])),AN242/SQRT(Таблица_pr6[[#This Row],[Удельное сопротивление грунта, Ом·м]]))</f>
        <v/>
      </c>
      <c r="AQ242" s="55"/>
      <c r="AR242" s="52"/>
      <c r="AS242" s="67"/>
      <c r="AU242" s="61" t="str">
        <f>IFERROR(IF(AR242-AR241&lt;=0,"",AT242/SQRT(Таблица_pr7[[#This Row],[Удельное сопротивление грунта, Ом·м]])),AT242/SQRT(Таблица_pr7[[#This Row],[Удельное сопротивление грунта, Ом·м]]))</f>
        <v/>
      </c>
      <c r="AW242" s="55"/>
      <c r="AX242" s="52"/>
      <c r="AY242" s="67"/>
      <c r="AZ242" s="61" t="str">
        <f t="shared" si="22"/>
        <v/>
      </c>
      <c r="BA242" s="61" t="str">
        <f>IFERROR(IF(AX242-AX241&lt;=0,"",AZ242/SQRT(Таблица_pr8[[#This Row],[Удельное сопротивление грунта, Ом·м]])),AZ242/SQRT(Таблица_pr8[[#This Row],[Удельное сопротивление грунта, Ом·м]]))</f>
        <v/>
      </c>
      <c r="BC242" s="55"/>
      <c r="BD242" s="52"/>
      <c r="BE242" s="67"/>
      <c r="BG242" s="61" t="str">
        <f>IFERROR(IF(BD242-AX261&lt;=0,"",BF242/SQRT(Таблица_pr9[[#This Row],[Удельное сопротивление грунта, Ом·м]])),BF242/SQRT(Таблица_pr9[[#This Row],[Удельное сопротивление грунта, Ом·м]]))</f>
        <v/>
      </c>
      <c r="BI242" s="55"/>
      <c r="BJ242" s="52"/>
      <c r="BK242" s="67"/>
      <c r="BM242" s="61" t="str">
        <f>IFERROR(IF(BJ242-BD271&lt;=0,"",BL242/SQRT(Таблица_pr10[[#This Row],[Удельное сопротивление грунта, Ом·м]])),BL242/SQRT(Таблица_pr10[[#This Row],[Удельное сопротивление грунта, Ом·м]]))</f>
        <v/>
      </c>
    </row>
    <row r="243" spans="1:65">
      <c r="A243" s="64">
        <v>238</v>
      </c>
      <c r="B243" s="52">
        <v>520.30000000000541</v>
      </c>
      <c r="C243" s="67">
        <v>276.10000000000002</v>
      </c>
      <c r="D243" s="61">
        <f t="shared" si="19"/>
        <v>100.00000000002274</v>
      </c>
      <c r="E243" s="61">
        <f>IFERROR(IF(B243-B242&lt;=0,"",D243/SQRT(Таблица_pr[[#This Row],[Удельное сопротивление грунта, Ом·м]])),D243/SQRT(Таблица_pr[[#This Row],[Удельное сопротивление грунта, Ом·м]]))</f>
        <v>6.0182024989509433</v>
      </c>
      <c r="G243" s="189">
        <v>238</v>
      </c>
      <c r="H243" s="185">
        <v>520.30000000000541</v>
      </c>
      <c r="I243" s="186">
        <v>276.10000000000002</v>
      </c>
      <c r="J243" s="180">
        <f t="shared" si="20"/>
        <v>100.00000000002274</v>
      </c>
      <c r="K243" s="61">
        <f>IFERROR(IF(H243-H242&lt;=0,"",J243/SQRT(Таблица_pr1[[#This Row],[Удельное сопротивление грунта, Ом·м]])),J243/SQRT(Таблица_pr1[[#This Row],[Удельное сопротивление грунта, Ом·м]]))</f>
        <v>6.0182024989509433</v>
      </c>
      <c r="Q243" s="61" t="str">
        <f>IFERROR(IF(N243-N242&lt;=0,"",P243/SQRT(Таблица_pr2[[#This Row],[Удельное сопротивление грунта, Ом·м]])),P243/SQRT(Таблица_pr2[[#This Row],[Удельное сопротивление грунта, Ом·м]]))</f>
        <v/>
      </c>
      <c r="S243" s="55"/>
      <c r="T243" s="52"/>
      <c r="U243" s="67"/>
      <c r="W243" s="61" t="str">
        <f>IFERROR(IF(T243-T242&lt;=0,"",V243/SQRT(Таблица_pr3[[#This Row],[Удельное сопротивление грунта, Ом·м]])),V243/SQRT(Таблица_pr3[[#This Row],[Удельное сопротивление грунта, Ом·м]]))</f>
        <v/>
      </c>
      <c r="Y243" s="55"/>
      <c r="Z243" s="52"/>
      <c r="AA243" s="67"/>
      <c r="AB243" s="61" t="str">
        <f t="shared" si="23"/>
        <v/>
      </c>
      <c r="AC243" s="61" t="str">
        <f>IFERROR(IF(Z243-Z242&lt;=0,"",AB243/SQRT(Таблица_pr4[[#This Row],[Удельное сопротивление грунта, Ом·м]])),AB243/SQRT(Таблица_pr4[[#This Row],[Удельное сопротивление грунта, Ом·м]]))</f>
        <v/>
      </c>
      <c r="AE243" s="55"/>
      <c r="AF243" s="52"/>
      <c r="AG243" s="67"/>
      <c r="AI243" s="61" t="str">
        <f>IFERROR(IF(AF243-AF242&lt;=0,"",AH243/SQRT(Таблица_pr5[[#This Row],[Удельное сопротивление грунта, Ом·м]])),AH243/SQRT(Таблица_pr5[[#This Row],[Удельное сопротивление грунта, Ом·м]]))</f>
        <v/>
      </c>
      <c r="AK243" s="55"/>
      <c r="AL243" s="52"/>
      <c r="AM243" s="67"/>
      <c r="AN243" s="61" t="str">
        <f t="shared" si="21"/>
        <v/>
      </c>
      <c r="AO243" s="61" t="str">
        <f>IFERROR(IF(AL243-AL242&lt;=0,"",AN243/SQRT(Таблица_pr6[[#This Row],[Удельное сопротивление грунта, Ом·м]])),AN243/SQRT(Таблица_pr6[[#This Row],[Удельное сопротивление грунта, Ом·м]]))</f>
        <v/>
      </c>
      <c r="AQ243" s="55"/>
      <c r="AR243" s="52"/>
      <c r="AS243" s="67"/>
      <c r="AU243" s="61" t="str">
        <f>IFERROR(IF(AR243-AR242&lt;=0,"",AT243/SQRT(Таблица_pr7[[#This Row],[Удельное сопротивление грунта, Ом·м]])),AT243/SQRT(Таблица_pr7[[#This Row],[Удельное сопротивление грунта, Ом·м]]))</f>
        <v/>
      </c>
      <c r="AW243" s="55"/>
      <c r="AX243" s="52"/>
      <c r="AY243" s="67"/>
      <c r="AZ243" s="61" t="str">
        <f t="shared" si="22"/>
        <v/>
      </c>
      <c r="BA243" s="61" t="str">
        <f>IFERROR(IF(AX243-AX242&lt;=0,"",AZ243/SQRT(Таблица_pr8[[#This Row],[Удельное сопротивление грунта, Ом·м]])),AZ243/SQRT(Таблица_pr8[[#This Row],[Удельное сопротивление грунта, Ом·м]]))</f>
        <v/>
      </c>
      <c r="BC243" s="55"/>
      <c r="BD243" s="52"/>
      <c r="BE243" s="67"/>
      <c r="BG243" s="61" t="str">
        <f>IFERROR(IF(BD243-AX262&lt;=0,"",BF243/SQRT(Таблица_pr9[[#This Row],[Удельное сопротивление грунта, Ом·м]])),BF243/SQRT(Таблица_pr9[[#This Row],[Удельное сопротивление грунта, Ом·м]]))</f>
        <v/>
      </c>
      <c r="BI243" s="55"/>
      <c r="BJ243" s="52"/>
      <c r="BK243" s="67"/>
      <c r="BM243" s="61" t="str">
        <f>IFERROR(IF(BJ243-BD272&lt;=0,"",BL243/SQRT(Таблица_pr10[[#This Row],[Удельное сопротивление грунта, Ом·м]])),BL243/SQRT(Таблица_pr10[[#This Row],[Удельное сопротивление грунта, Ом·м]]))</f>
        <v/>
      </c>
    </row>
    <row r="244" spans="1:65">
      <c r="A244" s="64">
        <v>239</v>
      </c>
      <c r="B244" s="52">
        <v>520.40000000000543</v>
      </c>
      <c r="C244" s="67">
        <v>275.89999999999998</v>
      </c>
      <c r="D244" s="61">
        <f t="shared" si="19"/>
        <v>100.00000000002274</v>
      </c>
      <c r="E244" s="61">
        <f>IFERROR(IF(B244-B243&lt;=0,"",D244/SQRT(Таблица_pr[[#This Row],[Удельное сопротивление грунта, Ом·м]])),D244/SQRT(Таблица_pr[[#This Row],[Удельное сопротивление грунта, Ом·м]]))</f>
        <v>6.0203834022654927</v>
      </c>
      <c r="G244" s="188">
        <v>239</v>
      </c>
      <c r="H244" s="184">
        <v>520.40000000000543</v>
      </c>
      <c r="I244" s="187">
        <v>275.89999999999998</v>
      </c>
      <c r="J244" s="181">
        <f t="shared" si="20"/>
        <v>100.00000000002274</v>
      </c>
      <c r="K244" s="61">
        <f>IFERROR(IF(H244-H243&lt;=0,"",J244/SQRT(Таблица_pr1[[#This Row],[Удельное сопротивление грунта, Ом·м]])),J244/SQRT(Таблица_pr1[[#This Row],[Удельное сопротивление грунта, Ом·м]]))</f>
        <v>6.0203834022654927</v>
      </c>
      <c r="Q244" s="61" t="str">
        <f>IFERROR(IF(N244-N243&lt;=0,"",P244/SQRT(Таблица_pr2[[#This Row],[Удельное сопротивление грунта, Ом·м]])),P244/SQRT(Таблица_pr2[[#This Row],[Удельное сопротивление грунта, Ом·м]]))</f>
        <v/>
      </c>
      <c r="S244" s="55"/>
      <c r="T244" s="52"/>
      <c r="U244" s="67"/>
      <c r="W244" s="61" t="str">
        <f>IFERROR(IF(T244-T243&lt;=0,"",V244/SQRT(Таблица_pr3[[#This Row],[Удельное сопротивление грунта, Ом·м]])),V244/SQRT(Таблица_pr3[[#This Row],[Удельное сопротивление грунта, Ом·м]]))</f>
        <v/>
      </c>
      <c r="Y244" s="55"/>
      <c r="Z244" s="52"/>
      <c r="AA244" s="67"/>
      <c r="AB244" s="61" t="str">
        <f t="shared" si="23"/>
        <v/>
      </c>
      <c r="AC244" s="61" t="str">
        <f>IFERROR(IF(Z244-Z243&lt;=0,"",AB244/SQRT(Таблица_pr4[[#This Row],[Удельное сопротивление грунта, Ом·м]])),AB244/SQRT(Таблица_pr4[[#This Row],[Удельное сопротивление грунта, Ом·м]]))</f>
        <v/>
      </c>
      <c r="AE244" s="55"/>
      <c r="AF244" s="52"/>
      <c r="AG244" s="67"/>
      <c r="AI244" s="61" t="str">
        <f>IFERROR(IF(AF244-AF243&lt;=0,"",AH244/SQRT(Таблица_pr5[[#This Row],[Удельное сопротивление грунта, Ом·м]])),AH244/SQRT(Таблица_pr5[[#This Row],[Удельное сопротивление грунта, Ом·м]]))</f>
        <v/>
      </c>
      <c r="AK244" s="55"/>
      <c r="AL244" s="52"/>
      <c r="AM244" s="67"/>
      <c r="AN244" s="61" t="str">
        <f t="shared" si="21"/>
        <v/>
      </c>
      <c r="AO244" s="61" t="str">
        <f>IFERROR(IF(AL244-AL243&lt;=0,"",AN244/SQRT(Таблица_pr6[[#This Row],[Удельное сопротивление грунта, Ом·м]])),AN244/SQRT(Таблица_pr6[[#This Row],[Удельное сопротивление грунта, Ом·м]]))</f>
        <v/>
      </c>
      <c r="AQ244" s="55"/>
      <c r="AR244" s="52"/>
      <c r="AS244" s="67"/>
      <c r="AU244" s="61" t="str">
        <f>IFERROR(IF(AR244-AR243&lt;=0,"",AT244/SQRT(Таблица_pr7[[#This Row],[Удельное сопротивление грунта, Ом·м]])),AT244/SQRT(Таблица_pr7[[#This Row],[Удельное сопротивление грунта, Ом·м]]))</f>
        <v/>
      </c>
      <c r="AW244" s="55"/>
      <c r="AX244" s="52"/>
      <c r="AY244" s="67"/>
      <c r="AZ244" s="61" t="str">
        <f t="shared" si="22"/>
        <v/>
      </c>
      <c r="BA244" s="61" t="str">
        <f>IFERROR(IF(AX244-AX243&lt;=0,"",AZ244/SQRT(Таблица_pr8[[#This Row],[Удельное сопротивление грунта, Ом·м]])),AZ244/SQRT(Таблица_pr8[[#This Row],[Удельное сопротивление грунта, Ом·м]]))</f>
        <v/>
      </c>
      <c r="BC244" s="55"/>
      <c r="BD244" s="52"/>
      <c r="BE244" s="67"/>
      <c r="BG244" s="61" t="str">
        <f>IFERROR(IF(BD244-AX263&lt;=0,"",BF244/SQRT(Таблица_pr9[[#This Row],[Удельное сопротивление грунта, Ом·м]])),BF244/SQRT(Таблица_pr9[[#This Row],[Удельное сопротивление грунта, Ом·м]]))</f>
        <v/>
      </c>
      <c r="BI244" s="55"/>
      <c r="BJ244" s="52"/>
      <c r="BK244" s="67"/>
      <c r="BM244" s="61" t="str">
        <f>IFERROR(IF(BJ244-BD273&lt;=0,"",BL244/SQRT(Таблица_pr10[[#This Row],[Удельное сопротивление грунта, Ом·м]])),BL244/SQRT(Таблица_pr10[[#This Row],[Удельное сопротивление грунта, Ом·м]]))</f>
        <v/>
      </c>
    </row>
    <row r="245" spans="1:65">
      <c r="A245" s="64">
        <v>240</v>
      </c>
      <c r="B245" s="52">
        <v>520.50000000000546</v>
      </c>
      <c r="C245" s="67">
        <v>282.7</v>
      </c>
      <c r="D245" s="61">
        <f t="shared" si="19"/>
        <v>100.00000000002274</v>
      </c>
      <c r="E245" s="61">
        <f>IFERROR(IF(B245-B244&lt;=0,"",D245/SQRT(Таблица_pr[[#This Row],[Удельное сопротивление грунта, Ом·м]])),D245/SQRT(Таблица_pr[[#This Row],[Удельное сопротивление грунта, Ом·м]]))</f>
        <v>5.9475362230234445</v>
      </c>
      <c r="G245" s="189">
        <v>240</v>
      </c>
      <c r="H245" s="185">
        <v>520.50000000000546</v>
      </c>
      <c r="I245" s="186">
        <v>282.7</v>
      </c>
      <c r="J245" s="180">
        <f t="shared" si="20"/>
        <v>100.00000000002274</v>
      </c>
      <c r="K245" s="61">
        <f>IFERROR(IF(H245-H244&lt;=0,"",J245/SQRT(Таблица_pr1[[#This Row],[Удельное сопротивление грунта, Ом·м]])),J245/SQRT(Таблица_pr1[[#This Row],[Удельное сопротивление грунта, Ом·м]]))</f>
        <v>5.9475362230234445</v>
      </c>
      <c r="Q245" s="61" t="str">
        <f>IFERROR(IF(N245-N244&lt;=0,"",P245/SQRT(Таблица_pr2[[#This Row],[Удельное сопротивление грунта, Ом·м]])),P245/SQRT(Таблица_pr2[[#This Row],[Удельное сопротивление грунта, Ом·м]]))</f>
        <v/>
      </c>
      <c r="S245" s="55"/>
      <c r="T245" s="52"/>
      <c r="U245" s="67"/>
      <c r="W245" s="61" t="str">
        <f>IFERROR(IF(T245-T244&lt;=0,"",V245/SQRT(Таблица_pr3[[#This Row],[Удельное сопротивление грунта, Ом·м]])),V245/SQRT(Таблица_pr3[[#This Row],[Удельное сопротивление грунта, Ом·м]]))</f>
        <v/>
      </c>
      <c r="Y245" s="55"/>
      <c r="Z245" s="52"/>
      <c r="AA245" s="67"/>
      <c r="AB245" s="61" t="str">
        <f t="shared" si="23"/>
        <v/>
      </c>
      <c r="AC245" s="61" t="str">
        <f>IFERROR(IF(Z245-Z244&lt;=0,"",AB245/SQRT(Таблица_pr4[[#This Row],[Удельное сопротивление грунта, Ом·м]])),AB245/SQRT(Таблица_pr4[[#This Row],[Удельное сопротивление грунта, Ом·м]]))</f>
        <v/>
      </c>
      <c r="AE245" s="55"/>
      <c r="AF245" s="52"/>
      <c r="AG245" s="67"/>
      <c r="AI245" s="61" t="str">
        <f>IFERROR(IF(AF245-AF244&lt;=0,"",AH245/SQRT(Таблица_pr5[[#This Row],[Удельное сопротивление грунта, Ом·м]])),AH245/SQRT(Таблица_pr5[[#This Row],[Удельное сопротивление грунта, Ом·м]]))</f>
        <v/>
      </c>
      <c r="AK245" s="55"/>
      <c r="AL245" s="52"/>
      <c r="AM245" s="67"/>
      <c r="AN245" s="61" t="str">
        <f t="shared" si="21"/>
        <v/>
      </c>
      <c r="AO245" s="61" t="str">
        <f>IFERROR(IF(AL245-AL244&lt;=0,"",AN245/SQRT(Таблица_pr6[[#This Row],[Удельное сопротивление грунта, Ом·м]])),AN245/SQRT(Таблица_pr6[[#This Row],[Удельное сопротивление грунта, Ом·м]]))</f>
        <v/>
      </c>
      <c r="AQ245" s="55"/>
      <c r="AR245" s="52"/>
      <c r="AS245" s="67"/>
      <c r="AU245" s="61" t="str">
        <f>IFERROR(IF(AR245-AR244&lt;=0,"",AT245/SQRT(Таблица_pr7[[#This Row],[Удельное сопротивление грунта, Ом·м]])),AT245/SQRT(Таблица_pr7[[#This Row],[Удельное сопротивление грунта, Ом·м]]))</f>
        <v/>
      </c>
      <c r="AW245" s="55"/>
      <c r="AX245" s="52"/>
      <c r="AY245" s="67"/>
      <c r="AZ245" s="61" t="str">
        <f t="shared" si="22"/>
        <v/>
      </c>
      <c r="BA245" s="61" t="str">
        <f>IFERROR(IF(AX245-AX244&lt;=0,"",AZ245/SQRT(Таблица_pr8[[#This Row],[Удельное сопротивление грунта, Ом·м]])),AZ245/SQRT(Таблица_pr8[[#This Row],[Удельное сопротивление грунта, Ом·м]]))</f>
        <v/>
      </c>
      <c r="BC245" s="55"/>
      <c r="BD245" s="52"/>
      <c r="BE245" s="67"/>
      <c r="BG245" s="61" t="str">
        <f>IFERROR(IF(BD245-AX264&lt;=0,"",BF245/SQRT(Таблица_pr9[[#This Row],[Удельное сопротивление грунта, Ом·м]])),BF245/SQRT(Таблица_pr9[[#This Row],[Удельное сопротивление грунта, Ом·м]]))</f>
        <v/>
      </c>
      <c r="BI245" s="55"/>
      <c r="BJ245" s="52"/>
      <c r="BK245" s="67"/>
      <c r="BM245" s="61" t="str">
        <f>IFERROR(IF(BJ245-BD274&lt;=0,"",BL245/SQRT(Таблица_pr10[[#This Row],[Удельное сопротивление грунта, Ом·м]])),BL245/SQRT(Таблица_pr10[[#This Row],[Удельное сопротивление грунта, Ом·м]]))</f>
        <v/>
      </c>
    </row>
    <row r="246" spans="1:65">
      <c r="A246" s="64">
        <v>241</v>
      </c>
      <c r="B246" s="52">
        <v>520.60000000000548</v>
      </c>
      <c r="C246" s="67">
        <v>258.3</v>
      </c>
      <c r="D246" s="61">
        <f t="shared" si="19"/>
        <v>100.00000000002274</v>
      </c>
      <c r="E246" s="61">
        <f>IFERROR(IF(B246-B245&lt;=0,"",D246/SQRT(Таблица_pr[[#This Row],[Удельное сопротивление грунта, Ом·м]])),D246/SQRT(Таблица_pr[[#This Row],[Удельное сопротивление грунта, Ом·м]]))</f>
        <v>6.2221116078893921</v>
      </c>
      <c r="G246" s="188">
        <v>241</v>
      </c>
      <c r="H246" s="184">
        <v>520.60000000000548</v>
      </c>
      <c r="I246" s="187">
        <v>258.3</v>
      </c>
      <c r="J246" s="181">
        <f t="shared" si="20"/>
        <v>100.00000000002274</v>
      </c>
      <c r="K246" s="61">
        <f>IFERROR(IF(H246-H245&lt;=0,"",J246/SQRT(Таблица_pr1[[#This Row],[Удельное сопротивление грунта, Ом·м]])),J246/SQRT(Таблица_pr1[[#This Row],[Удельное сопротивление грунта, Ом·м]]))</f>
        <v>6.2221116078893921</v>
      </c>
      <c r="Q246" s="61" t="str">
        <f>IFERROR(IF(N246-N245&lt;=0,"",P246/SQRT(Таблица_pr2[[#This Row],[Удельное сопротивление грунта, Ом·м]])),P246/SQRT(Таблица_pr2[[#This Row],[Удельное сопротивление грунта, Ом·м]]))</f>
        <v/>
      </c>
      <c r="S246" s="55"/>
      <c r="T246" s="52"/>
      <c r="U246" s="67"/>
      <c r="W246" s="61" t="str">
        <f>IFERROR(IF(T246-T245&lt;=0,"",V246/SQRT(Таблица_pr3[[#This Row],[Удельное сопротивление грунта, Ом·м]])),V246/SQRT(Таблица_pr3[[#This Row],[Удельное сопротивление грунта, Ом·м]]))</f>
        <v/>
      </c>
      <c r="Y246" s="55"/>
      <c r="Z246" s="52"/>
      <c r="AA246" s="67"/>
      <c r="AB246" s="61" t="str">
        <f t="shared" si="23"/>
        <v/>
      </c>
      <c r="AC246" s="61" t="str">
        <f>IFERROR(IF(Z246-Z245&lt;=0,"",AB246/SQRT(Таблица_pr4[[#This Row],[Удельное сопротивление грунта, Ом·м]])),AB246/SQRT(Таблица_pr4[[#This Row],[Удельное сопротивление грунта, Ом·м]]))</f>
        <v/>
      </c>
      <c r="AE246" s="55"/>
      <c r="AF246" s="52"/>
      <c r="AG246" s="67"/>
      <c r="AI246" s="61" t="str">
        <f>IFERROR(IF(AF246-AF245&lt;=0,"",AH246/SQRT(Таблица_pr5[[#This Row],[Удельное сопротивление грунта, Ом·м]])),AH246/SQRT(Таблица_pr5[[#This Row],[Удельное сопротивление грунта, Ом·м]]))</f>
        <v/>
      </c>
      <c r="AK246" s="55"/>
      <c r="AL246" s="52"/>
      <c r="AM246" s="67"/>
      <c r="AN246" s="61" t="str">
        <f t="shared" si="21"/>
        <v/>
      </c>
      <c r="AO246" s="61" t="str">
        <f>IFERROR(IF(AL246-AL245&lt;=0,"",AN246/SQRT(Таблица_pr6[[#This Row],[Удельное сопротивление грунта, Ом·м]])),AN246/SQRT(Таблица_pr6[[#This Row],[Удельное сопротивление грунта, Ом·м]]))</f>
        <v/>
      </c>
      <c r="AQ246" s="55"/>
      <c r="AR246" s="52"/>
      <c r="AS246" s="67"/>
      <c r="AU246" s="61" t="str">
        <f>IFERROR(IF(AR246-AR245&lt;=0,"",AT246/SQRT(Таблица_pr7[[#This Row],[Удельное сопротивление грунта, Ом·м]])),AT246/SQRT(Таблица_pr7[[#This Row],[Удельное сопротивление грунта, Ом·м]]))</f>
        <v/>
      </c>
      <c r="AW246" s="55"/>
      <c r="AX246" s="52"/>
      <c r="AY246" s="67"/>
      <c r="AZ246" s="61" t="str">
        <f t="shared" si="22"/>
        <v/>
      </c>
      <c r="BA246" s="61" t="str">
        <f>IFERROR(IF(AX246-AX245&lt;=0,"",AZ246/SQRT(Таблица_pr8[[#This Row],[Удельное сопротивление грунта, Ом·м]])),AZ246/SQRT(Таблица_pr8[[#This Row],[Удельное сопротивление грунта, Ом·м]]))</f>
        <v/>
      </c>
      <c r="BC246" s="55"/>
      <c r="BD246" s="52"/>
      <c r="BE246" s="67"/>
      <c r="BG246" s="61" t="str">
        <f>IFERROR(IF(BD246-AX265&lt;=0,"",BF246/SQRT(Таблица_pr9[[#This Row],[Удельное сопротивление грунта, Ом·м]])),BF246/SQRT(Таблица_pr9[[#This Row],[Удельное сопротивление грунта, Ом·м]]))</f>
        <v/>
      </c>
      <c r="BI246" s="55"/>
      <c r="BJ246" s="52"/>
      <c r="BK246" s="67"/>
      <c r="BM246" s="61" t="str">
        <f>IFERROR(IF(BJ246-BD275&lt;=0,"",BL246/SQRT(Таблица_pr10[[#This Row],[Удельное сопротивление грунта, Ом·м]])),BL246/SQRT(Таблица_pr10[[#This Row],[Удельное сопротивление грунта, Ом·м]]))</f>
        <v/>
      </c>
    </row>
    <row r="247" spans="1:65">
      <c r="A247" s="64">
        <v>242</v>
      </c>
      <c r="B247" s="52">
        <v>520.7000000000055</v>
      </c>
      <c r="C247" s="67">
        <v>265.7</v>
      </c>
      <c r="D247" s="61">
        <f t="shared" si="19"/>
        <v>100.00000000002274</v>
      </c>
      <c r="E247" s="61">
        <f>IFERROR(IF(B247-B246&lt;=0,"",D247/SQRT(Таблица_pr[[#This Row],[Удельное сопротивление грунта, Ом·м]])),D247/SQRT(Таблица_pr[[#This Row],[Удельное сопротивление грунта, Ом·м]]))</f>
        <v>6.134853874890358</v>
      </c>
      <c r="G247" s="189">
        <v>242</v>
      </c>
      <c r="H247" s="185">
        <v>520.7000000000055</v>
      </c>
      <c r="I247" s="186">
        <v>265.7</v>
      </c>
      <c r="J247" s="180">
        <f t="shared" si="20"/>
        <v>100.00000000002274</v>
      </c>
      <c r="K247" s="61">
        <f>IFERROR(IF(H247-H246&lt;=0,"",J247/SQRT(Таблица_pr1[[#This Row],[Удельное сопротивление грунта, Ом·м]])),J247/SQRT(Таблица_pr1[[#This Row],[Удельное сопротивление грунта, Ом·м]]))</f>
        <v>6.134853874890358</v>
      </c>
      <c r="Q247" s="61" t="str">
        <f>IFERROR(IF(N247-N246&lt;=0,"",P247/SQRT(Таблица_pr2[[#This Row],[Удельное сопротивление грунта, Ом·м]])),P247/SQRT(Таблица_pr2[[#This Row],[Удельное сопротивление грунта, Ом·м]]))</f>
        <v/>
      </c>
      <c r="S247" s="55"/>
      <c r="T247" s="52"/>
      <c r="U247" s="67"/>
      <c r="W247" s="61" t="str">
        <f>IFERROR(IF(T247-T246&lt;=0,"",V247/SQRT(Таблица_pr3[[#This Row],[Удельное сопротивление грунта, Ом·м]])),V247/SQRT(Таблица_pr3[[#This Row],[Удельное сопротивление грунта, Ом·м]]))</f>
        <v/>
      </c>
      <c r="Y247" s="55"/>
      <c r="Z247" s="52"/>
      <c r="AA247" s="67"/>
      <c r="AB247" s="61" t="str">
        <f t="shared" si="23"/>
        <v/>
      </c>
      <c r="AC247" s="61" t="str">
        <f>IFERROR(IF(Z247-Z246&lt;=0,"",AB247/SQRT(Таблица_pr4[[#This Row],[Удельное сопротивление грунта, Ом·м]])),AB247/SQRT(Таблица_pr4[[#This Row],[Удельное сопротивление грунта, Ом·м]]))</f>
        <v/>
      </c>
      <c r="AE247" s="55"/>
      <c r="AF247" s="52"/>
      <c r="AG247" s="67"/>
      <c r="AI247" s="61" t="str">
        <f>IFERROR(IF(AF247-AF246&lt;=0,"",AH247/SQRT(Таблица_pr5[[#This Row],[Удельное сопротивление грунта, Ом·м]])),AH247/SQRT(Таблица_pr5[[#This Row],[Удельное сопротивление грунта, Ом·м]]))</f>
        <v/>
      </c>
      <c r="AK247" s="55"/>
      <c r="AL247" s="52"/>
      <c r="AM247" s="67"/>
      <c r="AN247" s="61" t="str">
        <f t="shared" si="21"/>
        <v/>
      </c>
      <c r="AO247" s="61" t="str">
        <f>IFERROR(IF(AL247-AL246&lt;=0,"",AN247/SQRT(Таблица_pr6[[#This Row],[Удельное сопротивление грунта, Ом·м]])),AN247/SQRT(Таблица_pr6[[#This Row],[Удельное сопротивление грунта, Ом·м]]))</f>
        <v/>
      </c>
      <c r="AQ247" s="55"/>
      <c r="AR247" s="52"/>
      <c r="AS247" s="67"/>
      <c r="AU247" s="61" t="str">
        <f>IFERROR(IF(AR247-AR246&lt;=0,"",AT247/SQRT(Таблица_pr7[[#This Row],[Удельное сопротивление грунта, Ом·м]])),AT247/SQRT(Таблица_pr7[[#This Row],[Удельное сопротивление грунта, Ом·м]]))</f>
        <v/>
      </c>
      <c r="AW247" s="55"/>
      <c r="AX247" s="52"/>
      <c r="AY247" s="67"/>
      <c r="AZ247" s="61" t="str">
        <f t="shared" si="22"/>
        <v/>
      </c>
      <c r="BA247" s="61" t="str">
        <f>IFERROR(IF(AX247-AX246&lt;=0,"",AZ247/SQRT(Таблица_pr8[[#This Row],[Удельное сопротивление грунта, Ом·м]])),AZ247/SQRT(Таблица_pr8[[#This Row],[Удельное сопротивление грунта, Ом·м]]))</f>
        <v/>
      </c>
      <c r="BC247" s="55"/>
      <c r="BD247" s="52"/>
      <c r="BE247" s="67"/>
      <c r="BG247" s="61" t="str">
        <f>IFERROR(IF(BD247-AX266&lt;=0,"",BF247/SQRT(Таблица_pr9[[#This Row],[Удельное сопротивление грунта, Ом·м]])),BF247/SQRT(Таблица_pr9[[#This Row],[Удельное сопротивление грунта, Ом·м]]))</f>
        <v/>
      </c>
      <c r="BI247" s="55"/>
      <c r="BJ247" s="52"/>
      <c r="BK247" s="67"/>
      <c r="BM247" s="61" t="str">
        <f>IFERROR(IF(BJ247-BD276&lt;=0,"",BL247/SQRT(Таблица_pr10[[#This Row],[Удельное сопротивление грунта, Ом·м]])),BL247/SQRT(Таблица_pr10[[#This Row],[Удельное сопротивление грунта, Ом·м]]))</f>
        <v/>
      </c>
    </row>
    <row r="248" spans="1:65">
      <c r="A248" s="64">
        <v>243</v>
      </c>
      <c r="B248" s="52">
        <v>520.80000000000553</v>
      </c>
      <c r="C248" s="67">
        <v>161.69999999999999</v>
      </c>
      <c r="D248" s="61">
        <f t="shared" si="19"/>
        <v>100.00000000002274</v>
      </c>
      <c r="E248" s="61">
        <f>IFERROR(IF(B248-B247&lt;=0,"",D248/SQRT(Таблица_pr[[#This Row],[Удельное сопротивление грунта, Ом·м]])),D248/SQRT(Таблица_pr[[#This Row],[Удельное сопротивление грунта, Ом·м]]))</f>
        <v>7.8640268937615065</v>
      </c>
      <c r="G248" s="188">
        <v>243</v>
      </c>
      <c r="H248" s="184">
        <v>520.80000000000553</v>
      </c>
      <c r="I248" s="187">
        <v>161.69999999999999</v>
      </c>
      <c r="J248" s="181">
        <f t="shared" si="20"/>
        <v>100.00000000002274</v>
      </c>
      <c r="K248" s="61">
        <f>IFERROR(IF(H248-H247&lt;=0,"",J248/SQRT(Таблица_pr1[[#This Row],[Удельное сопротивление грунта, Ом·м]])),J248/SQRT(Таблица_pr1[[#This Row],[Удельное сопротивление грунта, Ом·м]]))</f>
        <v>7.8640268937615065</v>
      </c>
      <c r="Q248" s="61" t="str">
        <f>IFERROR(IF(N248-N247&lt;=0,"",P248/SQRT(Таблица_pr2[[#This Row],[Удельное сопротивление грунта, Ом·м]])),P248/SQRT(Таблица_pr2[[#This Row],[Удельное сопротивление грунта, Ом·м]]))</f>
        <v/>
      </c>
      <c r="S248" s="55"/>
      <c r="T248" s="52"/>
      <c r="U248" s="67"/>
      <c r="W248" s="61" t="str">
        <f>IFERROR(IF(T248-T247&lt;=0,"",V248/SQRT(Таблица_pr3[[#This Row],[Удельное сопротивление грунта, Ом·м]])),V248/SQRT(Таблица_pr3[[#This Row],[Удельное сопротивление грунта, Ом·м]]))</f>
        <v/>
      </c>
      <c r="Y248" s="55"/>
      <c r="Z248" s="52"/>
      <c r="AA248" s="67"/>
      <c r="AB248" s="61" t="str">
        <f t="shared" si="23"/>
        <v/>
      </c>
      <c r="AC248" s="61" t="str">
        <f>IFERROR(IF(Z248-Z247&lt;=0,"",AB248/SQRT(Таблица_pr4[[#This Row],[Удельное сопротивление грунта, Ом·м]])),AB248/SQRT(Таблица_pr4[[#This Row],[Удельное сопротивление грунта, Ом·м]]))</f>
        <v/>
      </c>
      <c r="AE248" s="55"/>
      <c r="AF248" s="52"/>
      <c r="AG248" s="67"/>
      <c r="AI248" s="61" t="str">
        <f>IFERROR(IF(AF248-AF247&lt;=0,"",AH248/SQRT(Таблица_pr5[[#This Row],[Удельное сопротивление грунта, Ом·м]])),AH248/SQRT(Таблица_pr5[[#This Row],[Удельное сопротивление грунта, Ом·м]]))</f>
        <v/>
      </c>
      <c r="AK248" s="55"/>
      <c r="AL248" s="52"/>
      <c r="AM248" s="67"/>
      <c r="AN248" s="61" t="str">
        <f t="shared" si="21"/>
        <v/>
      </c>
      <c r="AO248" s="61" t="str">
        <f>IFERROR(IF(AL248-AL247&lt;=0,"",AN248/SQRT(Таблица_pr6[[#This Row],[Удельное сопротивление грунта, Ом·м]])),AN248/SQRT(Таблица_pr6[[#This Row],[Удельное сопротивление грунта, Ом·м]]))</f>
        <v/>
      </c>
      <c r="AQ248" s="55"/>
      <c r="AR248" s="52"/>
      <c r="AS248" s="67"/>
      <c r="AU248" s="61" t="str">
        <f>IFERROR(IF(AR248-AR247&lt;=0,"",AT248/SQRT(Таблица_pr7[[#This Row],[Удельное сопротивление грунта, Ом·м]])),AT248/SQRT(Таблица_pr7[[#This Row],[Удельное сопротивление грунта, Ом·м]]))</f>
        <v/>
      </c>
      <c r="AW248" s="55"/>
      <c r="AX248" s="52"/>
      <c r="AY248" s="67"/>
      <c r="AZ248" s="61" t="str">
        <f t="shared" si="22"/>
        <v/>
      </c>
      <c r="BA248" s="61" t="str">
        <f>IFERROR(IF(AX248-AX247&lt;=0,"",AZ248/SQRT(Таблица_pr8[[#This Row],[Удельное сопротивление грунта, Ом·м]])),AZ248/SQRT(Таблица_pr8[[#This Row],[Удельное сопротивление грунта, Ом·м]]))</f>
        <v/>
      </c>
      <c r="BC248" s="55"/>
      <c r="BD248" s="52"/>
      <c r="BE248" s="67"/>
      <c r="BG248" s="61" t="str">
        <f>IFERROR(IF(BD248-AX267&lt;=0,"",BF248/SQRT(Таблица_pr9[[#This Row],[Удельное сопротивление грунта, Ом·м]])),BF248/SQRT(Таблица_pr9[[#This Row],[Удельное сопротивление грунта, Ом·м]]))</f>
        <v/>
      </c>
      <c r="BI248" s="55"/>
      <c r="BJ248" s="52"/>
      <c r="BK248" s="67"/>
      <c r="BM248" s="61" t="str">
        <f>IFERROR(IF(BJ248-BD277&lt;=0,"",BL248/SQRT(Таблица_pr10[[#This Row],[Удельное сопротивление грунта, Ом·м]])),BL248/SQRT(Таблица_pr10[[#This Row],[Удельное сопротивление грунта, Ом·м]]))</f>
        <v/>
      </c>
    </row>
    <row r="249" spans="1:65">
      <c r="A249" s="64">
        <v>244</v>
      </c>
      <c r="B249" s="52">
        <v>520.90000000000555</v>
      </c>
      <c r="C249" s="67">
        <v>126.8</v>
      </c>
      <c r="D249" s="61">
        <f t="shared" si="19"/>
        <v>100.00000000002274</v>
      </c>
      <c r="E249" s="61">
        <f>IFERROR(IF(B249-B248&lt;=0,"",D249/SQRT(Таблица_pr[[#This Row],[Удельное сопротивление грунта, Ом·м]])),D249/SQRT(Таблица_pr[[#This Row],[Удельное сопротивление грунта, Ом·м]]))</f>
        <v>8.8805604165693683</v>
      </c>
      <c r="G249" s="189">
        <v>244</v>
      </c>
      <c r="H249" s="185">
        <v>520.90000000000555</v>
      </c>
      <c r="I249" s="186">
        <v>126.8</v>
      </c>
      <c r="J249" s="180">
        <f t="shared" si="20"/>
        <v>100.00000000002274</v>
      </c>
      <c r="K249" s="61">
        <f>IFERROR(IF(H249-H248&lt;=0,"",J249/SQRT(Таблица_pr1[[#This Row],[Удельное сопротивление грунта, Ом·м]])),J249/SQRT(Таблица_pr1[[#This Row],[Удельное сопротивление грунта, Ом·м]]))</f>
        <v>8.8805604165693683</v>
      </c>
      <c r="Q249" s="61" t="str">
        <f>IFERROR(IF(N249-N248&lt;=0,"",P249/SQRT(Таблица_pr2[[#This Row],[Удельное сопротивление грунта, Ом·м]])),P249/SQRT(Таблица_pr2[[#This Row],[Удельное сопротивление грунта, Ом·м]]))</f>
        <v/>
      </c>
      <c r="S249" s="55"/>
      <c r="T249" s="52"/>
      <c r="U249" s="67"/>
      <c r="W249" s="61" t="str">
        <f>IFERROR(IF(T249-T248&lt;=0,"",V249/SQRT(Таблица_pr3[[#This Row],[Удельное сопротивление грунта, Ом·м]])),V249/SQRT(Таблица_pr3[[#This Row],[Удельное сопротивление грунта, Ом·м]]))</f>
        <v/>
      </c>
      <c r="Y249" s="55"/>
      <c r="Z249" s="52"/>
      <c r="AA249" s="67"/>
      <c r="AB249" s="61" t="str">
        <f t="shared" si="23"/>
        <v/>
      </c>
      <c r="AC249" s="61" t="str">
        <f>IFERROR(IF(Z249-Z248&lt;=0,"",AB249/SQRT(Таблица_pr4[[#This Row],[Удельное сопротивление грунта, Ом·м]])),AB249/SQRT(Таблица_pr4[[#This Row],[Удельное сопротивление грунта, Ом·м]]))</f>
        <v/>
      </c>
      <c r="AE249" s="55"/>
      <c r="AF249" s="52"/>
      <c r="AG249" s="67"/>
      <c r="AI249" s="61" t="str">
        <f>IFERROR(IF(AF249-AF248&lt;=0,"",AH249/SQRT(Таблица_pr5[[#This Row],[Удельное сопротивление грунта, Ом·м]])),AH249/SQRT(Таблица_pr5[[#This Row],[Удельное сопротивление грунта, Ом·м]]))</f>
        <v/>
      </c>
      <c r="AK249" s="55"/>
      <c r="AL249" s="52"/>
      <c r="AM249" s="67"/>
      <c r="AN249" s="61" t="str">
        <f t="shared" si="21"/>
        <v/>
      </c>
      <c r="AO249" s="61" t="str">
        <f>IFERROR(IF(AL249-AL248&lt;=0,"",AN249/SQRT(Таблица_pr6[[#This Row],[Удельное сопротивление грунта, Ом·м]])),AN249/SQRT(Таблица_pr6[[#This Row],[Удельное сопротивление грунта, Ом·м]]))</f>
        <v/>
      </c>
      <c r="AQ249" s="55"/>
      <c r="AR249" s="52"/>
      <c r="AS249" s="67"/>
      <c r="AU249" s="61" t="str">
        <f>IFERROR(IF(AR249-AR248&lt;=0,"",AT249/SQRT(Таблица_pr7[[#This Row],[Удельное сопротивление грунта, Ом·м]])),AT249/SQRT(Таблица_pr7[[#This Row],[Удельное сопротивление грунта, Ом·м]]))</f>
        <v/>
      </c>
      <c r="AW249" s="55"/>
      <c r="AX249" s="52"/>
      <c r="AY249" s="67"/>
      <c r="AZ249" s="61" t="str">
        <f t="shared" si="22"/>
        <v/>
      </c>
      <c r="BA249" s="61" t="str">
        <f>IFERROR(IF(AX249-AX248&lt;=0,"",AZ249/SQRT(Таблица_pr8[[#This Row],[Удельное сопротивление грунта, Ом·м]])),AZ249/SQRT(Таблица_pr8[[#This Row],[Удельное сопротивление грунта, Ом·м]]))</f>
        <v/>
      </c>
      <c r="BC249" s="55"/>
      <c r="BD249" s="52"/>
      <c r="BE249" s="67"/>
      <c r="BG249" s="61" t="str">
        <f>IFERROR(IF(BD249-AX268&lt;=0,"",BF249/SQRT(Таблица_pr9[[#This Row],[Удельное сопротивление грунта, Ом·м]])),BF249/SQRT(Таблица_pr9[[#This Row],[Удельное сопротивление грунта, Ом·м]]))</f>
        <v/>
      </c>
      <c r="BI249" s="55"/>
      <c r="BJ249" s="52"/>
      <c r="BK249" s="67"/>
      <c r="BM249" s="61" t="str">
        <f>IFERROR(IF(BJ249-BD278&lt;=0,"",BL249/SQRT(Таблица_pr10[[#This Row],[Удельное сопротивление грунта, Ом·м]])),BL249/SQRT(Таблица_pr10[[#This Row],[Удельное сопротивление грунта, Ом·м]]))</f>
        <v/>
      </c>
    </row>
    <row r="250" spans="1:65">
      <c r="A250" s="64">
        <v>245</v>
      </c>
      <c r="B250" s="52">
        <v>521.00000000000557</v>
      </c>
      <c r="C250" s="67">
        <v>193.9</v>
      </c>
      <c r="D250" s="61">
        <f t="shared" si="19"/>
        <v>100.00000000002274</v>
      </c>
      <c r="E250" s="61">
        <f>IFERROR(IF(B250-B249&lt;=0,"",D250/SQRT(Таблица_pr[[#This Row],[Удельное сопротивление грунта, Ом·м]])),D250/SQRT(Таблица_pr[[#This Row],[Удельное сопротивление грунта, Ом·м]]))</f>
        <v>7.1814327094755157</v>
      </c>
      <c r="G250" s="188">
        <v>245</v>
      </c>
      <c r="H250" s="184">
        <v>521.00000000000557</v>
      </c>
      <c r="I250" s="187">
        <v>193.9</v>
      </c>
      <c r="J250" s="181">
        <f t="shared" si="20"/>
        <v>100.00000000002274</v>
      </c>
      <c r="K250" s="61">
        <f>IFERROR(IF(H250-H249&lt;=0,"",J250/SQRT(Таблица_pr1[[#This Row],[Удельное сопротивление грунта, Ом·м]])),J250/SQRT(Таблица_pr1[[#This Row],[Удельное сопротивление грунта, Ом·м]]))</f>
        <v>7.1814327094755157</v>
      </c>
      <c r="Q250" s="61" t="str">
        <f>IFERROR(IF(N250-N249&lt;=0,"",P250/SQRT(Таблица_pr2[[#This Row],[Удельное сопротивление грунта, Ом·м]])),P250/SQRT(Таблица_pr2[[#This Row],[Удельное сопротивление грунта, Ом·м]]))</f>
        <v/>
      </c>
      <c r="S250" s="55"/>
      <c r="T250" s="52"/>
      <c r="U250" s="67"/>
      <c r="W250" s="61" t="str">
        <f>IFERROR(IF(T250-T249&lt;=0,"",V250/SQRT(Таблица_pr3[[#This Row],[Удельное сопротивление грунта, Ом·м]])),V250/SQRT(Таблица_pr3[[#This Row],[Удельное сопротивление грунта, Ом·м]]))</f>
        <v/>
      </c>
      <c r="Y250" s="55"/>
      <c r="Z250" s="52"/>
      <c r="AA250" s="67"/>
      <c r="AB250" s="61" t="str">
        <f t="shared" si="23"/>
        <v/>
      </c>
      <c r="AC250" s="61" t="str">
        <f>IFERROR(IF(Z250-Z249&lt;=0,"",AB250/SQRT(Таблица_pr4[[#This Row],[Удельное сопротивление грунта, Ом·м]])),AB250/SQRT(Таблица_pr4[[#This Row],[Удельное сопротивление грунта, Ом·м]]))</f>
        <v/>
      </c>
      <c r="AE250" s="55"/>
      <c r="AF250" s="52"/>
      <c r="AG250" s="67"/>
      <c r="AI250" s="61" t="str">
        <f>IFERROR(IF(AF250-AF249&lt;=0,"",AH250/SQRT(Таблица_pr5[[#This Row],[Удельное сопротивление грунта, Ом·м]])),AH250/SQRT(Таблица_pr5[[#This Row],[Удельное сопротивление грунта, Ом·м]]))</f>
        <v/>
      </c>
      <c r="AK250" s="55"/>
      <c r="AL250" s="52"/>
      <c r="AM250" s="67"/>
      <c r="AN250" s="61" t="str">
        <f t="shared" si="21"/>
        <v/>
      </c>
      <c r="AO250" s="61" t="str">
        <f>IFERROR(IF(AL250-AL249&lt;=0,"",AN250/SQRT(Таблица_pr6[[#This Row],[Удельное сопротивление грунта, Ом·м]])),AN250/SQRT(Таблица_pr6[[#This Row],[Удельное сопротивление грунта, Ом·м]]))</f>
        <v/>
      </c>
      <c r="AQ250" s="55"/>
      <c r="AR250" s="52"/>
      <c r="AS250" s="67"/>
      <c r="AU250" s="61" t="str">
        <f>IFERROR(IF(AR250-AR249&lt;=0,"",AT250/SQRT(Таблица_pr7[[#This Row],[Удельное сопротивление грунта, Ом·м]])),AT250/SQRT(Таблица_pr7[[#This Row],[Удельное сопротивление грунта, Ом·м]]))</f>
        <v/>
      </c>
      <c r="AW250" s="55"/>
      <c r="AX250" s="52"/>
      <c r="AY250" s="67"/>
      <c r="AZ250" s="61" t="str">
        <f t="shared" si="22"/>
        <v/>
      </c>
      <c r="BA250" s="61" t="str">
        <f>IFERROR(IF(AX250-AX249&lt;=0,"",AZ250/SQRT(Таблица_pr8[[#This Row],[Удельное сопротивление грунта, Ом·м]])),AZ250/SQRT(Таблица_pr8[[#This Row],[Удельное сопротивление грунта, Ом·м]]))</f>
        <v/>
      </c>
      <c r="BC250" s="55"/>
      <c r="BD250" s="52"/>
      <c r="BE250" s="67"/>
      <c r="BG250" s="61" t="str">
        <f>IFERROR(IF(BD250-AX269&lt;=0,"",BF250/SQRT(Таблица_pr9[[#This Row],[Удельное сопротивление грунта, Ом·м]])),BF250/SQRT(Таблица_pr9[[#This Row],[Удельное сопротивление грунта, Ом·м]]))</f>
        <v/>
      </c>
      <c r="BI250" s="55"/>
      <c r="BJ250" s="52"/>
      <c r="BK250" s="67"/>
      <c r="BM250" s="61" t="str">
        <f>IFERROR(IF(BJ250-BD279&lt;=0,"",BL250/SQRT(Таблица_pr10[[#This Row],[Удельное сопротивление грунта, Ом·м]])),BL250/SQRT(Таблица_pr10[[#This Row],[Удельное сопротивление грунта, Ом·м]]))</f>
        <v/>
      </c>
    </row>
    <row r="251" spans="1:65">
      <c r="A251" s="64">
        <v>246</v>
      </c>
      <c r="B251" s="52">
        <v>521.10000000000559</v>
      </c>
      <c r="C251" s="67">
        <v>38</v>
      </c>
      <c r="D251" s="61">
        <f t="shared" si="19"/>
        <v>100.00000000002274</v>
      </c>
      <c r="E251" s="61">
        <f>IFERROR(IF(B251-B250&lt;=0,"",D251/SQRT(Таблица_pr[[#This Row],[Удельное сопротивление грунта, Ом·м]])),D251/SQRT(Таблица_pr[[#This Row],[Удельное сопротивление грунта, Ом·м]]))</f>
        <v>16.222142113079943</v>
      </c>
      <c r="G251" s="189">
        <v>246</v>
      </c>
      <c r="H251" s="185">
        <v>521.10000000000559</v>
      </c>
      <c r="I251" s="186">
        <v>38</v>
      </c>
      <c r="J251" s="180">
        <f t="shared" si="20"/>
        <v>100.00000000002274</v>
      </c>
      <c r="K251" s="61">
        <f>IFERROR(IF(H251-H250&lt;=0,"",J251/SQRT(Таблица_pr1[[#This Row],[Удельное сопротивление грунта, Ом·м]])),J251/SQRT(Таблица_pr1[[#This Row],[Удельное сопротивление грунта, Ом·м]]))</f>
        <v>16.222142113079943</v>
      </c>
      <c r="Q251" s="61" t="str">
        <f>IFERROR(IF(N251-N250&lt;=0,"",P251/SQRT(Таблица_pr2[[#This Row],[Удельное сопротивление грунта, Ом·м]])),P251/SQRT(Таблица_pr2[[#This Row],[Удельное сопротивление грунта, Ом·м]]))</f>
        <v/>
      </c>
      <c r="S251" s="55"/>
      <c r="T251" s="52"/>
      <c r="U251" s="67"/>
      <c r="W251" s="61" t="str">
        <f>IFERROR(IF(T251-T250&lt;=0,"",V251/SQRT(Таблица_pr3[[#This Row],[Удельное сопротивление грунта, Ом·м]])),V251/SQRT(Таблица_pr3[[#This Row],[Удельное сопротивление грунта, Ом·м]]))</f>
        <v/>
      </c>
      <c r="Y251" s="55"/>
      <c r="Z251" s="52"/>
      <c r="AA251" s="67"/>
      <c r="AB251" s="61" t="str">
        <f t="shared" si="23"/>
        <v/>
      </c>
      <c r="AC251" s="61" t="str">
        <f>IFERROR(IF(Z251-Z250&lt;=0,"",AB251/SQRT(Таблица_pr4[[#This Row],[Удельное сопротивление грунта, Ом·м]])),AB251/SQRT(Таблица_pr4[[#This Row],[Удельное сопротивление грунта, Ом·м]]))</f>
        <v/>
      </c>
      <c r="AE251" s="55"/>
      <c r="AF251" s="52"/>
      <c r="AG251" s="67"/>
      <c r="AI251" s="61" t="str">
        <f>IFERROR(IF(AF251-AF250&lt;=0,"",AH251/SQRT(Таблица_pr5[[#This Row],[Удельное сопротивление грунта, Ом·м]])),AH251/SQRT(Таблица_pr5[[#This Row],[Удельное сопротивление грунта, Ом·м]]))</f>
        <v/>
      </c>
      <c r="AK251" s="55"/>
      <c r="AL251" s="52"/>
      <c r="AM251" s="67"/>
      <c r="AN251" s="61" t="str">
        <f t="shared" si="21"/>
        <v/>
      </c>
      <c r="AO251" s="61" t="str">
        <f>IFERROR(IF(AL251-AL250&lt;=0,"",AN251/SQRT(Таблица_pr6[[#This Row],[Удельное сопротивление грунта, Ом·м]])),AN251/SQRT(Таблица_pr6[[#This Row],[Удельное сопротивление грунта, Ом·м]]))</f>
        <v/>
      </c>
      <c r="AQ251" s="55"/>
      <c r="AR251" s="52"/>
      <c r="AS251" s="67"/>
      <c r="AU251" s="61" t="str">
        <f>IFERROR(IF(AR251-AR250&lt;=0,"",AT251/SQRT(Таблица_pr7[[#This Row],[Удельное сопротивление грунта, Ом·м]])),AT251/SQRT(Таблица_pr7[[#This Row],[Удельное сопротивление грунта, Ом·м]]))</f>
        <v/>
      </c>
      <c r="AW251" s="55"/>
      <c r="AX251" s="52"/>
      <c r="AY251" s="67"/>
      <c r="AZ251" s="61" t="str">
        <f t="shared" si="22"/>
        <v/>
      </c>
      <c r="BA251" s="61" t="str">
        <f>IFERROR(IF(AX251-AX250&lt;=0,"",AZ251/SQRT(Таблица_pr8[[#This Row],[Удельное сопротивление грунта, Ом·м]])),AZ251/SQRT(Таблица_pr8[[#This Row],[Удельное сопротивление грунта, Ом·м]]))</f>
        <v/>
      </c>
      <c r="BC251" s="55"/>
      <c r="BD251" s="52"/>
      <c r="BE251" s="67"/>
      <c r="BG251" s="61" t="str">
        <f>IFERROR(IF(BD251-AX270&lt;=0,"",BF251/SQRT(Таблица_pr9[[#This Row],[Удельное сопротивление грунта, Ом·м]])),BF251/SQRT(Таблица_pr9[[#This Row],[Удельное сопротивление грунта, Ом·м]]))</f>
        <v/>
      </c>
      <c r="BI251" s="55"/>
      <c r="BJ251" s="52"/>
      <c r="BK251" s="67"/>
      <c r="BM251" s="61" t="str">
        <f>IFERROR(IF(BJ251-BD280&lt;=0,"",BL251/SQRT(Таблица_pr10[[#This Row],[Удельное сопротивление грунта, Ом·м]])),BL251/SQRT(Таблица_pr10[[#This Row],[Удельное сопротивление грунта, Ом·м]]))</f>
        <v/>
      </c>
    </row>
    <row r="252" spans="1:65">
      <c r="A252" s="64">
        <v>247</v>
      </c>
      <c r="B252" s="52">
        <v>521.20000000000562</v>
      </c>
      <c r="C252" s="67">
        <v>78.8</v>
      </c>
      <c r="D252" s="61">
        <f t="shared" si="19"/>
        <v>100.00000000002274</v>
      </c>
      <c r="E252" s="61">
        <f>IFERROR(IF(B252-B251&lt;=0,"",D252/SQRT(Таблица_pr[[#This Row],[Удельное сопротивление грунта, Ом·м]])),D252/SQRT(Таблица_pr[[#This Row],[Удельное сопротивление грунта, Ом·м]]))</f>
        <v>11.265147726485884</v>
      </c>
      <c r="G252" s="188">
        <v>247</v>
      </c>
      <c r="H252" s="184">
        <v>521.20000000000562</v>
      </c>
      <c r="I252" s="187">
        <v>78.8</v>
      </c>
      <c r="J252" s="181">
        <f t="shared" si="20"/>
        <v>100.00000000002274</v>
      </c>
      <c r="K252" s="61">
        <f>IFERROR(IF(H252-H251&lt;=0,"",J252/SQRT(Таблица_pr1[[#This Row],[Удельное сопротивление грунта, Ом·м]])),J252/SQRT(Таблица_pr1[[#This Row],[Удельное сопротивление грунта, Ом·м]]))</f>
        <v>11.265147726485884</v>
      </c>
      <c r="Q252" s="61" t="str">
        <f>IFERROR(IF(N252-N251&lt;=0,"",P252/SQRT(Таблица_pr2[[#This Row],[Удельное сопротивление грунта, Ом·м]])),P252/SQRT(Таблица_pr2[[#This Row],[Удельное сопротивление грунта, Ом·м]]))</f>
        <v/>
      </c>
      <c r="S252" s="55"/>
      <c r="T252" s="52"/>
      <c r="U252" s="67"/>
      <c r="W252" s="61" t="str">
        <f>IFERROR(IF(T252-T251&lt;=0,"",V252/SQRT(Таблица_pr3[[#This Row],[Удельное сопротивление грунта, Ом·м]])),V252/SQRT(Таблица_pr3[[#This Row],[Удельное сопротивление грунта, Ом·м]]))</f>
        <v/>
      </c>
      <c r="Y252" s="55"/>
      <c r="Z252" s="52"/>
      <c r="AA252" s="67"/>
      <c r="AB252" s="61" t="str">
        <f t="shared" si="23"/>
        <v/>
      </c>
      <c r="AC252" s="61" t="str">
        <f>IFERROR(IF(Z252-Z251&lt;=0,"",AB252/SQRT(Таблица_pr4[[#This Row],[Удельное сопротивление грунта, Ом·м]])),AB252/SQRT(Таблица_pr4[[#This Row],[Удельное сопротивление грунта, Ом·м]]))</f>
        <v/>
      </c>
      <c r="AE252" s="55"/>
      <c r="AF252" s="52"/>
      <c r="AG252" s="67"/>
      <c r="AI252" s="61" t="str">
        <f>IFERROR(IF(AF252-AF251&lt;=0,"",AH252/SQRT(Таблица_pr5[[#This Row],[Удельное сопротивление грунта, Ом·м]])),AH252/SQRT(Таблица_pr5[[#This Row],[Удельное сопротивление грунта, Ом·м]]))</f>
        <v/>
      </c>
      <c r="AK252" s="55"/>
      <c r="AL252" s="52"/>
      <c r="AM252" s="67"/>
      <c r="AN252" s="61" t="str">
        <f t="shared" si="21"/>
        <v/>
      </c>
      <c r="AO252" s="61" t="str">
        <f>IFERROR(IF(AL252-AL251&lt;=0,"",AN252/SQRT(Таблица_pr6[[#This Row],[Удельное сопротивление грунта, Ом·м]])),AN252/SQRT(Таблица_pr6[[#This Row],[Удельное сопротивление грунта, Ом·м]]))</f>
        <v/>
      </c>
      <c r="AQ252" s="55"/>
      <c r="AR252" s="52"/>
      <c r="AS252" s="67"/>
      <c r="AU252" s="61" t="str">
        <f>IFERROR(IF(AR252-AR251&lt;=0,"",AT252/SQRT(Таблица_pr7[[#This Row],[Удельное сопротивление грунта, Ом·м]])),AT252/SQRT(Таблица_pr7[[#This Row],[Удельное сопротивление грунта, Ом·м]]))</f>
        <v/>
      </c>
      <c r="AW252" s="55"/>
      <c r="AX252" s="52"/>
      <c r="AY252" s="67"/>
      <c r="AZ252" s="61" t="str">
        <f t="shared" si="22"/>
        <v/>
      </c>
      <c r="BA252" s="61" t="str">
        <f>IFERROR(IF(AX252-AX251&lt;=0,"",AZ252/SQRT(Таблица_pr8[[#This Row],[Удельное сопротивление грунта, Ом·м]])),AZ252/SQRT(Таблица_pr8[[#This Row],[Удельное сопротивление грунта, Ом·м]]))</f>
        <v/>
      </c>
      <c r="BC252" s="55"/>
      <c r="BD252" s="52"/>
      <c r="BE252" s="67"/>
      <c r="BG252" s="61" t="str">
        <f>IFERROR(IF(BD252-AX271&lt;=0,"",BF252/SQRT(Таблица_pr9[[#This Row],[Удельное сопротивление грунта, Ом·м]])),BF252/SQRT(Таблица_pr9[[#This Row],[Удельное сопротивление грунта, Ом·м]]))</f>
        <v/>
      </c>
      <c r="BI252" s="55"/>
      <c r="BJ252" s="52"/>
      <c r="BK252" s="67"/>
      <c r="BM252" s="61" t="str">
        <f>IFERROR(IF(BJ252-BD281&lt;=0,"",BL252/SQRT(Таблица_pr10[[#This Row],[Удельное сопротивление грунта, Ом·м]])),BL252/SQRT(Таблица_pr10[[#This Row],[Удельное сопротивление грунта, Ом·м]]))</f>
        <v/>
      </c>
    </row>
    <row r="253" spans="1:65">
      <c r="A253" s="64">
        <v>248</v>
      </c>
      <c r="B253" s="52">
        <v>521.30000000000564</v>
      </c>
      <c r="C253" s="67">
        <v>36.799999999999997</v>
      </c>
      <c r="D253" s="61">
        <f t="shared" si="19"/>
        <v>100.00000000002274</v>
      </c>
      <c r="E253" s="61">
        <f>IFERROR(IF(B253-B252&lt;=0,"",D253/SQRT(Таблица_pr[[#This Row],[Удельное сопротивление грунта, Ом·м]])),D253/SQRT(Таблица_pr[[#This Row],[Удельное сопротивление грунта, Ом·м]]))</f>
        <v>16.484511834898424</v>
      </c>
      <c r="G253" s="189">
        <v>248</v>
      </c>
      <c r="H253" s="185">
        <v>521.30000000000564</v>
      </c>
      <c r="I253" s="186">
        <v>36.799999999999997</v>
      </c>
      <c r="J253" s="180">
        <f t="shared" si="20"/>
        <v>100.00000000002274</v>
      </c>
      <c r="K253" s="61">
        <f>IFERROR(IF(H253-H252&lt;=0,"",J253/SQRT(Таблица_pr1[[#This Row],[Удельное сопротивление грунта, Ом·м]])),J253/SQRT(Таблица_pr1[[#This Row],[Удельное сопротивление грунта, Ом·м]]))</f>
        <v>16.484511834898424</v>
      </c>
      <c r="Q253" s="61" t="str">
        <f>IFERROR(IF(N253-N252&lt;=0,"",P253/SQRT(Таблица_pr2[[#This Row],[Удельное сопротивление грунта, Ом·м]])),P253/SQRT(Таблица_pr2[[#This Row],[Удельное сопротивление грунта, Ом·м]]))</f>
        <v/>
      </c>
      <c r="S253" s="55"/>
      <c r="T253" s="52"/>
      <c r="U253" s="67"/>
      <c r="W253" s="61" t="str">
        <f>IFERROR(IF(T253-T252&lt;=0,"",V253/SQRT(Таблица_pr3[[#This Row],[Удельное сопротивление грунта, Ом·м]])),V253/SQRT(Таблица_pr3[[#This Row],[Удельное сопротивление грунта, Ом·м]]))</f>
        <v/>
      </c>
      <c r="Y253" s="55"/>
      <c r="Z253" s="52"/>
      <c r="AA253" s="67"/>
      <c r="AB253" s="61" t="str">
        <f t="shared" si="23"/>
        <v/>
      </c>
      <c r="AC253" s="61" t="str">
        <f>IFERROR(IF(Z253-Z252&lt;=0,"",AB253/SQRT(Таблица_pr4[[#This Row],[Удельное сопротивление грунта, Ом·м]])),AB253/SQRT(Таблица_pr4[[#This Row],[Удельное сопротивление грунта, Ом·м]]))</f>
        <v/>
      </c>
      <c r="AE253" s="55"/>
      <c r="AF253" s="52"/>
      <c r="AG253" s="67"/>
      <c r="AI253" s="61" t="str">
        <f>IFERROR(IF(AF253-AF252&lt;=0,"",AH253/SQRT(Таблица_pr5[[#This Row],[Удельное сопротивление грунта, Ом·м]])),AH253/SQRT(Таблица_pr5[[#This Row],[Удельное сопротивление грунта, Ом·м]]))</f>
        <v/>
      </c>
      <c r="AK253" s="55"/>
      <c r="AL253" s="52"/>
      <c r="AM253" s="67"/>
      <c r="AN253" s="61" t="str">
        <f t="shared" si="21"/>
        <v/>
      </c>
      <c r="AO253" s="61" t="str">
        <f>IFERROR(IF(AL253-AL252&lt;=0,"",AN253/SQRT(Таблица_pr6[[#This Row],[Удельное сопротивление грунта, Ом·м]])),AN253/SQRT(Таблица_pr6[[#This Row],[Удельное сопротивление грунта, Ом·м]]))</f>
        <v/>
      </c>
      <c r="AQ253" s="55"/>
      <c r="AR253" s="52"/>
      <c r="AS253" s="67"/>
      <c r="AU253" s="61" t="str">
        <f>IFERROR(IF(AR253-AR252&lt;=0,"",AT253/SQRT(Таблица_pr7[[#This Row],[Удельное сопротивление грунта, Ом·м]])),AT253/SQRT(Таблица_pr7[[#This Row],[Удельное сопротивление грунта, Ом·м]]))</f>
        <v/>
      </c>
      <c r="AW253" s="55"/>
      <c r="AX253" s="52"/>
      <c r="AY253" s="67"/>
      <c r="AZ253" s="61" t="str">
        <f t="shared" si="22"/>
        <v/>
      </c>
      <c r="BA253" s="61" t="str">
        <f>IFERROR(IF(AX253-AX252&lt;=0,"",AZ253/SQRT(Таблица_pr8[[#This Row],[Удельное сопротивление грунта, Ом·м]])),AZ253/SQRT(Таблица_pr8[[#This Row],[Удельное сопротивление грунта, Ом·м]]))</f>
        <v/>
      </c>
      <c r="BC253" s="55"/>
      <c r="BD253" s="52"/>
      <c r="BE253" s="67"/>
      <c r="BG253" s="61" t="str">
        <f>IFERROR(IF(BD253-AX272&lt;=0,"",BF253/SQRT(Таблица_pr9[[#This Row],[Удельное сопротивление грунта, Ом·м]])),BF253/SQRT(Таблица_pr9[[#This Row],[Удельное сопротивление грунта, Ом·м]]))</f>
        <v/>
      </c>
      <c r="BI253" s="55"/>
      <c r="BJ253" s="52"/>
      <c r="BK253" s="67"/>
      <c r="BM253" s="61" t="str">
        <f>IFERROR(IF(BJ253-BD282&lt;=0,"",BL253/SQRT(Таблица_pr10[[#This Row],[Удельное сопротивление грунта, Ом·м]])),BL253/SQRT(Таблица_pr10[[#This Row],[Удельное сопротивление грунта, Ом·м]]))</f>
        <v/>
      </c>
    </row>
    <row r="254" spans="1:65">
      <c r="A254" s="64">
        <v>249</v>
      </c>
      <c r="B254" s="52">
        <v>521.40000000000566</v>
      </c>
      <c r="C254" s="67">
        <v>55.9</v>
      </c>
      <c r="D254" s="61">
        <f t="shared" si="19"/>
        <v>100.00000000002274</v>
      </c>
      <c r="E254" s="61">
        <f>IFERROR(IF(B254-B253&lt;=0,"",D254/SQRT(Таблица_pr[[#This Row],[Удельное сопротивление грунта, Ом·м]])),D254/SQRT(Таблица_pr[[#This Row],[Удельное сопротивление грунта, Ом·м]]))</f>
        <v>13.375009404309836</v>
      </c>
      <c r="G254" s="188">
        <v>249</v>
      </c>
      <c r="H254" s="184">
        <v>521.40000000000566</v>
      </c>
      <c r="I254" s="187">
        <v>55.9</v>
      </c>
      <c r="J254" s="181">
        <f t="shared" si="20"/>
        <v>100.00000000002274</v>
      </c>
      <c r="K254" s="61">
        <f>IFERROR(IF(H254-H253&lt;=0,"",J254/SQRT(Таблица_pr1[[#This Row],[Удельное сопротивление грунта, Ом·м]])),J254/SQRT(Таблица_pr1[[#This Row],[Удельное сопротивление грунта, Ом·м]]))</f>
        <v>13.375009404309836</v>
      </c>
      <c r="Q254" s="61" t="str">
        <f>IFERROR(IF(N254-N253&lt;=0,"",P254/SQRT(Таблица_pr2[[#This Row],[Удельное сопротивление грунта, Ом·м]])),P254/SQRT(Таблица_pr2[[#This Row],[Удельное сопротивление грунта, Ом·м]]))</f>
        <v/>
      </c>
      <c r="S254" s="55"/>
      <c r="T254" s="52"/>
      <c r="U254" s="67"/>
      <c r="W254" s="61" t="str">
        <f>IFERROR(IF(T254-T253&lt;=0,"",V254/SQRT(Таблица_pr3[[#This Row],[Удельное сопротивление грунта, Ом·м]])),V254/SQRT(Таблица_pr3[[#This Row],[Удельное сопротивление грунта, Ом·м]]))</f>
        <v/>
      </c>
      <c r="Y254" s="55"/>
      <c r="Z254" s="52"/>
      <c r="AA254" s="67"/>
      <c r="AB254" s="61" t="str">
        <f t="shared" si="23"/>
        <v/>
      </c>
      <c r="AC254" s="61" t="str">
        <f>IFERROR(IF(Z254-Z253&lt;=0,"",AB254/SQRT(Таблица_pr4[[#This Row],[Удельное сопротивление грунта, Ом·м]])),AB254/SQRT(Таблица_pr4[[#This Row],[Удельное сопротивление грунта, Ом·м]]))</f>
        <v/>
      </c>
      <c r="AE254" s="55"/>
      <c r="AF254" s="52"/>
      <c r="AG254" s="67"/>
      <c r="AI254" s="61" t="str">
        <f>IFERROR(IF(AF254-AF253&lt;=0,"",AH254/SQRT(Таблица_pr5[[#This Row],[Удельное сопротивление грунта, Ом·м]])),AH254/SQRT(Таблица_pr5[[#This Row],[Удельное сопротивление грунта, Ом·м]]))</f>
        <v/>
      </c>
      <c r="AK254" s="55"/>
      <c r="AL254" s="52"/>
      <c r="AM254" s="67"/>
      <c r="AN254" s="61" t="str">
        <f t="shared" si="21"/>
        <v/>
      </c>
      <c r="AO254" s="61" t="str">
        <f>IFERROR(IF(AL254-AL253&lt;=0,"",AN254/SQRT(Таблица_pr6[[#This Row],[Удельное сопротивление грунта, Ом·м]])),AN254/SQRT(Таблица_pr6[[#This Row],[Удельное сопротивление грунта, Ом·м]]))</f>
        <v/>
      </c>
      <c r="AQ254" s="55"/>
      <c r="AR254" s="52"/>
      <c r="AS254" s="67"/>
      <c r="AU254" s="61" t="str">
        <f>IFERROR(IF(AR254-AR253&lt;=0,"",AT254/SQRT(Таблица_pr7[[#This Row],[Удельное сопротивление грунта, Ом·м]])),AT254/SQRT(Таблица_pr7[[#This Row],[Удельное сопротивление грунта, Ом·м]]))</f>
        <v/>
      </c>
      <c r="AW254" s="55"/>
      <c r="AX254" s="52"/>
      <c r="AY254" s="67"/>
      <c r="AZ254" s="61" t="str">
        <f t="shared" si="22"/>
        <v/>
      </c>
      <c r="BA254" s="61" t="str">
        <f>IFERROR(IF(AX254-AX253&lt;=0,"",AZ254/SQRT(Таблица_pr8[[#This Row],[Удельное сопротивление грунта, Ом·м]])),AZ254/SQRT(Таблица_pr8[[#This Row],[Удельное сопротивление грунта, Ом·м]]))</f>
        <v/>
      </c>
      <c r="BC254" s="55"/>
      <c r="BD254" s="52"/>
      <c r="BE254" s="67"/>
      <c r="BG254" s="61" t="str">
        <f>IFERROR(IF(BD254-AX273&lt;=0,"",BF254/SQRT(Таблица_pr9[[#This Row],[Удельное сопротивление грунта, Ом·м]])),BF254/SQRT(Таблица_pr9[[#This Row],[Удельное сопротивление грунта, Ом·м]]))</f>
        <v/>
      </c>
      <c r="BI254" s="55"/>
      <c r="BJ254" s="52"/>
      <c r="BK254" s="67"/>
      <c r="BM254" s="61" t="str">
        <f>IFERROR(IF(BJ254-BD283&lt;=0,"",BL254/SQRT(Таблица_pr10[[#This Row],[Удельное сопротивление грунта, Ом·м]])),BL254/SQRT(Таблица_pr10[[#This Row],[Удельное сопротивление грунта, Ом·м]]))</f>
        <v/>
      </c>
    </row>
    <row r="255" spans="1:65">
      <c r="A255" s="64">
        <v>250</v>
      </c>
      <c r="B255" s="52">
        <v>521.50000000000568</v>
      </c>
      <c r="C255" s="67">
        <v>32.5</v>
      </c>
      <c r="D255" s="61">
        <f t="shared" si="19"/>
        <v>100.00000000002274</v>
      </c>
      <c r="E255" s="61">
        <f>IFERROR(IF(B255-B254&lt;=0,"",D255/SQRT(Таблица_pr[[#This Row],[Удельное сопротивление грунта, Ом·м]])),D255/SQRT(Таблица_pr[[#This Row],[Удельное сопротивление грунта, Ом·м]]))</f>
        <v>17.541160386144572</v>
      </c>
      <c r="G255" s="189">
        <v>250</v>
      </c>
      <c r="H255" s="185">
        <v>521.50000000000568</v>
      </c>
      <c r="I255" s="186">
        <v>32.5</v>
      </c>
      <c r="J255" s="180">
        <f t="shared" si="20"/>
        <v>100.00000000002274</v>
      </c>
      <c r="K255" s="61">
        <f>IFERROR(IF(H255-H254&lt;=0,"",J255/SQRT(Таблица_pr1[[#This Row],[Удельное сопротивление грунта, Ом·м]])),J255/SQRT(Таблица_pr1[[#This Row],[Удельное сопротивление грунта, Ом·м]]))</f>
        <v>17.541160386144572</v>
      </c>
      <c r="M255" s="55"/>
      <c r="N255" s="52"/>
      <c r="O255" s="67"/>
      <c r="P255" s="61">
        <f>IFERROR(IF(N255-#REF!&lt;=0,"",(N255-#REF!)*1000),100)</f>
        <v>100</v>
      </c>
      <c r="Q255" s="61" t="str">
        <f>IFERROR(IF(N255-N254&lt;=0,"",P255/SQRT(Таблица_pr2[[#This Row],[Удельное сопротивление грунта, Ом·м]])),P255/SQRT(Таблица_pr2[[#This Row],[Удельное сопротивление грунта, Ом·м]]))</f>
        <v/>
      </c>
      <c r="S255" s="55"/>
      <c r="T255" s="52"/>
      <c r="U255" s="67"/>
      <c r="W255" s="61" t="str">
        <f>IFERROR(IF(T255-T254&lt;=0,"",V255/SQRT(Таблица_pr3[[#This Row],[Удельное сопротивление грунта, Ом·м]])),V255/SQRT(Таблица_pr3[[#This Row],[Удельное сопротивление грунта, Ом·м]]))</f>
        <v/>
      </c>
      <c r="Y255" s="55"/>
      <c r="Z255" s="52"/>
      <c r="AA255" s="67"/>
      <c r="AB255" s="61" t="str">
        <f t="shared" si="23"/>
        <v/>
      </c>
      <c r="AC255" s="61" t="str">
        <f>IFERROR(IF(Z255-Z254&lt;=0,"",AB255/SQRT(Таблица_pr4[[#This Row],[Удельное сопротивление грунта, Ом·м]])),AB255/SQRT(Таблица_pr4[[#This Row],[Удельное сопротивление грунта, Ом·м]]))</f>
        <v/>
      </c>
      <c r="AE255" s="55"/>
      <c r="AF255" s="52"/>
      <c r="AG255" s="67"/>
      <c r="AI255" s="61" t="str">
        <f>IFERROR(IF(AF255-AF254&lt;=0,"",AH255/SQRT(Таблица_pr5[[#This Row],[Удельное сопротивление грунта, Ом·м]])),AH255/SQRT(Таблица_pr5[[#This Row],[Удельное сопротивление грунта, Ом·м]]))</f>
        <v/>
      </c>
      <c r="AK255" s="55"/>
      <c r="AL255" s="52"/>
      <c r="AM255" s="67"/>
      <c r="AN255" s="61" t="str">
        <f t="shared" si="21"/>
        <v/>
      </c>
      <c r="AO255" s="61" t="str">
        <f>IFERROR(IF(AL255-AL254&lt;=0,"",AN255/SQRT(Таблица_pr6[[#This Row],[Удельное сопротивление грунта, Ом·м]])),AN255/SQRT(Таблица_pr6[[#This Row],[Удельное сопротивление грунта, Ом·м]]))</f>
        <v/>
      </c>
      <c r="AQ255" s="55"/>
      <c r="AR255" s="52"/>
      <c r="AS255" s="67"/>
      <c r="AU255" s="61" t="str">
        <f>IFERROR(IF(AR255-AR254&lt;=0,"",AT255/SQRT(Таблица_pr7[[#This Row],[Удельное сопротивление грунта, Ом·м]])),AT255/SQRT(Таблица_pr7[[#This Row],[Удельное сопротивление грунта, Ом·м]]))</f>
        <v/>
      </c>
      <c r="AW255" s="55"/>
      <c r="AX255" s="52"/>
      <c r="AY255" s="67"/>
      <c r="AZ255" s="61" t="str">
        <f t="shared" si="22"/>
        <v/>
      </c>
      <c r="BA255" s="61" t="str">
        <f>IFERROR(IF(AX255-AX254&lt;=0,"",AZ255/SQRT(Таблица_pr8[[#This Row],[Удельное сопротивление грунта, Ом·м]])),AZ255/SQRT(Таблица_pr8[[#This Row],[Удельное сопротивление грунта, Ом·м]]))</f>
        <v/>
      </c>
      <c r="BC255" s="55"/>
      <c r="BD255" s="52"/>
      <c r="BE255" s="67"/>
      <c r="BG255" s="61" t="str">
        <f>IFERROR(IF(BD255-AX274&lt;=0,"",BF255/SQRT(Таблица_pr9[[#This Row],[Удельное сопротивление грунта, Ом·м]])),BF255/SQRT(Таблица_pr9[[#This Row],[Удельное сопротивление грунта, Ом·м]]))</f>
        <v/>
      </c>
      <c r="BI255" s="55"/>
      <c r="BJ255" s="52"/>
      <c r="BK255" s="67"/>
      <c r="BM255" s="61" t="str">
        <f>IFERROR(IF(BJ255-BD284&lt;=0,"",BL255/SQRT(Таблица_pr10[[#This Row],[Удельное сопротивление грунта, Ом·м]])),BL255/SQRT(Таблица_pr10[[#This Row],[Удельное сопротивление грунта, Ом·м]]))</f>
        <v/>
      </c>
    </row>
    <row r="256" spans="1:65">
      <c r="A256" s="64">
        <v>251</v>
      </c>
      <c r="B256" s="52">
        <v>521.60000000000571</v>
      </c>
      <c r="C256" s="67">
        <v>31.8</v>
      </c>
      <c r="D256" s="61">
        <f t="shared" si="19"/>
        <v>100.00000000002274</v>
      </c>
      <c r="E256" s="61">
        <f>IFERROR(IF(B256-B255&lt;=0,"",D256/SQRT(Таблица_pr[[#This Row],[Удельное сопротивление грунта, Ом·м]])),D256/SQRT(Таблица_pr[[#This Row],[Удельное сопротивление грунта, Ом·м]]))</f>
        <v>17.733172553301749</v>
      </c>
      <c r="G256" s="188">
        <v>251</v>
      </c>
      <c r="H256" s="184">
        <v>521.60000000000571</v>
      </c>
      <c r="I256" s="187">
        <v>31.8</v>
      </c>
      <c r="J256" s="181">
        <f t="shared" si="20"/>
        <v>100.00000000002274</v>
      </c>
      <c r="K256" s="61">
        <f>IFERROR(IF(H256-H255&lt;=0,"",J256/SQRT(Таблица_pr1[[#This Row],[Удельное сопротивление грунта, Ом·м]])),J256/SQRT(Таблица_pr1[[#This Row],[Удельное сопротивление грунта, Ом·м]]))</f>
        <v>17.733172553301749</v>
      </c>
      <c r="M256" s="55"/>
      <c r="N256" s="52"/>
      <c r="O256" s="67"/>
      <c r="P256" s="61" t="str">
        <f t="shared" ref="P256:P261" si="24">IFERROR(IF(N256-N255&lt;=0,"",(N256-N255)*1000),100)</f>
        <v/>
      </c>
      <c r="Q256" s="61" t="str">
        <f>IFERROR(IF(N256-N255&lt;=0,"",P256/SQRT(Таблица_pr2[[#This Row],[Удельное сопротивление грунта, Ом·м]])),P256/SQRT(Таблица_pr2[[#This Row],[Удельное сопротивление грунта, Ом·м]]))</f>
        <v/>
      </c>
      <c r="S256" s="55"/>
      <c r="T256" s="52"/>
      <c r="U256" s="67"/>
      <c r="W256" s="61" t="str">
        <f>IFERROR(IF(T256-T255&lt;=0,"",V256/SQRT(Таблица_pr3[[#This Row],[Удельное сопротивление грунта, Ом·м]])),V256/SQRT(Таблица_pr3[[#This Row],[Удельное сопротивление грунта, Ом·м]]))</f>
        <v/>
      </c>
      <c r="Y256" s="55"/>
      <c r="Z256" s="52"/>
      <c r="AA256" s="67"/>
      <c r="AB256" s="61" t="str">
        <f t="shared" si="23"/>
        <v/>
      </c>
      <c r="AC256" s="61" t="str">
        <f>IFERROR(IF(Z256-Z255&lt;=0,"",AB256/SQRT(Таблица_pr4[[#This Row],[Удельное сопротивление грунта, Ом·м]])),AB256/SQRT(Таблица_pr4[[#This Row],[Удельное сопротивление грунта, Ом·м]]))</f>
        <v/>
      </c>
      <c r="AE256" s="55"/>
      <c r="AF256" s="52"/>
      <c r="AG256" s="67"/>
      <c r="AI256" s="61" t="str">
        <f>IFERROR(IF(AF256-AF255&lt;=0,"",AH256/SQRT(Таблица_pr5[[#This Row],[Удельное сопротивление грунта, Ом·м]])),AH256/SQRT(Таблица_pr5[[#This Row],[Удельное сопротивление грунта, Ом·м]]))</f>
        <v/>
      </c>
      <c r="AK256" s="55"/>
      <c r="AL256" s="52"/>
      <c r="AM256" s="67"/>
      <c r="AN256" s="61" t="str">
        <f t="shared" si="21"/>
        <v/>
      </c>
      <c r="AO256" s="61" t="str">
        <f>IFERROR(IF(AL256-AL255&lt;=0,"",AN256/SQRT(Таблица_pr6[[#This Row],[Удельное сопротивление грунта, Ом·м]])),AN256/SQRT(Таблица_pr6[[#This Row],[Удельное сопротивление грунта, Ом·м]]))</f>
        <v/>
      </c>
      <c r="AQ256" s="55"/>
      <c r="AR256" s="52"/>
      <c r="AS256" s="67"/>
      <c r="AU256" s="61" t="str">
        <f>IFERROR(IF(AR256-AR255&lt;=0,"",AT256/SQRT(Таблица_pr7[[#This Row],[Удельное сопротивление грунта, Ом·м]])),AT256/SQRT(Таблица_pr7[[#This Row],[Удельное сопротивление грунта, Ом·м]]))</f>
        <v/>
      </c>
      <c r="AW256" s="55"/>
      <c r="AX256" s="52"/>
      <c r="AY256" s="67"/>
      <c r="AZ256" s="61" t="str">
        <f t="shared" si="22"/>
        <v/>
      </c>
      <c r="BA256" s="61" t="str">
        <f>IFERROR(IF(AX256-AX255&lt;=0,"",AZ256/SQRT(Таблица_pr8[[#This Row],[Удельное сопротивление грунта, Ом·м]])),AZ256/SQRT(Таблица_pr8[[#This Row],[Удельное сопротивление грунта, Ом·м]]))</f>
        <v/>
      </c>
      <c r="BC256" s="55"/>
      <c r="BD256" s="52"/>
      <c r="BE256" s="67"/>
      <c r="BG256" s="61" t="str">
        <f>IFERROR(IF(BD256-AX275&lt;=0,"",BF256/SQRT(Таблица_pr9[[#This Row],[Удельное сопротивление грунта, Ом·м]])),BF256/SQRT(Таблица_pr9[[#This Row],[Удельное сопротивление грунта, Ом·м]]))</f>
        <v/>
      </c>
      <c r="BI256" s="55"/>
      <c r="BJ256" s="52"/>
      <c r="BK256" s="67"/>
      <c r="BM256" s="61" t="str">
        <f>IFERROR(IF(BJ256-BD285&lt;=0,"",BL256/SQRT(Таблица_pr10[[#This Row],[Удельное сопротивление грунта, Ом·м]])),BL256/SQRT(Таблица_pr10[[#This Row],[Удельное сопротивление грунта, Ом·м]]))</f>
        <v/>
      </c>
    </row>
    <row r="257" spans="1:65">
      <c r="A257" s="64">
        <v>252</v>
      </c>
      <c r="B257" s="52">
        <v>521.70000000000573</v>
      </c>
      <c r="C257" s="67">
        <v>28.7</v>
      </c>
      <c r="D257" s="61">
        <f t="shared" si="19"/>
        <v>100.00000000002274</v>
      </c>
      <c r="E257" s="61">
        <f>IFERROR(IF(B257-B256&lt;=0,"",D257/SQRT(Таблица_pr[[#This Row],[Удельное сопротивление грунта, Ом·м]])),D257/SQRT(Таблица_pr[[#This Row],[Удельное сопротивление грунта, Ом·м]]))</f>
        <v>18.66633482366818</v>
      </c>
      <c r="G257" s="189">
        <v>252</v>
      </c>
      <c r="H257" s="185">
        <v>521.70000000000573</v>
      </c>
      <c r="I257" s="186">
        <v>28.7</v>
      </c>
      <c r="J257" s="180">
        <f t="shared" si="20"/>
        <v>100.00000000002274</v>
      </c>
      <c r="K257" s="61">
        <f>IFERROR(IF(H257-H256&lt;=0,"",J257/SQRT(Таблица_pr1[[#This Row],[Удельное сопротивление грунта, Ом·м]])),J257/SQRT(Таблица_pr1[[#This Row],[Удельное сопротивление грунта, Ом·м]]))</f>
        <v>18.66633482366818</v>
      </c>
      <c r="M257" s="55"/>
      <c r="N257" s="52"/>
      <c r="O257" s="67"/>
      <c r="P257" s="61" t="str">
        <f t="shared" si="24"/>
        <v/>
      </c>
      <c r="Q257" s="61" t="str">
        <f>IFERROR(IF(N257-N256&lt;=0,"",P257/SQRT(Таблица_pr2[[#This Row],[Удельное сопротивление грунта, Ом·м]])),P257/SQRT(Таблица_pr2[[#This Row],[Удельное сопротивление грунта, Ом·м]]))</f>
        <v/>
      </c>
      <c r="S257" s="55"/>
      <c r="T257" s="52"/>
      <c r="U257" s="67"/>
      <c r="W257" s="61" t="str">
        <f>IFERROR(IF(T257-T256&lt;=0,"",V257/SQRT(Таблица_pr3[[#This Row],[Удельное сопротивление грунта, Ом·м]])),V257/SQRT(Таблица_pr3[[#This Row],[Удельное сопротивление грунта, Ом·м]]))</f>
        <v/>
      </c>
      <c r="Y257" s="55"/>
      <c r="Z257" s="52"/>
      <c r="AA257" s="67"/>
      <c r="AB257" s="61" t="str">
        <f t="shared" si="23"/>
        <v/>
      </c>
      <c r="AC257" s="61" t="str">
        <f>IFERROR(IF(Z257-Z256&lt;=0,"",AB257/SQRT(Таблица_pr4[[#This Row],[Удельное сопротивление грунта, Ом·м]])),AB257/SQRT(Таблица_pr4[[#This Row],[Удельное сопротивление грунта, Ом·м]]))</f>
        <v/>
      </c>
      <c r="AE257" s="55"/>
      <c r="AF257" s="52"/>
      <c r="AG257" s="67"/>
      <c r="AI257" s="61" t="str">
        <f>IFERROR(IF(AF257-AF256&lt;=0,"",AH257/SQRT(Таблица_pr5[[#This Row],[Удельное сопротивление грунта, Ом·м]])),AH257/SQRT(Таблица_pr5[[#This Row],[Удельное сопротивление грунта, Ом·м]]))</f>
        <v/>
      </c>
      <c r="AK257" s="55"/>
      <c r="AL257" s="52"/>
      <c r="AM257" s="67"/>
      <c r="AN257" s="61" t="str">
        <f t="shared" si="21"/>
        <v/>
      </c>
      <c r="AO257" s="61" t="str">
        <f>IFERROR(IF(AL257-AL256&lt;=0,"",AN257/SQRT(Таблица_pr6[[#This Row],[Удельное сопротивление грунта, Ом·м]])),AN257/SQRT(Таблица_pr6[[#This Row],[Удельное сопротивление грунта, Ом·м]]))</f>
        <v/>
      </c>
      <c r="AQ257" s="55"/>
      <c r="AR257" s="52"/>
      <c r="AS257" s="67"/>
      <c r="AU257" s="61" t="str">
        <f>IFERROR(IF(AR257-AR256&lt;=0,"",AT257/SQRT(Таблица_pr7[[#This Row],[Удельное сопротивление грунта, Ом·м]])),AT257/SQRT(Таблица_pr7[[#This Row],[Удельное сопротивление грунта, Ом·м]]))</f>
        <v/>
      </c>
      <c r="AW257" s="55"/>
      <c r="AX257" s="52"/>
      <c r="AY257" s="67"/>
      <c r="AZ257" s="61" t="str">
        <f t="shared" si="22"/>
        <v/>
      </c>
      <c r="BA257" s="61" t="str">
        <f>IFERROR(IF(AX257-AX256&lt;=0,"",AZ257/SQRT(Таблица_pr8[[#This Row],[Удельное сопротивление грунта, Ом·м]])),AZ257/SQRT(Таблица_pr8[[#This Row],[Удельное сопротивление грунта, Ом·м]]))</f>
        <v/>
      </c>
      <c r="BC257" s="55"/>
      <c r="BD257" s="52"/>
      <c r="BE257" s="67"/>
      <c r="BG257" s="61" t="str">
        <f>IFERROR(IF(BD257-AX276&lt;=0,"",BF257/SQRT(Таблица_pr9[[#This Row],[Удельное сопротивление грунта, Ом·м]])),BF257/SQRT(Таблица_pr9[[#This Row],[Удельное сопротивление грунта, Ом·м]]))</f>
        <v/>
      </c>
      <c r="BI257" s="55"/>
      <c r="BJ257" s="52"/>
      <c r="BK257" s="67"/>
      <c r="BM257" s="61" t="str">
        <f>IFERROR(IF(BJ257-BD286&lt;=0,"",BL257/SQRT(Таблица_pr10[[#This Row],[Удельное сопротивление грунта, Ом·м]])),BL257/SQRT(Таблица_pr10[[#This Row],[Удельное сопротивление грунта, Ом·м]]))</f>
        <v/>
      </c>
    </row>
    <row r="258" spans="1:65">
      <c r="A258" s="64">
        <v>253</v>
      </c>
      <c r="B258" s="52">
        <v>521.80000000000575</v>
      </c>
      <c r="C258" s="67">
        <v>31.6</v>
      </c>
      <c r="D258" s="61">
        <f t="shared" si="19"/>
        <v>100.00000000002274</v>
      </c>
      <c r="E258" s="61">
        <f>IFERROR(IF(B258-B257&lt;=0,"",D258/SQRT(Таблица_pr[[#This Row],[Удельное сопротивление грунта, Ом·м]])),D258/SQRT(Таблица_pr[[#This Row],[Удельное сопротивление грунта, Ом·м]]))</f>
        <v>17.789201674124545</v>
      </c>
      <c r="G258" s="188">
        <v>253</v>
      </c>
      <c r="H258" s="184">
        <v>521.80000000000575</v>
      </c>
      <c r="I258" s="187">
        <v>31.6</v>
      </c>
      <c r="J258" s="181">
        <f t="shared" si="20"/>
        <v>100.00000000002274</v>
      </c>
      <c r="K258" s="61">
        <f>IFERROR(IF(H258-H257&lt;=0,"",J258/SQRT(Таблица_pr1[[#This Row],[Удельное сопротивление грунта, Ом·м]])),J258/SQRT(Таблица_pr1[[#This Row],[Удельное сопротивление грунта, Ом·м]]))</f>
        <v>17.789201674124545</v>
      </c>
      <c r="M258" s="55"/>
      <c r="N258" s="52"/>
      <c r="O258" s="67"/>
      <c r="P258" s="61" t="str">
        <f t="shared" si="24"/>
        <v/>
      </c>
      <c r="Q258" s="61" t="str">
        <f>IFERROR(IF(N258-N257&lt;=0,"",P258/SQRT(Таблица_pr2[[#This Row],[Удельное сопротивление грунта, Ом·м]])),P258/SQRT(Таблица_pr2[[#This Row],[Удельное сопротивление грунта, Ом·м]]))</f>
        <v/>
      </c>
      <c r="S258" s="55"/>
      <c r="T258" s="52"/>
      <c r="U258" s="67"/>
      <c r="W258" s="61" t="str">
        <f>IFERROR(IF(T258-T257&lt;=0,"",V258/SQRT(Таблица_pr3[[#This Row],[Удельное сопротивление грунта, Ом·м]])),V258/SQRT(Таблица_pr3[[#This Row],[Удельное сопротивление грунта, Ом·м]]))</f>
        <v/>
      </c>
      <c r="Y258" s="55"/>
      <c r="Z258" s="52"/>
      <c r="AA258" s="67"/>
      <c r="AB258" s="61" t="str">
        <f t="shared" si="23"/>
        <v/>
      </c>
      <c r="AC258" s="61" t="str">
        <f>IFERROR(IF(Z258-Z257&lt;=0,"",AB258/SQRT(Таблица_pr4[[#This Row],[Удельное сопротивление грунта, Ом·м]])),AB258/SQRT(Таблица_pr4[[#This Row],[Удельное сопротивление грунта, Ом·м]]))</f>
        <v/>
      </c>
      <c r="AE258" s="55"/>
      <c r="AF258" s="52"/>
      <c r="AG258" s="67"/>
      <c r="AI258" s="61" t="str">
        <f>IFERROR(IF(AF258-AF257&lt;=0,"",AH258/SQRT(Таблица_pr5[[#This Row],[Удельное сопротивление грунта, Ом·м]])),AH258/SQRT(Таблица_pr5[[#This Row],[Удельное сопротивление грунта, Ом·м]]))</f>
        <v/>
      </c>
      <c r="AK258" s="55"/>
      <c r="AL258" s="52"/>
      <c r="AM258" s="67"/>
      <c r="AN258" s="61" t="str">
        <f t="shared" si="21"/>
        <v/>
      </c>
      <c r="AO258" s="61" t="str">
        <f>IFERROR(IF(AL258-AL257&lt;=0,"",AN258/SQRT(Таблица_pr6[[#This Row],[Удельное сопротивление грунта, Ом·м]])),AN258/SQRT(Таблица_pr6[[#This Row],[Удельное сопротивление грунта, Ом·м]]))</f>
        <v/>
      </c>
      <c r="AQ258" s="55"/>
      <c r="AR258" s="52"/>
      <c r="AS258" s="67"/>
      <c r="AU258" s="61" t="str">
        <f>IFERROR(IF(AR258-AR257&lt;=0,"",AT258/SQRT(Таблица_pr7[[#This Row],[Удельное сопротивление грунта, Ом·м]])),AT258/SQRT(Таблица_pr7[[#This Row],[Удельное сопротивление грунта, Ом·м]]))</f>
        <v/>
      </c>
      <c r="AW258" s="55"/>
      <c r="AX258" s="52"/>
      <c r="AY258" s="67"/>
      <c r="AZ258" s="61" t="str">
        <f t="shared" si="22"/>
        <v/>
      </c>
      <c r="BA258" s="61" t="str">
        <f>IFERROR(IF(AX258-AX257&lt;=0,"",AZ258/SQRT(Таблица_pr8[[#This Row],[Удельное сопротивление грунта, Ом·м]])),AZ258/SQRT(Таблица_pr8[[#This Row],[Удельное сопротивление грунта, Ом·м]]))</f>
        <v/>
      </c>
      <c r="BC258" s="55"/>
      <c r="BD258" s="52"/>
      <c r="BE258" s="67"/>
      <c r="BG258" s="61" t="str">
        <f>IFERROR(IF(BD258-AX277&lt;=0,"",BF258/SQRT(Таблица_pr9[[#This Row],[Удельное сопротивление грунта, Ом·м]])),BF258/SQRT(Таблица_pr9[[#This Row],[Удельное сопротивление грунта, Ом·м]]))</f>
        <v/>
      </c>
      <c r="BI258" s="55"/>
      <c r="BJ258" s="52"/>
      <c r="BK258" s="67"/>
      <c r="BM258" s="61" t="str">
        <f>IFERROR(IF(BJ258-BD287&lt;=0,"",BL258/SQRT(Таблица_pr10[[#This Row],[Удельное сопротивление грунта, Ом·м]])),BL258/SQRT(Таблица_pr10[[#This Row],[Удельное сопротивление грунта, Ом·м]]))</f>
        <v/>
      </c>
    </row>
    <row r="259" spans="1:65">
      <c r="A259" s="64">
        <v>254</v>
      </c>
      <c r="B259" s="52">
        <v>521.90000000000578</v>
      </c>
      <c r="C259" s="67">
        <v>30.5</v>
      </c>
      <c r="D259" s="61">
        <f t="shared" si="19"/>
        <v>100.00000000002274</v>
      </c>
      <c r="E259" s="61">
        <f>IFERROR(IF(B259-B258&lt;=0,"",D259/SQRT(Таблица_pr[[#This Row],[Удельное сопротивление грунта, Ом·м]])),D259/SQRT(Таблица_pr[[#This Row],[Удельное сопротивление грунта, Ом·м]]))</f>
        <v>18.107149208507824</v>
      </c>
      <c r="G259" s="189">
        <v>254</v>
      </c>
      <c r="H259" s="185">
        <v>521.90000000000578</v>
      </c>
      <c r="I259" s="186">
        <v>30.5</v>
      </c>
      <c r="J259" s="180">
        <f t="shared" si="20"/>
        <v>100.00000000002274</v>
      </c>
      <c r="K259" s="61">
        <f>IFERROR(IF(H259-H258&lt;=0,"",J259/SQRT(Таблица_pr1[[#This Row],[Удельное сопротивление грунта, Ом·м]])),J259/SQRT(Таблица_pr1[[#This Row],[Удельное сопротивление грунта, Ом·м]]))</f>
        <v>18.107149208507824</v>
      </c>
      <c r="M259" s="55"/>
      <c r="N259" s="52"/>
      <c r="O259" s="67"/>
      <c r="P259" s="61" t="str">
        <f t="shared" si="24"/>
        <v/>
      </c>
      <c r="Q259" s="61" t="str">
        <f>IFERROR(IF(N259-N258&lt;=0,"",P259/SQRT(Таблица_pr2[[#This Row],[Удельное сопротивление грунта, Ом·м]])),P259/SQRT(Таблица_pr2[[#This Row],[Удельное сопротивление грунта, Ом·м]]))</f>
        <v/>
      </c>
      <c r="S259" s="55"/>
      <c r="T259" s="52"/>
      <c r="U259" s="67"/>
      <c r="W259" s="61" t="str">
        <f>IFERROR(IF(T259-T258&lt;=0,"",V259/SQRT(Таблица_pr3[[#This Row],[Удельное сопротивление грунта, Ом·м]])),V259/SQRT(Таблица_pr3[[#This Row],[Удельное сопротивление грунта, Ом·м]]))</f>
        <v/>
      </c>
      <c r="Y259" s="55"/>
      <c r="Z259" s="52"/>
      <c r="AA259" s="67"/>
      <c r="AB259" s="61" t="str">
        <f t="shared" si="23"/>
        <v/>
      </c>
      <c r="AC259" s="61" t="str">
        <f>IFERROR(IF(Z259-Z258&lt;=0,"",AB259/SQRT(Таблица_pr4[[#This Row],[Удельное сопротивление грунта, Ом·м]])),AB259/SQRT(Таблица_pr4[[#This Row],[Удельное сопротивление грунта, Ом·м]]))</f>
        <v/>
      </c>
      <c r="AE259" s="55"/>
      <c r="AF259" s="52"/>
      <c r="AG259" s="67"/>
      <c r="AI259" s="61" t="str">
        <f>IFERROR(IF(AF259-AF258&lt;=0,"",AH259/SQRT(Таблица_pr5[[#This Row],[Удельное сопротивление грунта, Ом·м]])),AH259/SQRT(Таблица_pr5[[#This Row],[Удельное сопротивление грунта, Ом·м]]))</f>
        <v/>
      </c>
      <c r="AK259" s="55"/>
      <c r="AL259" s="52"/>
      <c r="AM259" s="67"/>
      <c r="AN259" s="61" t="str">
        <f t="shared" si="21"/>
        <v/>
      </c>
      <c r="AO259" s="61" t="str">
        <f>IFERROR(IF(AL259-AL258&lt;=0,"",AN259/SQRT(Таблица_pr6[[#This Row],[Удельное сопротивление грунта, Ом·м]])),AN259/SQRT(Таблица_pr6[[#This Row],[Удельное сопротивление грунта, Ом·м]]))</f>
        <v/>
      </c>
      <c r="AQ259" s="55"/>
      <c r="AR259" s="52"/>
      <c r="AS259" s="67"/>
      <c r="AU259" s="61" t="str">
        <f>IFERROR(IF(AR259-AR258&lt;=0,"",AT259/SQRT(Таблица_pr7[[#This Row],[Удельное сопротивление грунта, Ом·м]])),AT259/SQRT(Таблица_pr7[[#This Row],[Удельное сопротивление грунта, Ом·м]]))</f>
        <v/>
      </c>
      <c r="AW259" s="55"/>
      <c r="AX259" s="52"/>
      <c r="AY259" s="67"/>
      <c r="AZ259" s="61" t="str">
        <f t="shared" si="22"/>
        <v/>
      </c>
      <c r="BA259" s="61" t="str">
        <f>IFERROR(IF(AX259-AX258&lt;=0,"",AZ259/SQRT(Таблица_pr8[[#This Row],[Удельное сопротивление грунта, Ом·м]])),AZ259/SQRT(Таблица_pr8[[#This Row],[Удельное сопротивление грунта, Ом·м]]))</f>
        <v/>
      </c>
      <c r="BC259" s="55"/>
      <c r="BD259" s="52"/>
      <c r="BE259" s="67"/>
      <c r="BG259" s="61" t="str">
        <f>IFERROR(IF(BD259-AX278&lt;=0,"",BF259/SQRT(Таблица_pr9[[#This Row],[Удельное сопротивление грунта, Ом·м]])),BF259/SQRT(Таблица_pr9[[#This Row],[Удельное сопротивление грунта, Ом·м]]))</f>
        <v/>
      </c>
      <c r="BI259" s="55"/>
      <c r="BJ259" s="52"/>
      <c r="BK259" s="67"/>
      <c r="BM259" s="61" t="str">
        <f>IFERROR(IF(BJ259-BD288&lt;=0,"",BL259/SQRT(Таблица_pr10[[#This Row],[Удельное сопротивление грунта, Ом·м]])),BL259/SQRT(Таблица_pr10[[#This Row],[Удельное сопротивление грунта, Ом·м]]))</f>
        <v/>
      </c>
    </row>
    <row r="260" spans="1:65">
      <c r="A260" s="64">
        <v>255</v>
      </c>
      <c r="B260" s="52">
        <v>522.0000000000058</v>
      </c>
      <c r="C260" s="67">
        <v>33.1</v>
      </c>
      <c r="D260" s="61">
        <f t="shared" si="19"/>
        <v>100.00000000002274</v>
      </c>
      <c r="E260" s="61">
        <f>IFERROR(IF(B260-B259&lt;=0,"",D260/SQRT(Таблица_pr[[#This Row],[Удельное сопротивление грунта, Ом·м]])),D260/SQRT(Таблица_pr[[#This Row],[Удельное сопротивление грунта, Ом·м]]))</f>
        <v>17.381449986278906</v>
      </c>
      <c r="G260" s="188">
        <v>255</v>
      </c>
      <c r="H260" s="184">
        <v>522.0000000000058</v>
      </c>
      <c r="I260" s="187">
        <v>33.1</v>
      </c>
      <c r="J260" s="181">
        <f t="shared" si="20"/>
        <v>100.00000000002274</v>
      </c>
      <c r="K260" s="61">
        <f>IFERROR(IF(H260-H259&lt;=0,"",J260/SQRT(Таблица_pr1[[#This Row],[Удельное сопротивление грунта, Ом·м]])),J260/SQRT(Таблица_pr1[[#This Row],[Удельное сопротивление грунта, Ом·м]]))</f>
        <v>17.381449986278906</v>
      </c>
      <c r="M260" s="55"/>
      <c r="N260" s="52"/>
      <c r="O260" s="67"/>
      <c r="P260" s="61" t="str">
        <f t="shared" si="24"/>
        <v/>
      </c>
      <c r="Q260" s="61" t="str">
        <f>IFERROR(IF(N260-N259&lt;=0,"",P260/SQRT(Таблица_pr2[[#This Row],[Удельное сопротивление грунта, Ом·м]])),P260/SQRT(Таблица_pr2[[#This Row],[Удельное сопротивление грунта, Ом·м]]))</f>
        <v/>
      </c>
      <c r="S260" s="55"/>
      <c r="T260" s="52"/>
      <c r="U260" s="67"/>
      <c r="W260" s="61" t="str">
        <f>IFERROR(IF(T260-T259&lt;=0,"",V260/SQRT(Таблица_pr3[[#This Row],[Удельное сопротивление грунта, Ом·м]])),V260/SQRT(Таблица_pr3[[#This Row],[Удельное сопротивление грунта, Ом·м]]))</f>
        <v/>
      </c>
      <c r="Y260" s="55"/>
      <c r="Z260" s="52"/>
      <c r="AA260" s="67"/>
      <c r="AB260" s="61" t="str">
        <f t="shared" si="23"/>
        <v/>
      </c>
      <c r="AC260" s="61" t="str">
        <f>IFERROR(IF(Z260-Z259&lt;=0,"",AB260/SQRT(Таблица_pr4[[#This Row],[Удельное сопротивление грунта, Ом·м]])),AB260/SQRT(Таблица_pr4[[#This Row],[Удельное сопротивление грунта, Ом·м]]))</f>
        <v/>
      </c>
      <c r="AE260" s="55"/>
      <c r="AF260" s="52"/>
      <c r="AG260" s="67"/>
      <c r="AI260" s="61" t="str">
        <f>IFERROR(IF(AF260-AF259&lt;=0,"",AH260/SQRT(Таблица_pr5[[#This Row],[Удельное сопротивление грунта, Ом·м]])),AH260/SQRT(Таблица_pr5[[#This Row],[Удельное сопротивление грунта, Ом·м]]))</f>
        <v/>
      </c>
      <c r="AK260" s="55"/>
      <c r="AL260" s="52"/>
      <c r="AM260" s="67"/>
      <c r="AN260" s="61" t="str">
        <f t="shared" si="21"/>
        <v/>
      </c>
      <c r="AO260" s="61" t="str">
        <f>IFERROR(IF(AL260-AL259&lt;=0,"",AN260/SQRT(Таблица_pr6[[#This Row],[Удельное сопротивление грунта, Ом·м]])),AN260/SQRT(Таблица_pr6[[#This Row],[Удельное сопротивление грунта, Ом·м]]))</f>
        <v/>
      </c>
      <c r="AQ260" s="55"/>
      <c r="AR260" s="52"/>
      <c r="AS260" s="67"/>
      <c r="AU260" s="61" t="str">
        <f>IFERROR(IF(AR260-AR259&lt;=0,"",AT260/SQRT(Таблица_pr7[[#This Row],[Удельное сопротивление грунта, Ом·м]])),AT260/SQRT(Таблица_pr7[[#This Row],[Удельное сопротивление грунта, Ом·м]]))</f>
        <v/>
      </c>
      <c r="AW260" s="55"/>
      <c r="AX260" s="52"/>
      <c r="AY260" s="67"/>
      <c r="AZ260" s="61" t="str">
        <f t="shared" si="22"/>
        <v/>
      </c>
      <c r="BA260" s="61" t="str">
        <f>IFERROR(IF(AX260-AX259&lt;=0,"",AZ260/SQRT(Таблица_pr8[[#This Row],[Удельное сопротивление грунта, Ом·м]])),AZ260/SQRT(Таблица_pr8[[#This Row],[Удельное сопротивление грунта, Ом·м]]))</f>
        <v/>
      </c>
      <c r="BC260" s="55"/>
      <c r="BD260" s="52"/>
      <c r="BE260" s="67"/>
      <c r="BG260" s="61" t="str">
        <f>IFERROR(IF(BD260-AX279&lt;=0,"",BF260/SQRT(Таблица_pr9[[#This Row],[Удельное сопротивление грунта, Ом·м]])),BF260/SQRT(Таблица_pr9[[#This Row],[Удельное сопротивление грунта, Ом·м]]))</f>
        <v/>
      </c>
      <c r="BI260" s="55"/>
      <c r="BJ260" s="52"/>
      <c r="BK260" s="67"/>
      <c r="BM260" s="61" t="str">
        <f>IFERROR(IF(BJ260-BD289&lt;=0,"",BL260/SQRT(Таблица_pr10[[#This Row],[Удельное сопротивление грунта, Ом·м]])),BL260/SQRT(Таблица_pr10[[#This Row],[Удельное сопротивление грунта, Ом·м]]))</f>
        <v/>
      </c>
    </row>
    <row r="261" spans="1:65">
      <c r="A261" s="64">
        <v>256</v>
      </c>
      <c r="B261" s="52">
        <v>522.10000000000582</v>
      </c>
      <c r="C261" s="67">
        <v>31.3</v>
      </c>
      <c r="D261" s="61">
        <f t="shared" si="19"/>
        <v>100.00000000002274</v>
      </c>
      <c r="E261" s="61">
        <f>IFERROR(IF(B261-B260&lt;=0,"",D261/SQRT(Таблица_pr[[#This Row],[Удельное сопротивление грунта, Ом·м]])),D261/SQRT(Таблица_pr[[#This Row],[Удельное сопротивление грунта, Ом·м]]))</f>
        <v>17.874250135083123</v>
      </c>
      <c r="G261" s="189">
        <v>256</v>
      </c>
      <c r="H261" s="185">
        <v>522.10000000000582</v>
      </c>
      <c r="I261" s="186">
        <v>31.3</v>
      </c>
      <c r="J261" s="180">
        <f t="shared" si="20"/>
        <v>100.00000000002274</v>
      </c>
      <c r="K261" s="61">
        <f>IFERROR(IF(H261-H260&lt;=0,"",J261/SQRT(Таблица_pr1[[#This Row],[Удельное сопротивление грунта, Ом·м]])),J261/SQRT(Таблица_pr1[[#This Row],[Удельное сопротивление грунта, Ом·м]]))</f>
        <v>17.874250135083123</v>
      </c>
      <c r="M261" s="55"/>
      <c r="N261" s="52"/>
      <c r="O261" s="67"/>
      <c r="P261" s="61" t="str">
        <f t="shared" si="24"/>
        <v/>
      </c>
      <c r="Q261" s="61" t="str">
        <f>IFERROR(IF(N261-N260&lt;=0,"",P261/SQRT(Таблица_pr2[[#This Row],[Удельное сопротивление грунта, Ом·м]])),P261/SQRT(Таблица_pr2[[#This Row],[Удельное сопротивление грунта, Ом·м]]))</f>
        <v/>
      </c>
      <c r="S261" s="55"/>
      <c r="T261" s="52"/>
      <c r="U261" s="67"/>
      <c r="W261" s="61" t="str">
        <f>IFERROR(IF(T261-T260&lt;=0,"",V261/SQRT(Таблица_pr3[[#This Row],[Удельное сопротивление грунта, Ом·м]])),V261/SQRT(Таблица_pr3[[#This Row],[Удельное сопротивление грунта, Ом·м]]))</f>
        <v/>
      </c>
      <c r="Y261" s="55"/>
      <c r="Z261" s="52"/>
      <c r="AA261" s="67"/>
      <c r="AB261" s="61" t="str">
        <f t="shared" si="23"/>
        <v/>
      </c>
      <c r="AC261" s="61" t="str">
        <f>IFERROR(IF(Z261-Z260&lt;=0,"",AB261/SQRT(Таблица_pr4[[#This Row],[Удельное сопротивление грунта, Ом·м]])),AB261/SQRT(Таблица_pr4[[#This Row],[Удельное сопротивление грунта, Ом·м]]))</f>
        <v/>
      </c>
      <c r="AE261" s="55"/>
      <c r="AF261" s="52"/>
      <c r="AG261" s="67"/>
      <c r="AI261" s="61" t="str">
        <f>IFERROR(IF(AF261-AF260&lt;=0,"",AH261/SQRT(Таблица_pr5[[#This Row],[Удельное сопротивление грунта, Ом·м]])),AH261/SQRT(Таблица_pr5[[#This Row],[Удельное сопротивление грунта, Ом·м]]))</f>
        <v/>
      </c>
      <c r="AK261" s="55"/>
      <c r="AL261" s="52"/>
      <c r="AM261" s="67"/>
      <c r="AN261" s="61" t="str">
        <f t="shared" si="21"/>
        <v/>
      </c>
      <c r="AO261" s="61" t="str">
        <f>IFERROR(IF(AL261-AL260&lt;=0,"",AN261/SQRT(Таблица_pr6[[#This Row],[Удельное сопротивление грунта, Ом·м]])),AN261/SQRT(Таблица_pr6[[#This Row],[Удельное сопротивление грунта, Ом·м]]))</f>
        <v/>
      </c>
      <c r="AQ261" s="55"/>
      <c r="AR261" s="52"/>
      <c r="AS261" s="67"/>
      <c r="AU261" s="61" t="str">
        <f>IFERROR(IF(AR261-AR260&lt;=0,"",AT261/SQRT(Таблица_pr7[[#This Row],[Удельное сопротивление грунта, Ом·м]])),AT261/SQRT(Таблица_pr7[[#This Row],[Удельное сопротивление грунта, Ом·м]]))</f>
        <v/>
      </c>
      <c r="AW261" s="55"/>
      <c r="AX261" s="52"/>
      <c r="AY261" s="67"/>
      <c r="AZ261" s="61" t="str">
        <f t="shared" si="22"/>
        <v/>
      </c>
      <c r="BA261" s="61" t="str">
        <f>IFERROR(IF(AX261-AX260&lt;=0,"",AZ261/SQRT(Таблица_pr8[[#This Row],[Удельное сопротивление грунта, Ом·м]])),AZ261/SQRT(Таблица_pr8[[#This Row],[Удельное сопротивление грунта, Ом·м]]))</f>
        <v/>
      </c>
      <c r="BC261" s="55"/>
      <c r="BD261" s="52"/>
      <c r="BE261" s="67"/>
      <c r="BG261" s="61" t="str">
        <f>IFERROR(IF(BD261-AX280&lt;=0,"",BF261/SQRT(Таблица_pr9[[#This Row],[Удельное сопротивление грунта, Ом·м]])),BF261/SQRT(Таблица_pr9[[#This Row],[Удельное сопротивление грунта, Ом·м]]))</f>
        <v/>
      </c>
      <c r="BI261" s="55"/>
      <c r="BJ261" s="52"/>
      <c r="BK261" s="67"/>
      <c r="BM261" s="61" t="str">
        <f>IFERROR(IF(BJ261-BD290&lt;=0,"",BL261/SQRT(Таблица_pr10[[#This Row],[Удельное сопротивление грунта, Ом·м]])),BL261/SQRT(Таблица_pr10[[#This Row],[Удельное сопротивление грунта, Ом·м]]))</f>
        <v/>
      </c>
    </row>
    <row r="262" spans="1:65">
      <c r="A262" s="64">
        <v>257</v>
      </c>
      <c r="B262" s="52">
        <v>522.20000000000584</v>
      </c>
      <c r="C262" s="67">
        <v>36.799999999999997</v>
      </c>
      <c r="D262" s="61">
        <f t="shared" ref="D262:D325" si="25">IFERROR(IF(B262-B261&lt;=0,"",(B262-B261)*1000),100)</f>
        <v>100.00000000002274</v>
      </c>
      <c r="E262" s="61">
        <f>IFERROR(IF(B262-B261&lt;=0,"",D262/SQRT(Таблица_pr[[#This Row],[Удельное сопротивление грунта, Ом·м]])),D262/SQRT(Таблица_pr[[#This Row],[Удельное сопротивление грунта, Ом·м]]))</f>
        <v>16.484511834898424</v>
      </c>
      <c r="G262" s="188">
        <v>257</v>
      </c>
      <c r="H262" s="184">
        <v>522.20000000000584</v>
      </c>
      <c r="I262" s="187">
        <v>36.799999999999997</v>
      </c>
      <c r="J262" s="181">
        <f t="shared" ref="J262:J325" si="26">IFERROR(IF(H262-H261&lt;=0,"",(H262-H261)*1000),100)</f>
        <v>100.00000000002274</v>
      </c>
      <c r="K262" s="61">
        <f>IFERROR(IF(H262-H261&lt;=0,"",J262/SQRT(Таблица_pr1[[#This Row],[Удельное сопротивление грунта, Ом·м]])),J262/SQRT(Таблица_pr1[[#This Row],[Удельное сопротивление грунта, Ом·м]]))</f>
        <v>16.484511834898424</v>
      </c>
      <c r="M262" s="55"/>
      <c r="N262" s="52"/>
      <c r="O262" s="67"/>
      <c r="P262" s="61" t="str">
        <f t="shared" ref="P262:P325" si="27">IFERROR(IF(N262-N261&lt;=0,"",(N262-N261)*1000),100)</f>
        <v/>
      </c>
      <c r="Q262" s="61" t="str">
        <f>IFERROR(IF(N262-N261&lt;=0,"",P262/SQRT(Таблица_pr2[[#This Row],[Удельное сопротивление грунта, Ом·м]])),P262/SQRT(Таблица_pr2[[#This Row],[Удельное сопротивление грунта, Ом·м]]))</f>
        <v/>
      </c>
      <c r="S262" s="55"/>
      <c r="T262" s="52"/>
      <c r="U262" s="67"/>
      <c r="W262" s="61" t="str">
        <f>IFERROR(IF(T262-T261&lt;=0,"",V262/SQRT(Таблица_pr3[[#This Row],[Удельное сопротивление грунта, Ом·м]])),V262/SQRT(Таблица_pr3[[#This Row],[Удельное сопротивление грунта, Ом·м]]))</f>
        <v/>
      </c>
      <c r="Y262" s="55"/>
      <c r="Z262" s="52"/>
      <c r="AA262" s="67"/>
      <c r="AB262" s="61" t="str">
        <f t="shared" si="23"/>
        <v/>
      </c>
      <c r="AC262" s="61" t="str">
        <f>IFERROR(IF(Z262-Z261&lt;=0,"",AB262/SQRT(Таблица_pr4[[#This Row],[Удельное сопротивление грунта, Ом·м]])),AB262/SQRT(Таблица_pr4[[#This Row],[Удельное сопротивление грунта, Ом·м]]))</f>
        <v/>
      </c>
      <c r="AE262" s="55"/>
      <c r="AF262" s="52"/>
      <c r="AG262" s="67"/>
      <c r="AI262" s="61" t="str">
        <f>IFERROR(IF(AF262-AF261&lt;=0,"",AH262/SQRT(Таблица_pr5[[#This Row],[Удельное сопротивление грунта, Ом·м]])),AH262/SQRT(Таблица_pr5[[#This Row],[Удельное сопротивление грунта, Ом·м]]))</f>
        <v/>
      </c>
      <c r="AK262" s="55"/>
      <c r="AL262" s="52"/>
      <c r="AM262" s="67"/>
      <c r="AN262" s="61" t="str">
        <f t="shared" si="21"/>
        <v/>
      </c>
      <c r="AO262" s="61" t="str">
        <f>IFERROR(IF(AL262-AL261&lt;=0,"",AN262/SQRT(Таблица_pr6[[#This Row],[Удельное сопротивление грунта, Ом·м]])),AN262/SQRT(Таблица_pr6[[#This Row],[Удельное сопротивление грунта, Ом·м]]))</f>
        <v/>
      </c>
      <c r="AQ262" s="55"/>
      <c r="AR262" s="52"/>
      <c r="AS262" s="67"/>
      <c r="AU262" s="61" t="str">
        <f>IFERROR(IF(AR262-AR261&lt;=0,"",AT262/SQRT(Таблица_pr7[[#This Row],[Удельное сопротивление грунта, Ом·м]])),AT262/SQRT(Таблица_pr7[[#This Row],[Удельное сопротивление грунта, Ом·м]]))</f>
        <v/>
      </c>
      <c r="AW262" s="55"/>
      <c r="AX262" s="52"/>
      <c r="AY262" s="67"/>
      <c r="AZ262" s="61" t="str">
        <f t="shared" si="22"/>
        <v/>
      </c>
      <c r="BA262" s="61" t="str">
        <f>IFERROR(IF(AX262-AX261&lt;=0,"",AZ262/SQRT(Таблица_pr8[[#This Row],[Удельное сопротивление грунта, Ом·м]])),AZ262/SQRT(Таблица_pr8[[#This Row],[Удельное сопротивление грунта, Ом·м]]))</f>
        <v/>
      </c>
      <c r="BC262" s="55"/>
      <c r="BD262" s="52"/>
      <c r="BE262" s="67"/>
      <c r="BG262" s="61" t="str">
        <f>IFERROR(IF(BD262-AX281&lt;=0,"",BF262/SQRT(Таблица_pr9[[#This Row],[Удельное сопротивление грунта, Ом·м]])),BF262/SQRT(Таблица_pr9[[#This Row],[Удельное сопротивление грунта, Ом·м]]))</f>
        <v/>
      </c>
      <c r="BI262" s="55"/>
      <c r="BJ262" s="52"/>
      <c r="BK262" s="67"/>
      <c r="BM262" s="61" t="str">
        <f>IFERROR(IF(BJ262-BD291&lt;=0,"",BL262/SQRT(Таблица_pr10[[#This Row],[Удельное сопротивление грунта, Ом·м]])),BL262/SQRT(Таблица_pr10[[#This Row],[Удельное сопротивление грунта, Ом·м]]))</f>
        <v/>
      </c>
    </row>
    <row r="263" spans="1:65">
      <c r="A263" s="64">
        <v>258</v>
      </c>
      <c r="B263" s="52">
        <v>522.30000000000587</v>
      </c>
      <c r="C263" s="67">
        <v>34.4</v>
      </c>
      <c r="D263" s="61">
        <f t="shared" si="25"/>
        <v>100.00000000002274</v>
      </c>
      <c r="E263" s="61">
        <f>IFERROR(IF(B263-B262&lt;=0,"",D263/SQRT(Таблица_pr[[#This Row],[Удельное сопротивление грунта, Ом·м]])),D263/SQRT(Таблица_pr[[#This Row],[Удельное сопротивление грунта, Ом·м]]))</f>
        <v>17.049858486765714</v>
      </c>
      <c r="G263" s="189">
        <v>258</v>
      </c>
      <c r="H263" s="185">
        <v>522.30000000000587</v>
      </c>
      <c r="I263" s="186">
        <v>34.4</v>
      </c>
      <c r="J263" s="180">
        <f t="shared" si="26"/>
        <v>100.00000000002274</v>
      </c>
      <c r="K263" s="61">
        <f>IFERROR(IF(H263-H262&lt;=0,"",J263/SQRT(Таблица_pr1[[#This Row],[Удельное сопротивление грунта, Ом·м]])),J263/SQRT(Таблица_pr1[[#This Row],[Удельное сопротивление грунта, Ом·м]]))</f>
        <v>17.049858486765714</v>
      </c>
      <c r="M263" s="55"/>
      <c r="N263" s="52"/>
      <c r="O263" s="67"/>
      <c r="P263" s="61" t="str">
        <f t="shared" si="27"/>
        <v/>
      </c>
      <c r="Q263" s="61" t="str">
        <f>IFERROR(IF(N263-N262&lt;=0,"",P263/SQRT(Таблица_pr2[[#This Row],[Удельное сопротивление грунта, Ом·м]])),P263/SQRT(Таблица_pr2[[#This Row],[Удельное сопротивление грунта, Ом·м]]))</f>
        <v/>
      </c>
      <c r="S263" s="55"/>
      <c r="T263" s="52"/>
      <c r="U263" s="67"/>
      <c r="W263" s="61" t="str">
        <f>IFERROR(IF(T263-T262&lt;=0,"",V263/SQRT(Таблица_pr3[[#This Row],[Удельное сопротивление грунта, Ом·м]])),V263/SQRT(Таблица_pr3[[#This Row],[Удельное сопротивление грунта, Ом·м]]))</f>
        <v/>
      </c>
      <c r="Y263" s="55"/>
      <c r="Z263" s="52"/>
      <c r="AA263" s="67"/>
      <c r="AB263" s="61" t="str">
        <f t="shared" ref="AB263:AB326" si="28">IFERROR(IF(Z263-Z262&lt;=0,"",(Z263-Z262)*1000),100)</f>
        <v/>
      </c>
      <c r="AC263" s="61" t="str">
        <f>IFERROR(IF(Z263-Z262&lt;=0,"",AB263/SQRT(Таблица_pr4[[#This Row],[Удельное сопротивление грунта, Ом·м]])),AB263/SQRT(Таблица_pr4[[#This Row],[Удельное сопротивление грунта, Ом·м]]))</f>
        <v/>
      </c>
      <c r="AE263" s="55"/>
      <c r="AF263" s="52"/>
      <c r="AG263" s="67"/>
      <c r="AI263" s="61" t="str">
        <f>IFERROR(IF(AF263-AF262&lt;=0,"",AH263/SQRT(Таблица_pr5[[#This Row],[Удельное сопротивление грунта, Ом·м]])),AH263/SQRT(Таблица_pr5[[#This Row],[Удельное сопротивление грунта, Ом·м]]))</f>
        <v/>
      </c>
      <c r="AK263" s="55"/>
      <c r="AL263" s="52"/>
      <c r="AM263" s="67"/>
      <c r="AN263" s="61" t="str">
        <f t="shared" ref="AN263:AN326" si="29">IFERROR(IF(AL263-AL262&lt;=0,"",(AL263-AL262)*1000),100)</f>
        <v/>
      </c>
      <c r="AO263" s="61" t="str">
        <f>IFERROR(IF(AL263-AL262&lt;=0,"",AN263/SQRT(Таблица_pr6[[#This Row],[Удельное сопротивление грунта, Ом·м]])),AN263/SQRT(Таблица_pr6[[#This Row],[Удельное сопротивление грунта, Ом·м]]))</f>
        <v/>
      </c>
      <c r="AQ263" s="55"/>
      <c r="AR263" s="52"/>
      <c r="AS263" s="67"/>
      <c r="AU263" s="61" t="str">
        <f>IFERROR(IF(AR263-AR262&lt;=0,"",AT263/SQRT(Таблица_pr7[[#This Row],[Удельное сопротивление грунта, Ом·м]])),AT263/SQRT(Таблица_pr7[[#This Row],[Удельное сопротивление грунта, Ом·м]]))</f>
        <v/>
      </c>
      <c r="AW263" s="55"/>
      <c r="AX263" s="52"/>
      <c r="AY263" s="67"/>
      <c r="AZ263" s="61" t="str">
        <f t="shared" ref="AZ263:AZ326" si="30">IFERROR(IF(AX263-AX262&lt;=0,"",(AX263-AX262)*1000),100)</f>
        <v/>
      </c>
      <c r="BA263" s="61" t="str">
        <f>IFERROR(IF(AX263-AX262&lt;=0,"",AZ263/SQRT(Таблица_pr8[[#This Row],[Удельное сопротивление грунта, Ом·м]])),AZ263/SQRT(Таблица_pr8[[#This Row],[Удельное сопротивление грунта, Ом·м]]))</f>
        <v/>
      </c>
      <c r="BC263" s="55"/>
      <c r="BD263" s="52"/>
      <c r="BE263" s="67"/>
      <c r="BG263" s="61" t="str">
        <f>IFERROR(IF(BD263-AX282&lt;=0,"",BF263/SQRT(Таблица_pr9[[#This Row],[Удельное сопротивление грунта, Ом·м]])),BF263/SQRT(Таблица_pr9[[#This Row],[Удельное сопротивление грунта, Ом·м]]))</f>
        <v/>
      </c>
      <c r="BI263" s="55"/>
      <c r="BJ263" s="52"/>
      <c r="BK263" s="67"/>
      <c r="BM263" s="61" t="str">
        <f>IFERROR(IF(BJ263-BD292&lt;=0,"",BL263/SQRT(Таблица_pr10[[#This Row],[Удельное сопротивление грунта, Ом·м]])),BL263/SQRT(Таблица_pr10[[#This Row],[Удельное сопротивление грунта, Ом·м]]))</f>
        <v/>
      </c>
    </row>
    <row r="264" spans="1:65">
      <c r="A264" s="64">
        <v>259</v>
      </c>
      <c r="B264" s="52">
        <v>522.40000000000589</v>
      </c>
      <c r="C264" s="67">
        <v>38.5</v>
      </c>
      <c r="D264" s="61">
        <f t="shared" si="25"/>
        <v>100.00000000002274</v>
      </c>
      <c r="E264" s="61">
        <f>IFERROR(IF(B264-B263&lt;=0,"",D264/SQRT(Таблица_pr[[#This Row],[Удельное сопротивление грунта, Ом·м]])),D264/SQRT(Таблица_pr[[#This Row],[Удельное сопротивление грунта, Ом·м]]))</f>
        <v>16.116459280511268</v>
      </c>
      <c r="G264" s="188">
        <v>259</v>
      </c>
      <c r="H264" s="184">
        <v>522.40000000000589</v>
      </c>
      <c r="I264" s="187">
        <v>38.5</v>
      </c>
      <c r="J264" s="181">
        <f t="shared" si="26"/>
        <v>100.00000000002274</v>
      </c>
      <c r="K264" s="61">
        <f>IFERROR(IF(H264-H263&lt;=0,"",J264/SQRT(Таблица_pr1[[#This Row],[Удельное сопротивление грунта, Ом·м]])),J264/SQRT(Таблица_pr1[[#This Row],[Удельное сопротивление грунта, Ом·м]]))</f>
        <v>16.116459280511268</v>
      </c>
      <c r="M264" s="55"/>
      <c r="N264" s="52"/>
      <c r="O264" s="67"/>
      <c r="P264" s="61" t="str">
        <f t="shared" si="27"/>
        <v/>
      </c>
      <c r="Q264" s="61" t="str">
        <f>IFERROR(IF(N264-N263&lt;=0,"",P264/SQRT(Таблица_pr2[[#This Row],[Удельное сопротивление грунта, Ом·м]])),P264/SQRT(Таблица_pr2[[#This Row],[Удельное сопротивление грунта, Ом·м]]))</f>
        <v/>
      </c>
      <c r="S264" s="55"/>
      <c r="T264" s="52"/>
      <c r="U264" s="67"/>
      <c r="W264" s="61" t="str">
        <f>IFERROR(IF(T264-T263&lt;=0,"",V264/SQRT(Таблица_pr3[[#This Row],[Удельное сопротивление грунта, Ом·м]])),V264/SQRT(Таблица_pr3[[#This Row],[Удельное сопротивление грунта, Ом·м]]))</f>
        <v/>
      </c>
      <c r="Y264" s="55"/>
      <c r="Z264" s="52"/>
      <c r="AA264" s="67"/>
      <c r="AB264" s="61" t="str">
        <f t="shared" si="28"/>
        <v/>
      </c>
      <c r="AC264" s="61" t="str">
        <f>IFERROR(IF(Z264-Z263&lt;=0,"",AB264/SQRT(Таблица_pr4[[#This Row],[Удельное сопротивление грунта, Ом·м]])),AB264/SQRT(Таблица_pr4[[#This Row],[Удельное сопротивление грунта, Ом·м]]))</f>
        <v/>
      </c>
      <c r="AE264" s="55"/>
      <c r="AF264" s="52"/>
      <c r="AG264" s="67"/>
      <c r="AI264" s="61" t="str">
        <f>IFERROR(IF(AF264-AF263&lt;=0,"",AH264/SQRT(Таблица_pr5[[#This Row],[Удельное сопротивление грунта, Ом·м]])),AH264/SQRT(Таблица_pr5[[#This Row],[Удельное сопротивление грунта, Ом·м]]))</f>
        <v/>
      </c>
      <c r="AK264" s="55"/>
      <c r="AL264" s="52"/>
      <c r="AM264" s="67"/>
      <c r="AN264" s="61" t="str">
        <f t="shared" si="29"/>
        <v/>
      </c>
      <c r="AO264" s="61" t="str">
        <f>IFERROR(IF(AL264-AL263&lt;=0,"",AN264/SQRT(Таблица_pr6[[#This Row],[Удельное сопротивление грунта, Ом·м]])),AN264/SQRT(Таблица_pr6[[#This Row],[Удельное сопротивление грунта, Ом·м]]))</f>
        <v/>
      </c>
      <c r="AQ264" s="55"/>
      <c r="AR264" s="52"/>
      <c r="AS264" s="67"/>
      <c r="AU264" s="61" t="str">
        <f>IFERROR(IF(AR264-AR263&lt;=0,"",AT264/SQRT(Таблица_pr7[[#This Row],[Удельное сопротивление грунта, Ом·м]])),AT264/SQRT(Таблица_pr7[[#This Row],[Удельное сопротивление грунта, Ом·м]]))</f>
        <v/>
      </c>
      <c r="AW264" s="55"/>
      <c r="AX264" s="52"/>
      <c r="AY264" s="67"/>
      <c r="AZ264" s="61" t="str">
        <f t="shared" si="30"/>
        <v/>
      </c>
      <c r="BA264" s="61" t="str">
        <f>IFERROR(IF(AX264-AX263&lt;=0,"",AZ264/SQRT(Таблица_pr8[[#This Row],[Удельное сопротивление грунта, Ом·м]])),AZ264/SQRT(Таблица_pr8[[#This Row],[Удельное сопротивление грунта, Ом·м]]))</f>
        <v/>
      </c>
      <c r="BC264" s="55"/>
      <c r="BD264" s="52"/>
      <c r="BE264" s="67"/>
      <c r="BG264" s="61" t="str">
        <f>IFERROR(IF(BD264-AX283&lt;=0,"",BF264/SQRT(Таблица_pr9[[#This Row],[Удельное сопротивление грунта, Ом·м]])),BF264/SQRT(Таблица_pr9[[#This Row],[Удельное сопротивление грунта, Ом·м]]))</f>
        <v/>
      </c>
      <c r="BI264" s="55"/>
      <c r="BJ264" s="52"/>
      <c r="BK264" s="67"/>
      <c r="BM264" s="61" t="str">
        <f>IFERROR(IF(BJ264-BD293&lt;=0,"",BL264/SQRT(Таблица_pr10[[#This Row],[Удельное сопротивление грунта, Ом·м]])),BL264/SQRT(Таблица_pr10[[#This Row],[Удельное сопротивление грунта, Ом·м]]))</f>
        <v/>
      </c>
    </row>
    <row r="265" spans="1:65">
      <c r="A265" s="64">
        <v>260</v>
      </c>
      <c r="B265" s="52">
        <v>522.50000000000591</v>
      </c>
      <c r="C265" s="67">
        <v>38.5</v>
      </c>
      <c r="D265" s="61">
        <f t="shared" si="25"/>
        <v>100.00000000002274</v>
      </c>
      <c r="E265" s="61">
        <f>IFERROR(IF(B265-B264&lt;=0,"",D265/SQRT(Таблица_pr[[#This Row],[Удельное сопротивление грунта, Ом·м]])),D265/SQRT(Таблица_pr[[#This Row],[Удельное сопротивление грунта, Ом·м]]))</f>
        <v>16.116459280511268</v>
      </c>
      <c r="G265" s="189">
        <v>260</v>
      </c>
      <c r="H265" s="185">
        <v>522.50000000000591</v>
      </c>
      <c r="I265" s="186">
        <v>38.5</v>
      </c>
      <c r="J265" s="180">
        <f t="shared" si="26"/>
        <v>100.00000000002274</v>
      </c>
      <c r="K265" s="61">
        <f>IFERROR(IF(H265-H264&lt;=0,"",J265/SQRT(Таблица_pr1[[#This Row],[Удельное сопротивление грунта, Ом·м]])),J265/SQRT(Таблица_pr1[[#This Row],[Удельное сопротивление грунта, Ом·м]]))</f>
        <v>16.116459280511268</v>
      </c>
      <c r="M265" s="55"/>
      <c r="N265" s="52"/>
      <c r="O265" s="67"/>
      <c r="P265" s="61" t="str">
        <f t="shared" si="27"/>
        <v/>
      </c>
      <c r="Q265" s="61" t="str">
        <f>IFERROR(IF(N265-N264&lt;=0,"",P265/SQRT(Таблица_pr2[[#This Row],[Удельное сопротивление грунта, Ом·м]])),P265/SQRT(Таблица_pr2[[#This Row],[Удельное сопротивление грунта, Ом·м]]))</f>
        <v/>
      </c>
      <c r="S265" s="55"/>
      <c r="T265" s="52"/>
      <c r="U265" s="67"/>
      <c r="W265" s="61" t="str">
        <f>IFERROR(IF(T265-T264&lt;=0,"",V265/SQRT(Таблица_pr3[[#This Row],[Удельное сопротивление грунта, Ом·м]])),V265/SQRT(Таблица_pr3[[#This Row],[Удельное сопротивление грунта, Ом·м]]))</f>
        <v/>
      </c>
      <c r="Y265" s="55"/>
      <c r="Z265" s="52"/>
      <c r="AA265" s="67"/>
      <c r="AB265" s="61" t="str">
        <f t="shared" si="28"/>
        <v/>
      </c>
      <c r="AC265" s="61" t="str">
        <f>IFERROR(IF(Z265-Z264&lt;=0,"",AB265/SQRT(Таблица_pr4[[#This Row],[Удельное сопротивление грунта, Ом·м]])),AB265/SQRT(Таблица_pr4[[#This Row],[Удельное сопротивление грунта, Ом·м]]))</f>
        <v/>
      </c>
      <c r="AE265" s="55"/>
      <c r="AF265" s="52"/>
      <c r="AG265" s="67"/>
      <c r="AI265" s="61" t="str">
        <f>IFERROR(IF(AF265-AF264&lt;=0,"",AH265/SQRT(Таблица_pr5[[#This Row],[Удельное сопротивление грунта, Ом·м]])),AH265/SQRT(Таблица_pr5[[#This Row],[Удельное сопротивление грунта, Ом·м]]))</f>
        <v/>
      </c>
      <c r="AK265" s="55"/>
      <c r="AL265" s="52"/>
      <c r="AM265" s="67"/>
      <c r="AN265" s="61" t="str">
        <f t="shared" si="29"/>
        <v/>
      </c>
      <c r="AO265" s="61" t="str">
        <f>IFERROR(IF(AL265-AL264&lt;=0,"",AN265/SQRT(Таблица_pr6[[#This Row],[Удельное сопротивление грунта, Ом·м]])),AN265/SQRT(Таблица_pr6[[#This Row],[Удельное сопротивление грунта, Ом·м]]))</f>
        <v/>
      </c>
      <c r="AQ265" s="55"/>
      <c r="AR265" s="52"/>
      <c r="AS265" s="67"/>
      <c r="AU265" s="61" t="str">
        <f>IFERROR(IF(AR265-AR264&lt;=0,"",AT265/SQRT(Таблица_pr7[[#This Row],[Удельное сопротивление грунта, Ом·м]])),AT265/SQRT(Таблица_pr7[[#This Row],[Удельное сопротивление грунта, Ом·м]]))</f>
        <v/>
      </c>
      <c r="AW265" s="55"/>
      <c r="AX265" s="52"/>
      <c r="AY265" s="67"/>
      <c r="AZ265" s="61" t="str">
        <f t="shared" si="30"/>
        <v/>
      </c>
      <c r="BA265" s="61" t="str">
        <f>IFERROR(IF(AX265-AX264&lt;=0,"",AZ265/SQRT(Таблица_pr8[[#This Row],[Удельное сопротивление грунта, Ом·м]])),AZ265/SQRT(Таблица_pr8[[#This Row],[Удельное сопротивление грунта, Ом·м]]))</f>
        <v/>
      </c>
      <c r="BC265" s="55"/>
      <c r="BD265" s="52"/>
      <c r="BE265" s="67"/>
      <c r="BG265" s="61" t="str">
        <f>IFERROR(IF(BD265-AX284&lt;=0,"",BF265/SQRT(Таблица_pr9[[#This Row],[Удельное сопротивление грунта, Ом·м]])),BF265/SQRT(Таблица_pr9[[#This Row],[Удельное сопротивление грунта, Ом·м]]))</f>
        <v/>
      </c>
      <c r="BI265" s="55"/>
      <c r="BJ265" s="52"/>
      <c r="BK265" s="67"/>
      <c r="BM265" s="61" t="str">
        <f>IFERROR(IF(BJ265-BD294&lt;=0,"",BL265/SQRT(Таблица_pr10[[#This Row],[Удельное сопротивление грунта, Ом·м]])),BL265/SQRT(Таблица_pr10[[#This Row],[Удельное сопротивление грунта, Ом·м]]))</f>
        <v/>
      </c>
    </row>
    <row r="266" spans="1:65">
      <c r="A266" s="64">
        <v>261</v>
      </c>
      <c r="B266" s="52">
        <v>522.60000000000593</v>
      </c>
      <c r="C266" s="67">
        <v>41.8</v>
      </c>
      <c r="D266" s="61">
        <f t="shared" si="25"/>
        <v>100.00000000002274</v>
      </c>
      <c r="E266" s="61">
        <f>IFERROR(IF(B266-B265&lt;=0,"",D266/SQRT(Таблица_pr[[#This Row],[Удельное сопротивление грунта, Ом·м]])),D266/SQRT(Таблица_pr[[#This Row],[Удельное сопротивление грунта, Ом·м]]))</f>
        <v>15.467205622247166</v>
      </c>
      <c r="G266" s="188">
        <v>261</v>
      </c>
      <c r="H266" s="184">
        <v>522.60000000000593</v>
      </c>
      <c r="I266" s="187">
        <v>41.8</v>
      </c>
      <c r="J266" s="181">
        <f t="shared" si="26"/>
        <v>100.00000000002274</v>
      </c>
      <c r="K266" s="61">
        <f>IFERROR(IF(H266-H265&lt;=0,"",J266/SQRT(Таблица_pr1[[#This Row],[Удельное сопротивление грунта, Ом·м]])),J266/SQRT(Таблица_pr1[[#This Row],[Удельное сопротивление грунта, Ом·м]]))</f>
        <v>15.467205622247166</v>
      </c>
      <c r="M266" s="55"/>
      <c r="N266" s="52"/>
      <c r="O266" s="67"/>
      <c r="P266" s="61" t="str">
        <f t="shared" si="27"/>
        <v/>
      </c>
      <c r="Q266" s="61" t="str">
        <f>IFERROR(IF(N266-N265&lt;=0,"",P266/SQRT(Таблица_pr2[[#This Row],[Удельное сопротивление грунта, Ом·м]])),P266/SQRT(Таблица_pr2[[#This Row],[Удельное сопротивление грунта, Ом·м]]))</f>
        <v/>
      </c>
      <c r="S266" s="55"/>
      <c r="T266" s="52"/>
      <c r="U266" s="67"/>
      <c r="W266" s="61" t="str">
        <f>IFERROR(IF(T266-T265&lt;=0,"",V266/SQRT(Таблица_pr3[[#This Row],[Удельное сопротивление грунта, Ом·м]])),V266/SQRT(Таблица_pr3[[#This Row],[Удельное сопротивление грунта, Ом·м]]))</f>
        <v/>
      </c>
      <c r="Y266" s="55"/>
      <c r="Z266" s="52"/>
      <c r="AA266" s="67"/>
      <c r="AB266" s="61" t="str">
        <f t="shared" si="28"/>
        <v/>
      </c>
      <c r="AC266" s="61" t="str">
        <f>IFERROR(IF(Z266-Z265&lt;=0,"",AB266/SQRT(Таблица_pr4[[#This Row],[Удельное сопротивление грунта, Ом·м]])),AB266/SQRT(Таблица_pr4[[#This Row],[Удельное сопротивление грунта, Ом·м]]))</f>
        <v/>
      </c>
      <c r="AE266" s="55"/>
      <c r="AF266" s="52"/>
      <c r="AG266" s="67"/>
      <c r="AI266" s="61" t="str">
        <f>IFERROR(IF(AF266-AF265&lt;=0,"",AH266/SQRT(Таблица_pr5[[#This Row],[Удельное сопротивление грунта, Ом·м]])),AH266/SQRT(Таблица_pr5[[#This Row],[Удельное сопротивление грунта, Ом·м]]))</f>
        <v/>
      </c>
      <c r="AK266" s="55"/>
      <c r="AL266" s="52"/>
      <c r="AM266" s="67"/>
      <c r="AN266" s="61" t="str">
        <f t="shared" si="29"/>
        <v/>
      </c>
      <c r="AO266" s="61" t="str">
        <f>IFERROR(IF(AL266-AL265&lt;=0,"",AN266/SQRT(Таблица_pr6[[#This Row],[Удельное сопротивление грунта, Ом·м]])),AN266/SQRT(Таблица_pr6[[#This Row],[Удельное сопротивление грунта, Ом·м]]))</f>
        <v/>
      </c>
      <c r="AQ266" s="55"/>
      <c r="AR266" s="52"/>
      <c r="AS266" s="67"/>
      <c r="AU266" s="61" t="str">
        <f>IFERROR(IF(AR266-AR265&lt;=0,"",AT266/SQRT(Таблица_pr7[[#This Row],[Удельное сопротивление грунта, Ом·м]])),AT266/SQRT(Таблица_pr7[[#This Row],[Удельное сопротивление грунта, Ом·м]]))</f>
        <v/>
      </c>
      <c r="AW266" s="55"/>
      <c r="AX266" s="52"/>
      <c r="AY266" s="67"/>
      <c r="AZ266" s="61" t="str">
        <f t="shared" si="30"/>
        <v/>
      </c>
      <c r="BA266" s="61" t="str">
        <f>IFERROR(IF(AX266-AX265&lt;=0,"",AZ266/SQRT(Таблица_pr8[[#This Row],[Удельное сопротивление грунта, Ом·м]])),AZ266/SQRT(Таблица_pr8[[#This Row],[Удельное сопротивление грунта, Ом·м]]))</f>
        <v/>
      </c>
      <c r="BC266" s="55"/>
      <c r="BD266" s="52"/>
      <c r="BE266" s="67"/>
      <c r="BG266" s="61" t="str">
        <f>IFERROR(IF(BD266-AX285&lt;=0,"",BF266/SQRT(Таблица_pr9[[#This Row],[Удельное сопротивление грунта, Ом·м]])),BF266/SQRT(Таблица_pr9[[#This Row],[Удельное сопротивление грунта, Ом·м]]))</f>
        <v/>
      </c>
      <c r="BI266" s="55"/>
      <c r="BJ266" s="52"/>
      <c r="BK266" s="67"/>
      <c r="BM266" s="61" t="str">
        <f>IFERROR(IF(BJ266-BD295&lt;=0,"",BL266/SQRT(Таблица_pr10[[#This Row],[Удельное сопротивление грунта, Ом·м]])),BL266/SQRT(Таблица_pr10[[#This Row],[Удельное сопротивление грунта, Ом·м]]))</f>
        <v/>
      </c>
    </row>
    <row r="267" spans="1:65">
      <c r="A267" s="64">
        <v>262</v>
      </c>
      <c r="B267" s="52">
        <v>522.70000000000596</v>
      </c>
      <c r="C267" s="67">
        <v>41.3</v>
      </c>
      <c r="D267" s="61">
        <f t="shared" si="25"/>
        <v>100.00000000002274</v>
      </c>
      <c r="E267" s="61">
        <f>IFERROR(IF(B267-B266&lt;=0,"",D267/SQRT(Таблица_pr[[#This Row],[Удельное сопротивление грунта, Ом·м]])),D267/SQRT(Таблица_pr[[#This Row],[Удельное сопротивление грунта, Ом·м]]))</f>
        <v>15.560551102240465</v>
      </c>
      <c r="G267" s="189">
        <v>262</v>
      </c>
      <c r="H267" s="185">
        <v>522.70000000000596</v>
      </c>
      <c r="I267" s="186">
        <v>41.3</v>
      </c>
      <c r="J267" s="180">
        <f t="shared" si="26"/>
        <v>100.00000000002274</v>
      </c>
      <c r="K267" s="61">
        <f>IFERROR(IF(H267-H266&lt;=0,"",J267/SQRT(Таблица_pr1[[#This Row],[Удельное сопротивление грунта, Ом·м]])),J267/SQRT(Таблица_pr1[[#This Row],[Удельное сопротивление грунта, Ом·м]]))</f>
        <v>15.560551102240465</v>
      </c>
      <c r="M267" s="55"/>
      <c r="N267" s="52"/>
      <c r="O267" s="67"/>
      <c r="P267" s="61" t="str">
        <f t="shared" si="27"/>
        <v/>
      </c>
      <c r="Q267" s="61" t="str">
        <f>IFERROR(IF(N267-N266&lt;=0,"",P267/SQRT(Таблица_pr2[[#This Row],[Удельное сопротивление грунта, Ом·м]])),P267/SQRT(Таблица_pr2[[#This Row],[Удельное сопротивление грунта, Ом·м]]))</f>
        <v/>
      </c>
      <c r="S267" s="55"/>
      <c r="T267" s="52"/>
      <c r="U267" s="67"/>
      <c r="W267" s="61" t="str">
        <f>IFERROR(IF(T267-T266&lt;=0,"",V267/SQRT(Таблица_pr3[[#This Row],[Удельное сопротивление грунта, Ом·м]])),V267/SQRT(Таблица_pr3[[#This Row],[Удельное сопротивление грунта, Ом·м]]))</f>
        <v/>
      </c>
      <c r="Y267" s="55"/>
      <c r="Z267" s="52"/>
      <c r="AA267" s="67"/>
      <c r="AB267" s="61" t="str">
        <f t="shared" si="28"/>
        <v/>
      </c>
      <c r="AC267" s="61" t="str">
        <f>IFERROR(IF(Z267-Z266&lt;=0,"",AB267/SQRT(Таблица_pr4[[#This Row],[Удельное сопротивление грунта, Ом·м]])),AB267/SQRT(Таблица_pr4[[#This Row],[Удельное сопротивление грунта, Ом·м]]))</f>
        <v/>
      </c>
      <c r="AE267" s="55"/>
      <c r="AF267" s="52"/>
      <c r="AG267" s="67"/>
      <c r="AI267" s="61" t="str">
        <f>IFERROR(IF(AF267-AF266&lt;=0,"",AH267/SQRT(Таблица_pr5[[#This Row],[Удельное сопротивление грунта, Ом·м]])),AH267/SQRT(Таблица_pr5[[#This Row],[Удельное сопротивление грунта, Ом·м]]))</f>
        <v/>
      </c>
      <c r="AK267" s="55"/>
      <c r="AL267" s="52"/>
      <c r="AM267" s="67"/>
      <c r="AN267" s="61" t="str">
        <f t="shared" si="29"/>
        <v/>
      </c>
      <c r="AO267" s="61" t="str">
        <f>IFERROR(IF(AL267-AL266&lt;=0,"",AN267/SQRT(Таблица_pr6[[#This Row],[Удельное сопротивление грунта, Ом·м]])),AN267/SQRT(Таблица_pr6[[#This Row],[Удельное сопротивление грунта, Ом·м]]))</f>
        <v/>
      </c>
      <c r="AQ267" s="55"/>
      <c r="AR267" s="52"/>
      <c r="AS267" s="67"/>
      <c r="AU267" s="61" t="str">
        <f>IFERROR(IF(AR267-AR266&lt;=0,"",AT267/SQRT(Таблица_pr7[[#This Row],[Удельное сопротивление грунта, Ом·м]])),AT267/SQRT(Таблица_pr7[[#This Row],[Удельное сопротивление грунта, Ом·м]]))</f>
        <v/>
      </c>
      <c r="AW267" s="55"/>
      <c r="AX267" s="52"/>
      <c r="AY267" s="67"/>
      <c r="AZ267" s="61" t="str">
        <f t="shared" si="30"/>
        <v/>
      </c>
      <c r="BA267" s="61" t="str">
        <f>IFERROR(IF(AX267-AX266&lt;=0,"",AZ267/SQRT(Таблица_pr8[[#This Row],[Удельное сопротивление грунта, Ом·м]])),AZ267/SQRT(Таблица_pr8[[#This Row],[Удельное сопротивление грунта, Ом·м]]))</f>
        <v/>
      </c>
      <c r="BC267" s="55"/>
      <c r="BD267" s="52"/>
      <c r="BE267" s="67"/>
      <c r="BG267" s="61" t="str">
        <f>IFERROR(IF(BD267-AX286&lt;=0,"",BF267/SQRT(Таблица_pr9[[#This Row],[Удельное сопротивление грунта, Ом·м]])),BF267/SQRT(Таблица_pr9[[#This Row],[Удельное сопротивление грунта, Ом·м]]))</f>
        <v/>
      </c>
      <c r="BI267" s="55"/>
      <c r="BJ267" s="52"/>
      <c r="BK267" s="67"/>
      <c r="BM267" s="61" t="str">
        <f>IFERROR(IF(BJ267-BD296&lt;=0,"",BL267/SQRT(Таблица_pr10[[#This Row],[Удельное сопротивление грунта, Ом·м]])),BL267/SQRT(Таблица_pr10[[#This Row],[Удельное сопротивление грунта, Ом·м]]))</f>
        <v/>
      </c>
    </row>
    <row r="268" spans="1:65">
      <c r="A268" s="64">
        <v>263</v>
      </c>
      <c r="B268" s="52">
        <v>522.80000000000598</v>
      </c>
      <c r="C268" s="67">
        <v>41.8</v>
      </c>
      <c r="D268" s="61">
        <f t="shared" si="25"/>
        <v>100.00000000002274</v>
      </c>
      <c r="E268" s="61">
        <f>IFERROR(IF(B268-B267&lt;=0,"",D268/SQRT(Таблица_pr[[#This Row],[Удельное сопротивление грунта, Ом·м]])),D268/SQRT(Таблица_pr[[#This Row],[Удельное сопротивление грунта, Ом·м]]))</f>
        <v>15.467205622247166</v>
      </c>
      <c r="G268" s="188">
        <v>263</v>
      </c>
      <c r="H268" s="184">
        <v>522.80000000000598</v>
      </c>
      <c r="I268" s="187">
        <v>41.8</v>
      </c>
      <c r="J268" s="181">
        <f t="shared" si="26"/>
        <v>100.00000000002274</v>
      </c>
      <c r="K268" s="61">
        <f>IFERROR(IF(H268-H267&lt;=0,"",J268/SQRT(Таблица_pr1[[#This Row],[Удельное сопротивление грунта, Ом·м]])),J268/SQRT(Таблица_pr1[[#This Row],[Удельное сопротивление грунта, Ом·м]]))</f>
        <v>15.467205622247166</v>
      </c>
      <c r="M268" s="55"/>
      <c r="N268" s="52"/>
      <c r="O268" s="67"/>
      <c r="P268" s="61" t="str">
        <f t="shared" si="27"/>
        <v/>
      </c>
      <c r="Q268" s="61" t="str">
        <f>IFERROR(IF(N268-N267&lt;=0,"",P268/SQRT(Таблица_pr2[[#This Row],[Удельное сопротивление грунта, Ом·м]])),P268/SQRT(Таблица_pr2[[#This Row],[Удельное сопротивление грунта, Ом·м]]))</f>
        <v/>
      </c>
      <c r="S268" s="55"/>
      <c r="T268" s="52"/>
      <c r="U268" s="67"/>
      <c r="W268" s="61" t="str">
        <f>IFERROR(IF(T268-T267&lt;=0,"",V268/SQRT(Таблица_pr3[[#This Row],[Удельное сопротивление грунта, Ом·м]])),V268/SQRT(Таблица_pr3[[#This Row],[Удельное сопротивление грунта, Ом·м]]))</f>
        <v/>
      </c>
      <c r="Y268" s="55"/>
      <c r="Z268" s="52"/>
      <c r="AA268" s="67"/>
      <c r="AB268" s="61" t="str">
        <f t="shared" si="28"/>
        <v/>
      </c>
      <c r="AC268" s="61" t="str">
        <f>IFERROR(IF(Z268-Z267&lt;=0,"",AB268/SQRT(Таблица_pr4[[#This Row],[Удельное сопротивление грунта, Ом·м]])),AB268/SQRT(Таблица_pr4[[#This Row],[Удельное сопротивление грунта, Ом·м]]))</f>
        <v/>
      </c>
      <c r="AE268" s="55"/>
      <c r="AF268" s="52"/>
      <c r="AG268" s="67"/>
      <c r="AI268" s="61" t="str">
        <f>IFERROR(IF(AF268-AF267&lt;=0,"",AH268/SQRT(Таблица_pr5[[#This Row],[Удельное сопротивление грунта, Ом·м]])),AH268/SQRT(Таблица_pr5[[#This Row],[Удельное сопротивление грунта, Ом·м]]))</f>
        <v/>
      </c>
      <c r="AK268" s="55"/>
      <c r="AL268" s="52"/>
      <c r="AM268" s="67"/>
      <c r="AN268" s="61" t="str">
        <f t="shared" si="29"/>
        <v/>
      </c>
      <c r="AO268" s="61" t="str">
        <f>IFERROR(IF(AL268-AL267&lt;=0,"",AN268/SQRT(Таблица_pr6[[#This Row],[Удельное сопротивление грунта, Ом·м]])),AN268/SQRT(Таблица_pr6[[#This Row],[Удельное сопротивление грунта, Ом·м]]))</f>
        <v/>
      </c>
      <c r="AQ268" s="55"/>
      <c r="AR268" s="52"/>
      <c r="AS268" s="67"/>
      <c r="AU268" s="61" t="str">
        <f>IFERROR(IF(AR268-AR267&lt;=0,"",AT268/SQRT(Таблица_pr7[[#This Row],[Удельное сопротивление грунта, Ом·м]])),AT268/SQRT(Таблица_pr7[[#This Row],[Удельное сопротивление грунта, Ом·м]]))</f>
        <v/>
      </c>
      <c r="AW268" s="55"/>
      <c r="AX268" s="52"/>
      <c r="AY268" s="67"/>
      <c r="AZ268" s="61" t="str">
        <f t="shared" si="30"/>
        <v/>
      </c>
      <c r="BA268" s="61" t="str">
        <f>IFERROR(IF(AX268-AX267&lt;=0,"",AZ268/SQRT(Таблица_pr8[[#This Row],[Удельное сопротивление грунта, Ом·м]])),AZ268/SQRT(Таблица_pr8[[#This Row],[Удельное сопротивление грунта, Ом·м]]))</f>
        <v/>
      </c>
      <c r="BC268" s="55"/>
      <c r="BD268" s="52"/>
      <c r="BE268" s="67"/>
      <c r="BG268" s="61" t="str">
        <f>IFERROR(IF(BD268-AX287&lt;=0,"",BF268/SQRT(Таблица_pr9[[#This Row],[Удельное сопротивление грунта, Ом·м]])),BF268/SQRT(Таблица_pr9[[#This Row],[Удельное сопротивление грунта, Ом·м]]))</f>
        <v/>
      </c>
      <c r="BI268" s="55"/>
      <c r="BJ268" s="52"/>
      <c r="BK268" s="67"/>
      <c r="BM268" s="61" t="str">
        <f>IFERROR(IF(BJ268-BD297&lt;=0,"",BL268/SQRT(Таблица_pr10[[#This Row],[Удельное сопротивление грунта, Ом·м]])),BL268/SQRT(Таблица_pr10[[#This Row],[Удельное сопротивление грунта, Ом·м]]))</f>
        <v/>
      </c>
    </row>
    <row r="269" spans="1:65">
      <c r="A269" s="64">
        <v>264</v>
      </c>
      <c r="B269" s="52">
        <v>522.900000000006</v>
      </c>
      <c r="C269" s="67">
        <v>44.9</v>
      </c>
      <c r="D269" s="61">
        <f t="shared" si="25"/>
        <v>100.00000000002274</v>
      </c>
      <c r="E269" s="61">
        <f>IFERROR(IF(B269-B268&lt;=0,"",D269/SQRT(Таблица_pr[[#This Row],[Удельное сопротивление грунта, Ом·м]])),D269/SQRT(Таблица_pr[[#This Row],[Удельное сопротивление грунта, Ом·м]]))</f>
        <v>14.923710973500903</v>
      </c>
      <c r="G269" s="189">
        <v>264</v>
      </c>
      <c r="H269" s="185">
        <v>522.900000000006</v>
      </c>
      <c r="I269" s="186">
        <v>44.9</v>
      </c>
      <c r="J269" s="180">
        <f t="shared" si="26"/>
        <v>100.00000000002274</v>
      </c>
      <c r="K269" s="61">
        <f>IFERROR(IF(H269-H268&lt;=0,"",J269/SQRT(Таблица_pr1[[#This Row],[Удельное сопротивление грунта, Ом·м]])),J269/SQRT(Таблица_pr1[[#This Row],[Удельное сопротивление грунта, Ом·м]]))</f>
        <v>14.923710973500903</v>
      </c>
      <c r="M269" s="55"/>
      <c r="N269" s="52"/>
      <c r="O269" s="67"/>
      <c r="P269" s="61" t="str">
        <f t="shared" si="27"/>
        <v/>
      </c>
      <c r="Q269" s="61" t="str">
        <f>IFERROR(IF(N269-N268&lt;=0,"",P269/SQRT(Таблица_pr2[[#This Row],[Удельное сопротивление грунта, Ом·м]])),P269/SQRT(Таблица_pr2[[#This Row],[Удельное сопротивление грунта, Ом·м]]))</f>
        <v/>
      </c>
      <c r="S269" s="55"/>
      <c r="T269" s="52"/>
      <c r="U269" s="67"/>
      <c r="W269" s="61" t="str">
        <f>IFERROR(IF(T269-T268&lt;=0,"",V269/SQRT(Таблица_pr3[[#This Row],[Удельное сопротивление грунта, Ом·м]])),V269/SQRT(Таблица_pr3[[#This Row],[Удельное сопротивление грунта, Ом·м]]))</f>
        <v/>
      </c>
      <c r="Y269" s="55"/>
      <c r="Z269" s="52"/>
      <c r="AA269" s="67"/>
      <c r="AB269" s="61" t="str">
        <f t="shared" si="28"/>
        <v/>
      </c>
      <c r="AC269" s="61" t="str">
        <f>IFERROR(IF(Z269-Z268&lt;=0,"",AB269/SQRT(Таблица_pr4[[#This Row],[Удельное сопротивление грунта, Ом·м]])),AB269/SQRT(Таблица_pr4[[#This Row],[Удельное сопротивление грунта, Ом·м]]))</f>
        <v/>
      </c>
      <c r="AE269" s="55"/>
      <c r="AF269" s="52"/>
      <c r="AG269" s="67"/>
      <c r="AI269" s="61" t="str">
        <f>IFERROR(IF(AF269-AF268&lt;=0,"",AH269/SQRT(Таблица_pr5[[#This Row],[Удельное сопротивление грунта, Ом·м]])),AH269/SQRT(Таблица_pr5[[#This Row],[Удельное сопротивление грунта, Ом·м]]))</f>
        <v/>
      </c>
      <c r="AK269" s="55"/>
      <c r="AL269" s="52"/>
      <c r="AM269" s="67"/>
      <c r="AN269" s="61" t="str">
        <f t="shared" si="29"/>
        <v/>
      </c>
      <c r="AO269" s="61" t="str">
        <f>IFERROR(IF(AL269-AL268&lt;=0,"",AN269/SQRT(Таблица_pr6[[#This Row],[Удельное сопротивление грунта, Ом·м]])),AN269/SQRT(Таблица_pr6[[#This Row],[Удельное сопротивление грунта, Ом·м]]))</f>
        <v/>
      </c>
      <c r="AQ269" s="55"/>
      <c r="AR269" s="52"/>
      <c r="AS269" s="67"/>
      <c r="AU269" s="61" t="str">
        <f>IFERROR(IF(AR269-AR268&lt;=0,"",AT269/SQRT(Таблица_pr7[[#This Row],[Удельное сопротивление грунта, Ом·м]])),AT269/SQRT(Таблица_pr7[[#This Row],[Удельное сопротивление грунта, Ом·м]]))</f>
        <v/>
      </c>
      <c r="AW269" s="55"/>
      <c r="AX269" s="52"/>
      <c r="AY269" s="67"/>
      <c r="AZ269" s="61" t="str">
        <f t="shared" si="30"/>
        <v/>
      </c>
      <c r="BA269" s="61" t="str">
        <f>IFERROR(IF(AX269-AX268&lt;=0,"",AZ269/SQRT(Таблица_pr8[[#This Row],[Удельное сопротивление грунта, Ом·м]])),AZ269/SQRT(Таблица_pr8[[#This Row],[Удельное сопротивление грунта, Ом·м]]))</f>
        <v/>
      </c>
      <c r="BC269" s="55"/>
      <c r="BD269" s="52"/>
      <c r="BE269" s="67"/>
      <c r="BG269" s="61" t="str">
        <f>IFERROR(IF(BD269-AX288&lt;=0,"",BF269/SQRT(Таблица_pr9[[#This Row],[Удельное сопротивление грунта, Ом·м]])),BF269/SQRT(Таблица_pr9[[#This Row],[Удельное сопротивление грунта, Ом·м]]))</f>
        <v/>
      </c>
      <c r="BI269" s="55"/>
      <c r="BJ269" s="52"/>
      <c r="BK269" s="67"/>
      <c r="BM269" s="61" t="str">
        <f>IFERROR(IF(BJ269-BD298&lt;=0,"",BL269/SQRT(Таблица_pr10[[#This Row],[Удельное сопротивление грунта, Ом·м]])),BL269/SQRT(Таблица_pr10[[#This Row],[Удельное сопротивление грунта, Ом·м]]))</f>
        <v/>
      </c>
    </row>
    <row r="270" spans="1:65">
      <c r="A270" s="64">
        <v>265</v>
      </c>
      <c r="B270" s="52">
        <v>523.00000000000603</v>
      </c>
      <c r="C270" s="67">
        <v>45.9</v>
      </c>
      <c r="D270" s="61">
        <f t="shared" si="25"/>
        <v>100.00000000002274</v>
      </c>
      <c r="E270" s="61">
        <f>IFERROR(IF(B270-B269&lt;=0,"",D270/SQRT(Таблица_pr[[#This Row],[Удельное сопротивление грунта, Ом·м]])),D270/SQRT(Таблица_pr[[#This Row],[Удельное сопротивление грунта, Ом·м]]))</f>
        <v>14.760248092338278</v>
      </c>
      <c r="G270" s="188">
        <v>265</v>
      </c>
      <c r="H270" s="184">
        <v>523.00000000000603</v>
      </c>
      <c r="I270" s="187">
        <v>45.9</v>
      </c>
      <c r="J270" s="181">
        <f t="shared" si="26"/>
        <v>100.00000000002274</v>
      </c>
      <c r="K270" s="61">
        <f>IFERROR(IF(H270-H269&lt;=0,"",J270/SQRT(Таблица_pr1[[#This Row],[Удельное сопротивление грунта, Ом·м]])),J270/SQRT(Таблица_pr1[[#This Row],[Удельное сопротивление грунта, Ом·м]]))</f>
        <v>14.760248092338278</v>
      </c>
      <c r="M270" s="55"/>
      <c r="N270" s="52"/>
      <c r="O270" s="67"/>
      <c r="P270" s="61" t="str">
        <f t="shared" si="27"/>
        <v/>
      </c>
      <c r="Q270" s="61" t="str">
        <f>IFERROR(IF(N270-N269&lt;=0,"",P270/SQRT(Таблица_pr2[[#This Row],[Удельное сопротивление грунта, Ом·м]])),P270/SQRT(Таблица_pr2[[#This Row],[Удельное сопротивление грунта, Ом·м]]))</f>
        <v/>
      </c>
      <c r="S270" s="55"/>
      <c r="T270" s="52"/>
      <c r="U270" s="67"/>
      <c r="W270" s="61" t="str">
        <f>IFERROR(IF(T270-T269&lt;=0,"",V270/SQRT(Таблица_pr3[[#This Row],[Удельное сопротивление грунта, Ом·м]])),V270/SQRT(Таблица_pr3[[#This Row],[Удельное сопротивление грунта, Ом·м]]))</f>
        <v/>
      </c>
      <c r="Y270" s="55"/>
      <c r="Z270" s="52"/>
      <c r="AA270" s="67"/>
      <c r="AB270" s="61" t="str">
        <f t="shared" si="28"/>
        <v/>
      </c>
      <c r="AC270" s="61" t="str">
        <f>IFERROR(IF(Z270-Z269&lt;=0,"",AB270/SQRT(Таблица_pr4[[#This Row],[Удельное сопротивление грунта, Ом·м]])),AB270/SQRT(Таблица_pr4[[#This Row],[Удельное сопротивление грунта, Ом·м]]))</f>
        <v/>
      </c>
      <c r="AE270" s="55"/>
      <c r="AF270" s="52"/>
      <c r="AG270" s="67"/>
      <c r="AI270" s="61" t="str">
        <f>IFERROR(IF(AF270-AF269&lt;=0,"",AH270/SQRT(Таблица_pr5[[#This Row],[Удельное сопротивление грунта, Ом·м]])),AH270/SQRT(Таблица_pr5[[#This Row],[Удельное сопротивление грунта, Ом·м]]))</f>
        <v/>
      </c>
      <c r="AK270" s="55"/>
      <c r="AL270" s="52"/>
      <c r="AM270" s="67"/>
      <c r="AN270" s="61" t="str">
        <f t="shared" si="29"/>
        <v/>
      </c>
      <c r="AO270" s="61" t="str">
        <f>IFERROR(IF(AL270-AL269&lt;=0,"",AN270/SQRT(Таблица_pr6[[#This Row],[Удельное сопротивление грунта, Ом·м]])),AN270/SQRT(Таблица_pr6[[#This Row],[Удельное сопротивление грунта, Ом·м]]))</f>
        <v/>
      </c>
      <c r="AQ270" s="55"/>
      <c r="AR270" s="52"/>
      <c r="AS270" s="67"/>
      <c r="AU270" s="61" t="str">
        <f>IFERROR(IF(AR270-AR269&lt;=0,"",AT270/SQRT(Таблица_pr7[[#This Row],[Удельное сопротивление грунта, Ом·м]])),AT270/SQRT(Таблица_pr7[[#This Row],[Удельное сопротивление грунта, Ом·м]]))</f>
        <v/>
      </c>
      <c r="AW270" s="55"/>
      <c r="AX270" s="52"/>
      <c r="AY270" s="67"/>
      <c r="AZ270" s="61" t="str">
        <f t="shared" si="30"/>
        <v/>
      </c>
      <c r="BA270" s="61" t="str">
        <f>IFERROR(IF(AX270-AX269&lt;=0,"",AZ270/SQRT(Таблица_pr8[[#This Row],[Удельное сопротивление грунта, Ом·м]])),AZ270/SQRT(Таблица_pr8[[#This Row],[Удельное сопротивление грунта, Ом·м]]))</f>
        <v/>
      </c>
      <c r="BC270" s="55"/>
      <c r="BD270" s="52"/>
      <c r="BE270" s="67"/>
      <c r="BG270" s="61" t="str">
        <f>IFERROR(IF(BD270-AX289&lt;=0,"",BF270/SQRT(Таблица_pr9[[#This Row],[Удельное сопротивление грунта, Ом·м]])),BF270/SQRT(Таблица_pr9[[#This Row],[Удельное сопротивление грунта, Ом·м]]))</f>
        <v/>
      </c>
      <c r="BI270" s="55"/>
      <c r="BJ270" s="52"/>
      <c r="BK270" s="67"/>
      <c r="BM270" s="61" t="str">
        <f>IFERROR(IF(BJ270-BD299&lt;=0,"",BL270/SQRT(Таблица_pr10[[#This Row],[Удельное сопротивление грунта, Ом·м]])),BL270/SQRT(Таблица_pr10[[#This Row],[Удельное сопротивление грунта, Ом·м]]))</f>
        <v/>
      </c>
    </row>
    <row r="271" spans="1:65">
      <c r="A271" s="64">
        <v>266</v>
      </c>
      <c r="B271" s="52">
        <v>523.10000000000605</v>
      </c>
      <c r="C271" s="67">
        <v>28.6</v>
      </c>
      <c r="D271" s="61">
        <f t="shared" si="25"/>
        <v>100.00000000002274</v>
      </c>
      <c r="E271" s="61">
        <f>IFERROR(IF(B271-B270&lt;=0,"",D271/SQRT(Таблица_pr[[#This Row],[Удельное сопротивление грунта, Ом·м]])),D271/SQRT(Таблица_pr[[#This Row],[Удельное сопротивление грунта, Ом·м]]))</f>
        <v>18.698939800173395</v>
      </c>
      <c r="G271" s="189">
        <v>266</v>
      </c>
      <c r="H271" s="185">
        <v>523.10000000000605</v>
      </c>
      <c r="I271" s="186">
        <v>28.6</v>
      </c>
      <c r="J271" s="180">
        <f t="shared" si="26"/>
        <v>100.00000000002274</v>
      </c>
      <c r="K271" s="61">
        <f>IFERROR(IF(H271-H270&lt;=0,"",J271/SQRT(Таблица_pr1[[#This Row],[Удельное сопротивление грунта, Ом·м]])),J271/SQRT(Таблица_pr1[[#This Row],[Удельное сопротивление грунта, Ом·м]]))</f>
        <v>18.698939800173395</v>
      </c>
      <c r="M271" s="55"/>
      <c r="N271" s="52"/>
      <c r="O271" s="67"/>
      <c r="P271" s="61" t="str">
        <f t="shared" si="27"/>
        <v/>
      </c>
      <c r="Q271" s="61" t="str">
        <f>IFERROR(IF(N271-N270&lt;=0,"",P271/SQRT(Таблица_pr2[[#This Row],[Удельное сопротивление грунта, Ом·м]])),P271/SQRT(Таблица_pr2[[#This Row],[Удельное сопротивление грунта, Ом·м]]))</f>
        <v/>
      </c>
      <c r="S271" s="55"/>
      <c r="T271" s="52"/>
      <c r="U271" s="67"/>
      <c r="W271" s="61" t="str">
        <f>IFERROR(IF(T271-T270&lt;=0,"",V271/SQRT(Таблица_pr3[[#This Row],[Удельное сопротивление грунта, Ом·м]])),V271/SQRT(Таблица_pr3[[#This Row],[Удельное сопротивление грунта, Ом·м]]))</f>
        <v/>
      </c>
      <c r="Y271" s="55"/>
      <c r="Z271" s="52"/>
      <c r="AA271" s="67"/>
      <c r="AB271" s="61" t="str">
        <f t="shared" si="28"/>
        <v/>
      </c>
      <c r="AC271" s="61" t="str">
        <f>IFERROR(IF(Z271-Z270&lt;=0,"",AB271/SQRT(Таблица_pr4[[#This Row],[Удельное сопротивление грунта, Ом·м]])),AB271/SQRT(Таблица_pr4[[#This Row],[Удельное сопротивление грунта, Ом·м]]))</f>
        <v/>
      </c>
      <c r="AE271" s="55"/>
      <c r="AF271" s="52"/>
      <c r="AG271" s="67"/>
      <c r="AI271" s="61" t="str">
        <f>IFERROR(IF(AF271-AF270&lt;=0,"",AH271/SQRT(Таблица_pr5[[#This Row],[Удельное сопротивление грунта, Ом·м]])),AH271/SQRT(Таблица_pr5[[#This Row],[Удельное сопротивление грунта, Ом·м]]))</f>
        <v/>
      </c>
      <c r="AK271" s="55"/>
      <c r="AL271" s="52"/>
      <c r="AM271" s="67"/>
      <c r="AN271" s="61" t="str">
        <f t="shared" si="29"/>
        <v/>
      </c>
      <c r="AO271" s="61" t="str">
        <f>IFERROR(IF(AL271-AL270&lt;=0,"",AN271/SQRT(Таблица_pr6[[#This Row],[Удельное сопротивление грунта, Ом·м]])),AN271/SQRT(Таблица_pr6[[#This Row],[Удельное сопротивление грунта, Ом·м]]))</f>
        <v/>
      </c>
      <c r="AQ271" s="55"/>
      <c r="AR271" s="52"/>
      <c r="AS271" s="67"/>
      <c r="AU271" s="61" t="str">
        <f>IFERROR(IF(AR271-AR270&lt;=0,"",AT271/SQRT(Таблица_pr7[[#This Row],[Удельное сопротивление грунта, Ом·м]])),AT271/SQRT(Таблица_pr7[[#This Row],[Удельное сопротивление грунта, Ом·м]]))</f>
        <v/>
      </c>
      <c r="AW271" s="55"/>
      <c r="AX271" s="52"/>
      <c r="AY271" s="67"/>
      <c r="AZ271" s="61" t="str">
        <f t="shared" si="30"/>
        <v/>
      </c>
      <c r="BA271" s="61" t="str">
        <f>IFERROR(IF(AX271-AX270&lt;=0,"",AZ271/SQRT(Таблица_pr8[[#This Row],[Удельное сопротивление грунта, Ом·м]])),AZ271/SQRT(Таблица_pr8[[#This Row],[Удельное сопротивление грунта, Ом·м]]))</f>
        <v/>
      </c>
      <c r="BC271" s="55"/>
      <c r="BD271" s="52"/>
      <c r="BE271" s="67"/>
      <c r="BG271" s="61" t="str">
        <f>IFERROR(IF(BD271-AX290&lt;=0,"",BF271/SQRT(Таблица_pr9[[#This Row],[Удельное сопротивление грунта, Ом·м]])),BF271/SQRT(Таблица_pr9[[#This Row],[Удельное сопротивление грунта, Ом·м]]))</f>
        <v/>
      </c>
      <c r="BI271" s="55"/>
      <c r="BJ271" s="52"/>
      <c r="BK271" s="67"/>
      <c r="BM271" s="61" t="str">
        <f>IFERROR(IF(BJ271-BD300&lt;=0,"",BL271/SQRT(Таблица_pr10[[#This Row],[Удельное сопротивление грунта, Ом·м]])),BL271/SQRT(Таблица_pr10[[#This Row],[Удельное сопротивление грунта, Ом·м]]))</f>
        <v/>
      </c>
    </row>
    <row r="272" spans="1:65">
      <c r="A272" s="64">
        <v>267</v>
      </c>
      <c r="B272" s="52">
        <v>523.20000000000607</v>
      </c>
      <c r="C272" s="67">
        <v>43.9</v>
      </c>
      <c r="D272" s="61">
        <f t="shared" si="25"/>
        <v>100.00000000002274</v>
      </c>
      <c r="E272" s="61">
        <f>IFERROR(IF(B272-B271&lt;=0,"",D272/SQRT(Таблица_pr[[#This Row],[Удельное сопротивление грунта, Ом·м]])),D272/SQRT(Таблица_pr[[#This Row],[Удельное сопротивление грунта, Ом·м]]))</f>
        <v>15.092727811827983</v>
      </c>
      <c r="G272" s="188">
        <v>267</v>
      </c>
      <c r="H272" s="184">
        <v>523.20000000000607</v>
      </c>
      <c r="I272" s="187">
        <v>43.9</v>
      </c>
      <c r="J272" s="181">
        <f t="shared" si="26"/>
        <v>100.00000000002274</v>
      </c>
      <c r="K272" s="61">
        <f>IFERROR(IF(H272-H271&lt;=0,"",J272/SQRT(Таблица_pr1[[#This Row],[Удельное сопротивление грунта, Ом·м]])),J272/SQRT(Таблица_pr1[[#This Row],[Удельное сопротивление грунта, Ом·м]]))</f>
        <v>15.092727811827983</v>
      </c>
      <c r="M272" s="55"/>
      <c r="N272" s="52"/>
      <c r="O272" s="67"/>
      <c r="P272" s="61" t="str">
        <f t="shared" si="27"/>
        <v/>
      </c>
      <c r="Q272" s="61" t="str">
        <f>IFERROR(IF(N272-N271&lt;=0,"",P272/SQRT(Таблица_pr2[[#This Row],[Удельное сопротивление грунта, Ом·м]])),P272/SQRT(Таблица_pr2[[#This Row],[Удельное сопротивление грунта, Ом·м]]))</f>
        <v/>
      </c>
      <c r="S272" s="55"/>
      <c r="T272" s="52"/>
      <c r="U272" s="67"/>
      <c r="W272" s="61" t="str">
        <f>IFERROR(IF(T272-T271&lt;=0,"",V272/SQRT(Таблица_pr3[[#This Row],[Удельное сопротивление грунта, Ом·м]])),V272/SQRT(Таблица_pr3[[#This Row],[Удельное сопротивление грунта, Ом·м]]))</f>
        <v/>
      </c>
      <c r="Y272" s="55"/>
      <c r="Z272" s="52"/>
      <c r="AA272" s="67"/>
      <c r="AB272" s="61" t="str">
        <f t="shared" si="28"/>
        <v/>
      </c>
      <c r="AC272" s="61" t="str">
        <f>IFERROR(IF(Z272-Z271&lt;=0,"",AB272/SQRT(Таблица_pr4[[#This Row],[Удельное сопротивление грунта, Ом·м]])),AB272/SQRT(Таблица_pr4[[#This Row],[Удельное сопротивление грунта, Ом·м]]))</f>
        <v/>
      </c>
      <c r="AE272" s="55"/>
      <c r="AF272" s="52"/>
      <c r="AG272" s="67"/>
      <c r="AI272" s="61" t="str">
        <f>IFERROR(IF(AF272-AF271&lt;=0,"",AH272/SQRT(Таблица_pr5[[#This Row],[Удельное сопротивление грунта, Ом·м]])),AH272/SQRT(Таблица_pr5[[#This Row],[Удельное сопротивление грунта, Ом·м]]))</f>
        <v/>
      </c>
      <c r="AK272" s="55"/>
      <c r="AL272" s="52"/>
      <c r="AM272" s="67"/>
      <c r="AN272" s="61" t="str">
        <f t="shared" si="29"/>
        <v/>
      </c>
      <c r="AO272" s="61" t="str">
        <f>IFERROR(IF(AL272-AL271&lt;=0,"",AN272/SQRT(Таблица_pr6[[#This Row],[Удельное сопротивление грунта, Ом·м]])),AN272/SQRT(Таблица_pr6[[#This Row],[Удельное сопротивление грунта, Ом·м]]))</f>
        <v/>
      </c>
      <c r="AQ272" s="55"/>
      <c r="AR272" s="52"/>
      <c r="AS272" s="67"/>
      <c r="AU272" s="61" t="str">
        <f>IFERROR(IF(AR272-AR271&lt;=0,"",AT272/SQRT(Таблица_pr7[[#This Row],[Удельное сопротивление грунта, Ом·м]])),AT272/SQRT(Таблица_pr7[[#This Row],[Удельное сопротивление грунта, Ом·м]]))</f>
        <v/>
      </c>
      <c r="AW272" s="55"/>
      <c r="AX272" s="52"/>
      <c r="AY272" s="67"/>
      <c r="AZ272" s="61" t="str">
        <f t="shared" si="30"/>
        <v/>
      </c>
      <c r="BA272" s="61" t="str">
        <f>IFERROR(IF(AX272-AX271&lt;=0,"",AZ272/SQRT(Таблица_pr8[[#This Row],[Удельное сопротивление грунта, Ом·м]])),AZ272/SQRT(Таблица_pr8[[#This Row],[Удельное сопротивление грунта, Ом·м]]))</f>
        <v/>
      </c>
      <c r="BC272" s="55"/>
      <c r="BD272" s="52"/>
      <c r="BE272" s="67"/>
      <c r="BG272" s="61" t="str">
        <f>IFERROR(IF(BD272-AX291&lt;=0,"",BF272/SQRT(Таблица_pr9[[#This Row],[Удельное сопротивление грунта, Ом·м]])),BF272/SQRT(Таблица_pr9[[#This Row],[Удельное сопротивление грунта, Ом·м]]))</f>
        <v/>
      </c>
      <c r="BI272" s="55"/>
      <c r="BJ272" s="52"/>
      <c r="BK272" s="67"/>
      <c r="BM272" s="61" t="str">
        <f>IFERROR(IF(BJ272-BD301&lt;=0,"",BL272/SQRT(Таблица_pr10[[#This Row],[Удельное сопротивление грунта, Ом·м]])),BL272/SQRT(Таблица_pr10[[#This Row],[Удельное сопротивление грунта, Ом·м]]))</f>
        <v/>
      </c>
    </row>
    <row r="273" spans="1:65">
      <c r="A273" s="64">
        <v>268</v>
      </c>
      <c r="B273" s="52">
        <v>523.30000000000609</v>
      </c>
      <c r="C273" s="67">
        <v>47.1</v>
      </c>
      <c r="D273" s="61">
        <f t="shared" si="25"/>
        <v>100.00000000002274</v>
      </c>
      <c r="E273" s="61">
        <f>IFERROR(IF(B273-B272&lt;=0,"",D273/SQRT(Таблица_pr[[#This Row],[Удельное сопротивление грунта, Ом·м]])),D273/SQRT(Таблица_pr[[#This Row],[Удельное сопротивление грунта, Ом·м]]))</f>
        <v>14.571006315734513</v>
      </c>
      <c r="G273" s="189">
        <v>268</v>
      </c>
      <c r="H273" s="185">
        <v>523.30000000000609</v>
      </c>
      <c r="I273" s="186">
        <v>47.1</v>
      </c>
      <c r="J273" s="180">
        <f t="shared" si="26"/>
        <v>100.00000000002274</v>
      </c>
      <c r="K273" s="61">
        <f>IFERROR(IF(H273-H272&lt;=0,"",J273/SQRT(Таблица_pr1[[#This Row],[Удельное сопротивление грунта, Ом·м]])),J273/SQRT(Таблица_pr1[[#This Row],[Удельное сопротивление грунта, Ом·м]]))</f>
        <v>14.571006315734513</v>
      </c>
      <c r="M273" s="55"/>
      <c r="N273" s="52"/>
      <c r="O273" s="67"/>
      <c r="P273" s="61" t="str">
        <f t="shared" si="27"/>
        <v/>
      </c>
      <c r="Q273" s="61" t="str">
        <f>IFERROR(IF(N273-N272&lt;=0,"",P273/SQRT(Таблица_pr2[[#This Row],[Удельное сопротивление грунта, Ом·м]])),P273/SQRT(Таблица_pr2[[#This Row],[Удельное сопротивление грунта, Ом·м]]))</f>
        <v/>
      </c>
      <c r="S273" s="55"/>
      <c r="T273" s="52"/>
      <c r="U273" s="67"/>
      <c r="W273" s="61" t="str">
        <f>IFERROR(IF(T273-T272&lt;=0,"",V273/SQRT(Таблица_pr3[[#This Row],[Удельное сопротивление грунта, Ом·м]])),V273/SQRT(Таблица_pr3[[#This Row],[Удельное сопротивление грунта, Ом·м]]))</f>
        <v/>
      </c>
      <c r="Y273" s="55"/>
      <c r="Z273" s="52"/>
      <c r="AA273" s="67"/>
      <c r="AB273" s="61" t="str">
        <f t="shared" si="28"/>
        <v/>
      </c>
      <c r="AC273" s="61" t="str">
        <f>IFERROR(IF(Z273-Z272&lt;=0,"",AB273/SQRT(Таблица_pr4[[#This Row],[Удельное сопротивление грунта, Ом·м]])),AB273/SQRT(Таблица_pr4[[#This Row],[Удельное сопротивление грунта, Ом·м]]))</f>
        <v/>
      </c>
      <c r="AE273" s="55"/>
      <c r="AF273" s="52"/>
      <c r="AG273" s="67"/>
      <c r="AI273" s="61" t="str">
        <f>IFERROR(IF(AF273-AF272&lt;=0,"",AH273/SQRT(Таблица_pr5[[#This Row],[Удельное сопротивление грунта, Ом·м]])),AH273/SQRT(Таблица_pr5[[#This Row],[Удельное сопротивление грунта, Ом·м]]))</f>
        <v/>
      </c>
      <c r="AK273" s="55"/>
      <c r="AL273" s="52"/>
      <c r="AM273" s="67"/>
      <c r="AN273" s="61" t="str">
        <f t="shared" si="29"/>
        <v/>
      </c>
      <c r="AO273" s="61" t="str">
        <f>IFERROR(IF(AL273-AL272&lt;=0,"",AN273/SQRT(Таблица_pr6[[#This Row],[Удельное сопротивление грунта, Ом·м]])),AN273/SQRT(Таблица_pr6[[#This Row],[Удельное сопротивление грунта, Ом·м]]))</f>
        <v/>
      </c>
      <c r="AQ273" s="55"/>
      <c r="AR273" s="52"/>
      <c r="AS273" s="67"/>
      <c r="AU273" s="61" t="str">
        <f>IFERROR(IF(AR273-AR272&lt;=0,"",AT273/SQRT(Таблица_pr7[[#This Row],[Удельное сопротивление грунта, Ом·м]])),AT273/SQRT(Таблица_pr7[[#This Row],[Удельное сопротивление грунта, Ом·м]]))</f>
        <v/>
      </c>
      <c r="AW273" s="55"/>
      <c r="AX273" s="52"/>
      <c r="AY273" s="67"/>
      <c r="AZ273" s="61" t="str">
        <f t="shared" si="30"/>
        <v/>
      </c>
      <c r="BA273" s="61" t="str">
        <f>IFERROR(IF(AX273-AX272&lt;=0,"",AZ273/SQRT(Таблица_pr8[[#This Row],[Удельное сопротивление грунта, Ом·м]])),AZ273/SQRT(Таблица_pr8[[#This Row],[Удельное сопротивление грунта, Ом·м]]))</f>
        <v/>
      </c>
      <c r="BC273" s="55"/>
      <c r="BD273" s="52"/>
      <c r="BE273" s="67"/>
      <c r="BG273" s="61" t="str">
        <f>IFERROR(IF(BD273-AX292&lt;=0,"",BF273/SQRT(Таблица_pr9[[#This Row],[Удельное сопротивление грунта, Ом·м]])),BF273/SQRT(Таблица_pr9[[#This Row],[Удельное сопротивление грунта, Ом·м]]))</f>
        <v/>
      </c>
      <c r="BI273" s="55"/>
      <c r="BJ273" s="52"/>
      <c r="BK273" s="67"/>
      <c r="BM273" s="61" t="str">
        <f>IFERROR(IF(BJ273-BD302&lt;=0,"",BL273/SQRT(Таблица_pr10[[#This Row],[Удельное сопротивление грунта, Ом·м]])),BL273/SQRT(Таблица_pr10[[#This Row],[Удельное сопротивление грунта, Ом·м]]))</f>
        <v/>
      </c>
    </row>
    <row r="274" spans="1:65">
      <c r="A274" s="64">
        <v>269</v>
      </c>
      <c r="B274" s="52">
        <v>523.40000000000612</v>
      </c>
      <c r="C274" s="67">
        <v>47.3</v>
      </c>
      <c r="D274" s="61">
        <f t="shared" si="25"/>
        <v>100.00000000002274</v>
      </c>
      <c r="E274" s="61">
        <f>IFERROR(IF(B274-B273&lt;=0,"",D274/SQRT(Таблица_pr[[#This Row],[Удельное сопротивление грунта, Ом·м]])),D274/SQRT(Таблица_pr[[#This Row],[Удельное сопротивление грунта, Ом·м]]))</f>
        <v>14.540168172560938</v>
      </c>
      <c r="G274" s="188">
        <v>269</v>
      </c>
      <c r="H274" s="184">
        <v>523.40000000000612</v>
      </c>
      <c r="I274" s="187">
        <v>47.3</v>
      </c>
      <c r="J274" s="181">
        <f t="shared" si="26"/>
        <v>100.00000000002274</v>
      </c>
      <c r="K274" s="61">
        <f>IFERROR(IF(H274-H273&lt;=0,"",J274/SQRT(Таблица_pr1[[#This Row],[Удельное сопротивление грунта, Ом·м]])),J274/SQRT(Таблица_pr1[[#This Row],[Удельное сопротивление грунта, Ом·м]]))</f>
        <v>14.540168172560938</v>
      </c>
      <c r="M274" s="55"/>
      <c r="N274" s="52"/>
      <c r="O274" s="67"/>
      <c r="P274" s="61" t="str">
        <f t="shared" si="27"/>
        <v/>
      </c>
      <c r="Q274" s="61" t="str">
        <f>IFERROR(IF(N274-N273&lt;=0,"",P274/SQRT(Таблица_pr2[[#This Row],[Удельное сопротивление грунта, Ом·м]])),P274/SQRT(Таблица_pr2[[#This Row],[Удельное сопротивление грунта, Ом·м]]))</f>
        <v/>
      </c>
      <c r="S274" s="55"/>
      <c r="T274" s="52"/>
      <c r="U274" s="67"/>
      <c r="W274" s="61" t="str">
        <f>IFERROR(IF(T274-T273&lt;=0,"",V274/SQRT(Таблица_pr3[[#This Row],[Удельное сопротивление грунта, Ом·м]])),V274/SQRT(Таблица_pr3[[#This Row],[Удельное сопротивление грунта, Ом·м]]))</f>
        <v/>
      </c>
      <c r="Y274" s="55"/>
      <c r="Z274" s="52"/>
      <c r="AA274" s="67"/>
      <c r="AB274" s="61" t="str">
        <f t="shared" si="28"/>
        <v/>
      </c>
      <c r="AC274" s="61" t="str">
        <f>IFERROR(IF(Z274-Z273&lt;=0,"",AB274/SQRT(Таблица_pr4[[#This Row],[Удельное сопротивление грунта, Ом·м]])),AB274/SQRT(Таблица_pr4[[#This Row],[Удельное сопротивление грунта, Ом·м]]))</f>
        <v/>
      </c>
      <c r="AE274" s="55"/>
      <c r="AF274" s="52"/>
      <c r="AG274" s="67"/>
      <c r="AI274" s="61" t="str">
        <f>IFERROR(IF(AF274-AF273&lt;=0,"",AH274/SQRT(Таблица_pr5[[#This Row],[Удельное сопротивление грунта, Ом·м]])),AH274/SQRT(Таблица_pr5[[#This Row],[Удельное сопротивление грунта, Ом·м]]))</f>
        <v/>
      </c>
      <c r="AK274" s="55"/>
      <c r="AL274" s="52"/>
      <c r="AM274" s="67"/>
      <c r="AN274" s="61" t="str">
        <f t="shared" si="29"/>
        <v/>
      </c>
      <c r="AO274" s="61" t="str">
        <f>IFERROR(IF(AL274-AL273&lt;=0,"",AN274/SQRT(Таблица_pr6[[#This Row],[Удельное сопротивление грунта, Ом·м]])),AN274/SQRT(Таблица_pr6[[#This Row],[Удельное сопротивление грунта, Ом·м]]))</f>
        <v/>
      </c>
      <c r="AQ274" s="55"/>
      <c r="AR274" s="52"/>
      <c r="AS274" s="67"/>
      <c r="AU274" s="61" t="str">
        <f>IFERROR(IF(AR274-AR273&lt;=0,"",AT274/SQRT(Таблица_pr7[[#This Row],[Удельное сопротивление грунта, Ом·м]])),AT274/SQRT(Таблица_pr7[[#This Row],[Удельное сопротивление грунта, Ом·м]]))</f>
        <v/>
      </c>
      <c r="AW274" s="55"/>
      <c r="AX274" s="52"/>
      <c r="AY274" s="67"/>
      <c r="AZ274" s="61" t="str">
        <f t="shared" si="30"/>
        <v/>
      </c>
      <c r="BA274" s="61" t="str">
        <f>IFERROR(IF(AX274-AX273&lt;=0,"",AZ274/SQRT(Таблица_pr8[[#This Row],[Удельное сопротивление грунта, Ом·м]])),AZ274/SQRT(Таблица_pr8[[#This Row],[Удельное сопротивление грунта, Ом·м]]))</f>
        <v/>
      </c>
      <c r="BC274" s="55"/>
      <c r="BD274" s="52"/>
      <c r="BE274" s="67"/>
      <c r="BG274" s="61" t="str">
        <f>IFERROR(IF(BD274-AX293&lt;=0,"",BF274/SQRT(Таблица_pr9[[#This Row],[Удельное сопротивление грунта, Ом·м]])),BF274/SQRT(Таблица_pr9[[#This Row],[Удельное сопротивление грунта, Ом·м]]))</f>
        <v/>
      </c>
      <c r="BI274" s="55"/>
      <c r="BJ274" s="52"/>
      <c r="BK274" s="67"/>
      <c r="BM274" s="61" t="str">
        <f>IFERROR(IF(BJ274-BD303&lt;=0,"",BL274/SQRT(Таблица_pr10[[#This Row],[Удельное сопротивление грунта, Ом·м]])),BL274/SQRT(Таблица_pr10[[#This Row],[Удельное сопротивление грунта, Ом·м]]))</f>
        <v/>
      </c>
    </row>
    <row r="275" spans="1:65">
      <c r="A275" s="64">
        <v>270</v>
      </c>
      <c r="B275" s="52">
        <v>523.50000000000614</v>
      </c>
      <c r="C275" s="67">
        <v>52.7</v>
      </c>
      <c r="D275" s="61">
        <f t="shared" si="25"/>
        <v>100.00000000002274</v>
      </c>
      <c r="E275" s="61">
        <f>IFERROR(IF(B275-B274&lt;=0,"",D275/SQRT(Таблица_pr[[#This Row],[Удельное сопротивление грунта, Ом·м]])),D275/SQRT(Таблица_pr[[#This Row],[Удельное сопротивление грунта, Ом·м]]))</f>
        <v>13.775097846592532</v>
      </c>
      <c r="G275" s="189">
        <v>270</v>
      </c>
      <c r="H275" s="185">
        <v>523.50000000000614</v>
      </c>
      <c r="I275" s="186">
        <v>52.7</v>
      </c>
      <c r="J275" s="180">
        <f t="shared" si="26"/>
        <v>100.00000000002274</v>
      </c>
      <c r="K275" s="61">
        <f>IFERROR(IF(H275-H274&lt;=0,"",J275/SQRT(Таблица_pr1[[#This Row],[Удельное сопротивление грунта, Ом·м]])),J275/SQRT(Таблица_pr1[[#This Row],[Удельное сопротивление грунта, Ом·м]]))</f>
        <v>13.775097846592532</v>
      </c>
      <c r="M275" s="55"/>
      <c r="N275" s="52"/>
      <c r="O275" s="67"/>
      <c r="P275" s="61" t="str">
        <f t="shared" si="27"/>
        <v/>
      </c>
      <c r="Q275" s="61" t="str">
        <f>IFERROR(IF(N275-N274&lt;=0,"",P275/SQRT(Таблица_pr2[[#This Row],[Удельное сопротивление грунта, Ом·м]])),P275/SQRT(Таблица_pr2[[#This Row],[Удельное сопротивление грунта, Ом·м]]))</f>
        <v/>
      </c>
      <c r="S275" s="55"/>
      <c r="T275" s="52"/>
      <c r="U275" s="67"/>
      <c r="W275" s="61" t="str">
        <f>IFERROR(IF(T275-T274&lt;=0,"",V275/SQRT(Таблица_pr3[[#This Row],[Удельное сопротивление грунта, Ом·м]])),V275/SQRT(Таблица_pr3[[#This Row],[Удельное сопротивление грунта, Ом·м]]))</f>
        <v/>
      </c>
      <c r="Y275" s="55"/>
      <c r="Z275" s="52"/>
      <c r="AA275" s="67"/>
      <c r="AB275" s="61" t="str">
        <f t="shared" si="28"/>
        <v/>
      </c>
      <c r="AC275" s="61" t="str">
        <f>IFERROR(IF(Z275-Z274&lt;=0,"",AB275/SQRT(Таблица_pr4[[#This Row],[Удельное сопротивление грунта, Ом·м]])),AB275/SQRT(Таблица_pr4[[#This Row],[Удельное сопротивление грунта, Ом·м]]))</f>
        <v/>
      </c>
      <c r="AE275" s="55"/>
      <c r="AF275" s="52"/>
      <c r="AG275" s="67"/>
      <c r="AI275" s="61" t="str">
        <f>IFERROR(IF(AF275-AF274&lt;=0,"",AH275/SQRT(Таблица_pr5[[#This Row],[Удельное сопротивление грунта, Ом·м]])),AH275/SQRT(Таблица_pr5[[#This Row],[Удельное сопротивление грунта, Ом·м]]))</f>
        <v/>
      </c>
      <c r="AK275" s="55"/>
      <c r="AL275" s="52"/>
      <c r="AM275" s="67"/>
      <c r="AN275" s="61" t="str">
        <f t="shared" si="29"/>
        <v/>
      </c>
      <c r="AO275" s="61" t="str">
        <f>IFERROR(IF(AL275-AL274&lt;=0,"",AN275/SQRT(Таблица_pr6[[#This Row],[Удельное сопротивление грунта, Ом·м]])),AN275/SQRT(Таблица_pr6[[#This Row],[Удельное сопротивление грунта, Ом·м]]))</f>
        <v/>
      </c>
      <c r="AQ275" s="55"/>
      <c r="AR275" s="52"/>
      <c r="AS275" s="67"/>
      <c r="AU275" s="61" t="str">
        <f>IFERROR(IF(AR275-AR274&lt;=0,"",AT275/SQRT(Таблица_pr7[[#This Row],[Удельное сопротивление грунта, Ом·м]])),AT275/SQRT(Таблица_pr7[[#This Row],[Удельное сопротивление грунта, Ом·м]]))</f>
        <v/>
      </c>
      <c r="AW275" s="55"/>
      <c r="AX275" s="52"/>
      <c r="AY275" s="67"/>
      <c r="AZ275" s="61" t="str">
        <f t="shared" si="30"/>
        <v/>
      </c>
      <c r="BA275" s="61" t="str">
        <f>IFERROR(IF(AX275-AX274&lt;=0,"",AZ275/SQRT(Таблица_pr8[[#This Row],[Удельное сопротивление грунта, Ом·м]])),AZ275/SQRT(Таблица_pr8[[#This Row],[Удельное сопротивление грунта, Ом·м]]))</f>
        <v/>
      </c>
      <c r="BC275" s="55"/>
      <c r="BD275" s="52"/>
      <c r="BE275" s="67"/>
      <c r="BG275" s="61" t="str">
        <f>IFERROR(IF(BD275-AX294&lt;=0,"",BF275/SQRT(Таблица_pr9[[#This Row],[Удельное сопротивление грунта, Ом·м]])),BF275/SQRT(Таблица_pr9[[#This Row],[Удельное сопротивление грунта, Ом·м]]))</f>
        <v/>
      </c>
      <c r="BI275" s="55"/>
      <c r="BJ275" s="52"/>
      <c r="BK275" s="67"/>
      <c r="BM275" s="61" t="str">
        <f>IFERROR(IF(BJ275-BD304&lt;=0,"",BL275/SQRT(Таблица_pr10[[#This Row],[Удельное сопротивление грунта, Ом·м]])),BL275/SQRT(Таблица_pr10[[#This Row],[Удельное сопротивление грунта, Ом·м]]))</f>
        <v/>
      </c>
    </row>
    <row r="276" spans="1:65">
      <c r="A276" s="64">
        <v>271</v>
      </c>
      <c r="B276" s="52">
        <v>523.60000000000616</v>
      </c>
      <c r="C276" s="67">
        <v>53.4</v>
      </c>
      <c r="D276" s="61">
        <f t="shared" si="25"/>
        <v>100.00000000002274</v>
      </c>
      <c r="E276" s="61">
        <f>IFERROR(IF(B276-B275&lt;=0,"",D276/SQRT(Таблица_pr[[#This Row],[Удельное сопротивление грунта, Ом·м]])),D276/SQRT(Таблица_pr[[#This Row],[Удельное сопротивление грунта, Ом·м]]))</f>
        <v>13.684513787602445</v>
      </c>
      <c r="G276" s="188">
        <v>271</v>
      </c>
      <c r="H276" s="184">
        <v>523.60000000000616</v>
      </c>
      <c r="I276" s="187">
        <v>53.4</v>
      </c>
      <c r="J276" s="181">
        <f t="shared" si="26"/>
        <v>100.00000000002274</v>
      </c>
      <c r="K276" s="61">
        <f>IFERROR(IF(H276-H275&lt;=0,"",J276/SQRT(Таблица_pr1[[#This Row],[Удельное сопротивление грунта, Ом·м]])),J276/SQRT(Таблица_pr1[[#This Row],[Удельное сопротивление грунта, Ом·м]]))</f>
        <v>13.684513787602445</v>
      </c>
      <c r="M276" s="55"/>
      <c r="N276" s="52"/>
      <c r="O276" s="67"/>
      <c r="P276" s="61" t="str">
        <f t="shared" si="27"/>
        <v/>
      </c>
      <c r="Q276" s="61" t="str">
        <f>IFERROR(IF(N276-N275&lt;=0,"",P276/SQRT(Таблица_pr2[[#This Row],[Удельное сопротивление грунта, Ом·м]])),P276/SQRT(Таблица_pr2[[#This Row],[Удельное сопротивление грунта, Ом·м]]))</f>
        <v/>
      </c>
      <c r="S276" s="55"/>
      <c r="T276" s="52"/>
      <c r="U276" s="67"/>
      <c r="W276" s="61" t="str">
        <f>IFERROR(IF(T276-T275&lt;=0,"",V276/SQRT(Таблица_pr3[[#This Row],[Удельное сопротивление грунта, Ом·м]])),V276/SQRT(Таблица_pr3[[#This Row],[Удельное сопротивление грунта, Ом·м]]))</f>
        <v/>
      </c>
      <c r="Y276" s="55"/>
      <c r="Z276" s="52"/>
      <c r="AA276" s="67"/>
      <c r="AB276" s="61" t="str">
        <f t="shared" si="28"/>
        <v/>
      </c>
      <c r="AC276" s="61" t="str">
        <f>IFERROR(IF(Z276-Z275&lt;=0,"",AB276/SQRT(Таблица_pr4[[#This Row],[Удельное сопротивление грунта, Ом·м]])),AB276/SQRT(Таблица_pr4[[#This Row],[Удельное сопротивление грунта, Ом·м]]))</f>
        <v/>
      </c>
      <c r="AE276" s="55"/>
      <c r="AF276" s="52"/>
      <c r="AG276" s="67"/>
      <c r="AI276" s="61" t="str">
        <f>IFERROR(IF(AF276-AF275&lt;=0,"",AH276/SQRT(Таблица_pr5[[#This Row],[Удельное сопротивление грунта, Ом·м]])),AH276/SQRT(Таблица_pr5[[#This Row],[Удельное сопротивление грунта, Ом·м]]))</f>
        <v/>
      </c>
      <c r="AK276" s="55"/>
      <c r="AL276" s="52"/>
      <c r="AM276" s="67"/>
      <c r="AN276" s="61" t="str">
        <f t="shared" si="29"/>
        <v/>
      </c>
      <c r="AO276" s="61" t="str">
        <f>IFERROR(IF(AL276-AL275&lt;=0,"",AN276/SQRT(Таблица_pr6[[#This Row],[Удельное сопротивление грунта, Ом·м]])),AN276/SQRT(Таблица_pr6[[#This Row],[Удельное сопротивление грунта, Ом·м]]))</f>
        <v/>
      </c>
      <c r="AQ276" s="55"/>
      <c r="AR276" s="52"/>
      <c r="AS276" s="67"/>
      <c r="AU276" s="61" t="str">
        <f>IFERROR(IF(AR276-AR275&lt;=0,"",AT276/SQRT(Таблица_pr7[[#This Row],[Удельное сопротивление грунта, Ом·м]])),AT276/SQRT(Таблица_pr7[[#This Row],[Удельное сопротивление грунта, Ом·м]]))</f>
        <v/>
      </c>
      <c r="AW276" s="55"/>
      <c r="AX276" s="52"/>
      <c r="AY276" s="67"/>
      <c r="AZ276" s="61" t="str">
        <f t="shared" si="30"/>
        <v/>
      </c>
      <c r="BA276" s="61" t="str">
        <f>IFERROR(IF(AX276-AX275&lt;=0,"",AZ276/SQRT(Таблица_pr8[[#This Row],[Удельное сопротивление грунта, Ом·м]])),AZ276/SQRT(Таблица_pr8[[#This Row],[Удельное сопротивление грунта, Ом·м]]))</f>
        <v/>
      </c>
      <c r="BC276" s="55"/>
      <c r="BD276" s="52"/>
      <c r="BE276" s="67"/>
      <c r="BG276" s="61" t="str">
        <f>IFERROR(IF(BD276-AX295&lt;=0,"",BF276/SQRT(Таблица_pr9[[#This Row],[Удельное сопротивление грунта, Ом·м]])),BF276/SQRT(Таблица_pr9[[#This Row],[Удельное сопротивление грунта, Ом·м]]))</f>
        <v/>
      </c>
      <c r="BI276" s="55"/>
      <c r="BJ276" s="52"/>
      <c r="BK276" s="67"/>
      <c r="BM276" s="61" t="str">
        <f>IFERROR(IF(BJ276-BD305&lt;=0,"",BL276/SQRT(Таблица_pr10[[#This Row],[Удельное сопротивление грунта, Ом·м]])),BL276/SQRT(Таблица_pr10[[#This Row],[Удельное сопротивление грунта, Ом·м]]))</f>
        <v/>
      </c>
    </row>
    <row r="277" spans="1:65">
      <c r="A277" s="64">
        <v>272</v>
      </c>
      <c r="B277" s="52">
        <v>523.70000000000618</v>
      </c>
      <c r="C277" s="67">
        <v>55.1</v>
      </c>
      <c r="D277" s="61">
        <f t="shared" si="25"/>
        <v>100.00000000002274</v>
      </c>
      <c r="E277" s="61">
        <f>IFERROR(IF(B277-B276&lt;=0,"",D277/SQRT(Таблица_pr[[#This Row],[Удельное сопротивление грунта, Ом·м]])),D277/SQRT(Таблица_pr[[#This Row],[Удельное сопротивление грунта, Ом·м]]))</f>
        <v>13.471755760362869</v>
      </c>
      <c r="G277" s="189">
        <v>272</v>
      </c>
      <c r="H277" s="185">
        <v>523.70000000000618</v>
      </c>
      <c r="I277" s="186">
        <v>55.1</v>
      </c>
      <c r="J277" s="180">
        <f t="shared" si="26"/>
        <v>100.00000000002274</v>
      </c>
      <c r="K277" s="61">
        <f>IFERROR(IF(H277-H276&lt;=0,"",J277/SQRT(Таблица_pr1[[#This Row],[Удельное сопротивление грунта, Ом·м]])),J277/SQRT(Таблица_pr1[[#This Row],[Удельное сопротивление грунта, Ом·м]]))</f>
        <v>13.471755760362869</v>
      </c>
      <c r="M277" s="55"/>
      <c r="N277" s="52"/>
      <c r="O277" s="67"/>
      <c r="P277" s="61" t="str">
        <f t="shared" si="27"/>
        <v/>
      </c>
      <c r="Q277" s="61" t="str">
        <f>IFERROR(IF(N277-N276&lt;=0,"",P277/SQRT(Таблица_pr2[[#This Row],[Удельное сопротивление грунта, Ом·м]])),P277/SQRT(Таблица_pr2[[#This Row],[Удельное сопротивление грунта, Ом·м]]))</f>
        <v/>
      </c>
      <c r="S277" s="55"/>
      <c r="T277" s="52"/>
      <c r="U277" s="67"/>
      <c r="W277" s="61" t="str">
        <f>IFERROR(IF(T277-T276&lt;=0,"",V277/SQRT(Таблица_pr3[[#This Row],[Удельное сопротивление грунта, Ом·м]])),V277/SQRT(Таблица_pr3[[#This Row],[Удельное сопротивление грунта, Ом·м]]))</f>
        <v/>
      </c>
      <c r="Y277" s="55"/>
      <c r="Z277" s="52"/>
      <c r="AA277" s="67"/>
      <c r="AB277" s="61" t="str">
        <f t="shared" si="28"/>
        <v/>
      </c>
      <c r="AC277" s="61" t="str">
        <f>IFERROR(IF(Z277-Z276&lt;=0,"",AB277/SQRT(Таблица_pr4[[#This Row],[Удельное сопротивление грунта, Ом·м]])),AB277/SQRT(Таблица_pr4[[#This Row],[Удельное сопротивление грунта, Ом·м]]))</f>
        <v/>
      </c>
      <c r="AE277" s="55"/>
      <c r="AF277" s="52"/>
      <c r="AG277" s="67"/>
      <c r="AI277" s="61" t="str">
        <f>IFERROR(IF(AF277-AF276&lt;=0,"",AH277/SQRT(Таблица_pr5[[#This Row],[Удельное сопротивление грунта, Ом·м]])),AH277/SQRT(Таблица_pr5[[#This Row],[Удельное сопротивление грунта, Ом·м]]))</f>
        <v/>
      </c>
      <c r="AK277" s="55"/>
      <c r="AL277" s="52"/>
      <c r="AM277" s="67"/>
      <c r="AN277" s="61" t="str">
        <f t="shared" si="29"/>
        <v/>
      </c>
      <c r="AO277" s="61" t="str">
        <f>IFERROR(IF(AL277-AL276&lt;=0,"",AN277/SQRT(Таблица_pr6[[#This Row],[Удельное сопротивление грунта, Ом·м]])),AN277/SQRT(Таблица_pr6[[#This Row],[Удельное сопротивление грунта, Ом·м]]))</f>
        <v/>
      </c>
      <c r="AQ277" s="55"/>
      <c r="AR277" s="52"/>
      <c r="AS277" s="67"/>
      <c r="AU277" s="61" t="str">
        <f>IFERROR(IF(AR277-AR276&lt;=0,"",AT277/SQRT(Таблица_pr7[[#This Row],[Удельное сопротивление грунта, Ом·м]])),AT277/SQRT(Таблица_pr7[[#This Row],[Удельное сопротивление грунта, Ом·м]]))</f>
        <v/>
      </c>
      <c r="AW277" s="55"/>
      <c r="AX277" s="52"/>
      <c r="AY277" s="67"/>
      <c r="AZ277" s="61" t="str">
        <f t="shared" si="30"/>
        <v/>
      </c>
      <c r="BA277" s="61" t="str">
        <f>IFERROR(IF(AX277-AX276&lt;=0,"",AZ277/SQRT(Таблица_pr8[[#This Row],[Удельное сопротивление грунта, Ом·м]])),AZ277/SQRT(Таблица_pr8[[#This Row],[Удельное сопротивление грунта, Ом·м]]))</f>
        <v/>
      </c>
      <c r="BC277" s="55"/>
      <c r="BD277" s="52"/>
      <c r="BE277" s="67"/>
      <c r="BG277" s="61" t="str">
        <f>IFERROR(IF(BD277-AX296&lt;=0,"",BF277/SQRT(Таблица_pr9[[#This Row],[Удельное сопротивление грунта, Ом·м]])),BF277/SQRT(Таблица_pr9[[#This Row],[Удельное сопротивление грунта, Ом·м]]))</f>
        <v/>
      </c>
      <c r="BI277" s="55"/>
      <c r="BJ277" s="52"/>
      <c r="BK277" s="67"/>
      <c r="BM277" s="61" t="str">
        <f>IFERROR(IF(BJ277-BD306&lt;=0,"",BL277/SQRT(Таблица_pr10[[#This Row],[Удельное сопротивление грунта, Ом·м]])),BL277/SQRT(Таблица_pr10[[#This Row],[Удельное сопротивление грунта, Ом·м]]))</f>
        <v/>
      </c>
    </row>
    <row r="278" spans="1:65">
      <c r="A278" s="64">
        <v>273</v>
      </c>
      <c r="B278" s="52">
        <v>523.80000000000621</v>
      </c>
      <c r="C278" s="67">
        <v>49</v>
      </c>
      <c r="D278" s="61">
        <f t="shared" si="25"/>
        <v>100.00000000002274</v>
      </c>
      <c r="E278" s="61">
        <f>IFERROR(IF(B278-B277&lt;=0,"",D278/SQRT(Таблица_pr[[#This Row],[Удельное сопротивление грунта, Ом·м]])),D278/SQRT(Таблица_pr[[#This Row],[Удельное сопротивление грунта, Ом·м]]))</f>
        <v>14.285714285717534</v>
      </c>
      <c r="G278" s="188">
        <v>273</v>
      </c>
      <c r="H278" s="184">
        <v>523.80000000000621</v>
      </c>
      <c r="I278" s="187">
        <v>49</v>
      </c>
      <c r="J278" s="181">
        <f t="shared" si="26"/>
        <v>100.00000000002274</v>
      </c>
      <c r="K278" s="61">
        <f>IFERROR(IF(H278-H277&lt;=0,"",J278/SQRT(Таблица_pr1[[#This Row],[Удельное сопротивление грунта, Ом·м]])),J278/SQRT(Таблица_pr1[[#This Row],[Удельное сопротивление грунта, Ом·м]]))</f>
        <v>14.285714285717534</v>
      </c>
      <c r="M278" s="55"/>
      <c r="N278" s="52"/>
      <c r="O278" s="67"/>
      <c r="P278" s="61" t="str">
        <f t="shared" si="27"/>
        <v/>
      </c>
      <c r="Q278" s="61" t="str">
        <f>IFERROR(IF(N278-N277&lt;=0,"",P278/SQRT(Таблица_pr2[[#This Row],[Удельное сопротивление грунта, Ом·м]])),P278/SQRT(Таблица_pr2[[#This Row],[Удельное сопротивление грунта, Ом·м]]))</f>
        <v/>
      </c>
      <c r="S278" s="55"/>
      <c r="T278" s="52"/>
      <c r="U278" s="67"/>
      <c r="W278" s="61" t="str">
        <f>IFERROR(IF(T278-T277&lt;=0,"",V278/SQRT(Таблица_pr3[[#This Row],[Удельное сопротивление грунта, Ом·м]])),V278/SQRT(Таблица_pr3[[#This Row],[Удельное сопротивление грунта, Ом·м]]))</f>
        <v/>
      </c>
      <c r="Y278" s="55"/>
      <c r="Z278" s="52"/>
      <c r="AA278" s="67"/>
      <c r="AB278" s="61" t="str">
        <f t="shared" si="28"/>
        <v/>
      </c>
      <c r="AC278" s="61" t="str">
        <f>IFERROR(IF(Z278-Z277&lt;=0,"",AB278/SQRT(Таблица_pr4[[#This Row],[Удельное сопротивление грунта, Ом·м]])),AB278/SQRT(Таблица_pr4[[#This Row],[Удельное сопротивление грунта, Ом·м]]))</f>
        <v/>
      </c>
      <c r="AE278" s="55"/>
      <c r="AF278" s="52"/>
      <c r="AG278" s="67"/>
      <c r="AI278" s="61" t="str">
        <f>IFERROR(IF(AF278-AF277&lt;=0,"",AH278/SQRT(Таблица_pr5[[#This Row],[Удельное сопротивление грунта, Ом·м]])),AH278/SQRT(Таблица_pr5[[#This Row],[Удельное сопротивление грунта, Ом·м]]))</f>
        <v/>
      </c>
      <c r="AK278" s="55"/>
      <c r="AL278" s="52"/>
      <c r="AM278" s="67"/>
      <c r="AN278" s="61" t="str">
        <f t="shared" si="29"/>
        <v/>
      </c>
      <c r="AO278" s="61" t="str">
        <f>IFERROR(IF(AL278-AL277&lt;=0,"",AN278/SQRT(Таблица_pr6[[#This Row],[Удельное сопротивление грунта, Ом·м]])),AN278/SQRT(Таблица_pr6[[#This Row],[Удельное сопротивление грунта, Ом·м]]))</f>
        <v/>
      </c>
      <c r="AQ278" s="55"/>
      <c r="AR278" s="52"/>
      <c r="AS278" s="67"/>
      <c r="AU278" s="61" t="str">
        <f>IFERROR(IF(AR278-AR277&lt;=0,"",AT278/SQRT(Таблица_pr7[[#This Row],[Удельное сопротивление грунта, Ом·м]])),AT278/SQRT(Таблица_pr7[[#This Row],[Удельное сопротивление грунта, Ом·м]]))</f>
        <v/>
      </c>
      <c r="AW278" s="55"/>
      <c r="AX278" s="52"/>
      <c r="AY278" s="67"/>
      <c r="AZ278" s="61" t="str">
        <f t="shared" si="30"/>
        <v/>
      </c>
      <c r="BA278" s="61" t="str">
        <f>IFERROR(IF(AX278-AX277&lt;=0,"",AZ278/SQRT(Таблица_pr8[[#This Row],[Удельное сопротивление грунта, Ом·м]])),AZ278/SQRT(Таблица_pr8[[#This Row],[Удельное сопротивление грунта, Ом·м]]))</f>
        <v/>
      </c>
      <c r="BC278" s="55"/>
      <c r="BD278" s="52"/>
      <c r="BE278" s="67"/>
      <c r="BG278" s="61" t="str">
        <f>IFERROR(IF(BD278-AX297&lt;=0,"",BF278/SQRT(Таблица_pr9[[#This Row],[Удельное сопротивление грунта, Ом·м]])),BF278/SQRT(Таблица_pr9[[#This Row],[Удельное сопротивление грунта, Ом·м]]))</f>
        <v/>
      </c>
      <c r="BI278" s="55"/>
      <c r="BJ278" s="52"/>
      <c r="BK278" s="67"/>
      <c r="BM278" s="61" t="str">
        <f>IFERROR(IF(BJ278-BD307&lt;=0,"",BL278/SQRT(Таблица_pr10[[#This Row],[Удельное сопротивление грунта, Ом·м]])),BL278/SQRT(Таблица_pr10[[#This Row],[Удельное сопротивление грунта, Ом·м]]))</f>
        <v/>
      </c>
    </row>
    <row r="279" spans="1:65">
      <c r="A279" s="64">
        <v>274</v>
      </c>
      <c r="B279" s="52">
        <v>523.90000000000623</v>
      </c>
      <c r="C279" s="67">
        <v>51.2</v>
      </c>
      <c r="D279" s="61">
        <f t="shared" si="25"/>
        <v>100.00000000002274</v>
      </c>
      <c r="E279" s="61">
        <f>IFERROR(IF(B279-B278&lt;=0,"",D279/SQRT(Таблица_pr[[#This Row],[Удельное сопротивление грунта, Ом·м]])),D279/SQRT(Таблица_pr[[#This Row],[Удельное сопротивление грунта, Ом·м]]))</f>
        <v>13.975424859376863</v>
      </c>
      <c r="G279" s="189">
        <v>274</v>
      </c>
      <c r="H279" s="185">
        <v>523.90000000000623</v>
      </c>
      <c r="I279" s="186">
        <v>51.2</v>
      </c>
      <c r="J279" s="180">
        <f t="shared" si="26"/>
        <v>100.00000000002274</v>
      </c>
      <c r="K279" s="61">
        <f>IFERROR(IF(H279-H278&lt;=0,"",J279/SQRT(Таблица_pr1[[#This Row],[Удельное сопротивление грунта, Ом·м]])),J279/SQRT(Таблица_pr1[[#This Row],[Удельное сопротивление грунта, Ом·м]]))</f>
        <v>13.975424859376863</v>
      </c>
      <c r="M279" s="55"/>
      <c r="N279" s="52"/>
      <c r="O279" s="67"/>
      <c r="P279" s="61" t="str">
        <f t="shared" si="27"/>
        <v/>
      </c>
      <c r="Q279" s="61" t="str">
        <f>IFERROR(IF(N279-N278&lt;=0,"",P279/SQRT(Таблица_pr2[[#This Row],[Удельное сопротивление грунта, Ом·м]])),P279/SQRT(Таблица_pr2[[#This Row],[Удельное сопротивление грунта, Ом·м]]))</f>
        <v/>
      </c>
      <c r="S279" s="55"/>
      <c r="T279" s="52"/>
      <c r="U279" s="67"/>
      <c r="W279" s="61" t="str">
        <f>IFERROR(IF(T279-T278&lt;=0,"",V279/SQRT(Таблица_pr3[[#This Row],[Удельное сопротивление грунта, Ом·м]])),V279/SQRT(Таблица_pr3[[#This Row],[Удельное сопротивление грунта, Ом·м]]))</f>
        <v/>
      </c>
      <c r="Y279" s="55"/>
      <c r="Z279" s="52"/>
      <c r="AA279" s="67"/>
      <c r="AB279" s="61" t="str">
        <f t="shared" si="28"/>
        <v/>
      </c>
      <c r="AC279" s="61" t="str">
        <f>IFERROR(IF(Z279-Z278&lt;=0,"",AB279/SQRT(Таблица_pr4[[#This Row],[Удельное сопротивление грунта, Ом·м]])),AB279/SQRT(Таблица_pr4[[#This Row],[Удельное сопротивление грунта, Ом·м]]))</f>
        <v/>
      </c>
      <c r="AE279" s="55"/>
      <c r="AF279" s="52"/>
      <c r="AG279" s="67"/>
      <c r="AI279" s="61" t="str">
        <f>IFERROR(IF(AF279-AF278&lt;=0,"",AH279/SQRT(Таблица_pr5[[#This Row],[Удельное сопротивление грунта, Ом·м]])),AH279/SQRT(Таблица_pr5[[#This Row],[Удельное сопротивление грунта, Ом·м]]))</f>
        <v/>
      </c>
      <c r="AK279" s="55"/>
      <c r="AL279" s="52"/>
      <c r="AM279" s="67"/>
      <c r="AN279" s="61" t="str">
        <f t="shared" si="29"/>
        <v/>
      </c>
      <c r="AO279" s="61" t="str">
        <f>IFERROR(IF(AL279-AL278&lt;=0,"",AN279/SQRT(Таблица_pr6[[#This Row],[Удельное сопротивление грунта, Ом·м]])),AN279/SQRT(Таблица_pr6[[#This Row],[Удельное сопротивление грунта, Ом·м]]))</f>
        <v/>
      </c>
      <c r="AQ279" s="55"/>
      <c r="AR279" s="52"/>
      <c r="AS279" s="67"/>
      <c r="AU279" s="61" t="str">
        <f>IFERROR(IF(AR279-AR278&lt;=0,"",AT279/SQRT(Таблица_pr7[[#This Row],[Удельное сопротивление грунта, Ом·м]])),AT279/SQRT(Таблица_pr7[[#This Row],[Удельное сопротивление грунта, Ом·м]]))</f>
        <v/>
      </c>
      <c r="AW279" s="55"/>
      <c r="AX279" s="52"/>
      <c r="AY279" s="67"/>
      <c r="AZ279" s="61" t="str">
        <f t="shared" si="30"/>
        <v/>
      </c>
      <c r="BA279" s="61" t="str">
        <f>IFERROR(IF(AX279-AX278&lt;=0,"",AZ279/SQRT(Таблица_pr8[[#This Row],[Удельное сопротивление грунта, Ом·м]])),AZ279/SQRT(Таблица_pr8[[#This Row],[Удельное сопротивление грунта, Ом·м]]))</f>
        <v/>
      </c>
      <c r="BC279" s="55"/>
      <c r="BD279" s="52"/>
      <c r="BE279" s="67"/>
      <c r="BG279" s="61" t="str">
        <f>IFERROR(IF(BD279-AX298&lt;=0,"",BF279/SQRT(Таблица_pr9[[#This Row],[Удельное сопротивление грунта, Ом·м]])),BF279/SQRT(Таблица_pr9[[#This Row],[Удельное сопротивление грунта, Ом·м]]))</f>
        <v/>
      </c>
      <c r="BI279" s="55"/>
      <c r="BJ279" s="52"/>
      <c r="BK279" s="67"/>
      <c r="BM279" s="61" t="str">
        <f>IFERROR(IF(BJ279-BD308&lt;=0,"",BL279/SQRT(Таблица_pr10[[#This Row],[Удельное сопротивление грунта, Ом·м]])),BL279/SQRT(Таблица_pr10[[#This Row],[Удельное сопротивление грунта, Ом·м]]))</f>
        <v/>
      </c>
    </row>
    <row r="280" spans="1:65">
      <c r="A280" s="64">
        <v>275</v>
      </c>
      <c r="B280" s="52">
        <v>524.00000000000625</v>
      </c>
      <c r="C280" s="67">
        <v>50.7</v>
      </c>
      <c r="D280" s="61">
        <f t="shared" si="25"/>
        <v>100.00000000002274</v>
      </c>
      <c r="E280" s="61">
        <f>IFERROR(IF(B280-B279&lt;=0,"",D280/SQRT(Таблица_pr[[#This Row],[Удельное сопротивление грунта, Ом·м]])),D280/SQRT(Таблица_pr[[#This Row],[Удельное сопротивление грунта, Ом·м]]))</f>
        <v>14.044168141161299</v>
      </c>
      <c r="G280" s="188">
        <v>275</v>
      </c>
      <c r="H280" s="184">
        <v>524.00000000000625</v>
      </c>
      <c r="I280" s="187">
        <v>50.7</v>
      </c>
      <c r="J280" s="181">
        <f t="shared" si="26"/>
        <v>100.00000000002274</v>
      </c>
      <c r="K280" s="61">
        <f>IFERROR(IF(H280-H279&lt;=0,"",J280/SQRT(Таблица_pr1[[#This Row],[Удельное сопротивление грунта, Ом·м]])),J280/SQRT(Таблица_pr1[[#This Row],[Удельное сопротивление грунта, Ом·м]]))</f>
        <v>14.044168141161299</v>
      </c>
      <c r="M280" s="55"/>
      <c r="N280" s="52"/>
      <c r="O280" s="67"/>
      <c r="P280" s="61" t="str">
        <f t="shared" si="27"/>
        <v/>
      </c>
      <c r="Q280" s="61" t="str">
        <f>IFERROR(IF(N280-N279&lt;=0,"",P280/SQRT(Таблица_pr2[[#This Row],[Удельное сопротивление грунта, Ом·м]])),P280/SQRT(Таблица_pr2[[#This Row],[Удельное сопротивление грунта, Ом·м]]))</f>
        <v/>
      </c>
      <c r="S280" s="55"/>
      <c r="T280" s="52"/>
      <c r="U280" s="67"/>
      <c r="W280" s="61" t="str">
        <f>IFERROR(IF(T280-T279&lt;=0,"",V280/SQRT(Таблица_pr3[[#This Row],[Удельное сопротивление грунта, Ом·м]])),V280/SQRT(Таблица_pr3[[#This Row],[Удельное сопротивление грунта, Ом·м]]))</f>
        <v/>
      </c>
      <c r="Y280" s="55"/>
      <c r="Z280" s="52"/>
      <c r="AA280" s="67"/>
      <c r="AB280" s="61" t="str">
        <f t="shared" si="28"/>
        <v/>
      </c>
      <c r="AC280" s="61" t="str">
        <f>IFERROR(IF(Z280-Z279&lt;=0,"",AB280/SQRT(Таблица_pr4[[#This Row],[Удельное сопротивление грунта, Ом·м]])),AB280/SQRT(Таблица_pr4[[#This Row],[Удельное сопротивление грунта, Ом·м]]))</f>
        <v/>
      </c>
      <c r="AE280" s="55"/>
      <c r="AF280" s="52"/>
      <c r="AG280" s="67"/>
      <c r="AI280" s="61" t="str">
        <f>IFERROR(IF(AF280-AF279&lt;=0,"",AH280/SQRT(Таблица_pr5[[#This Row],[Удельное сопротивление грунта, Ом·м]])),AH280/SQRT(Таблица_pr5[[#This Row],[Удельное сопротивление грунта, Ом·м]]))</f>
        <v/>
      </c>
      <c r="AK280" s="55"/>
      <c r="AL280" s="52"/>
      <c r="AM280" s="67"/>
      <c r="AN280" s="61" t="str">
        <f t="shared" si="29"/>
        <v/>
      </c>
      <c r="AO280" s="61" t="str">
        <f>IFERROR(IF(AL280-AL279&lt;=0,"",AN280/SQRT(Таблица_pr6[[#This Row],[Удельное сопротивление грунта, Ом·м]])),AN280/SQRT(Таблица_pr6[[#This Row],[Удельное сопротивление грунта, Ом·м]]))</f>
        <v/>
      </c>
      <c r="AQ280" s="55"/>
      <c r="AR280" s="52"/>
      <c r="AS280" s="67"/>
      <c r="AU280" s="61" t="str">
        <f>IFERROR(IF(AR280-AR279&lt;=0,"",AT280/SQRT(Таблица_pr7[[#This Row],[Удельное сопротивление грунта, Ом·м]])),AT280/SQRT(Таблица_pr7[[#This Row],[Удельное сопротивление грунта, Ом·м]]))</f>
        <v/>
      </c>
      <c r="AW280" s="55"/>
      <c r="AX280" s="52"/>
      <c r="AY280" s="67"/>
      <c r="AZ280" s="61" t="str">
        <f t="shared" si="30"/>
        <v/>
      </c>
      <c r="BA280" s="61" t="str">
        <f>IFERROR(IF(AX280-AX279&lt;=0,"",AZ280/SQRT(Таблица_pr8[[#This Row],[Удельное сопротивление грунта, Ом·м]])),AZ280/SQRT(Таблица_pr8[[#This Row],[Удельное сопротивление грунта, Ом·м]]))</f>
        <v/>
      </c>
      <c r="BC280" s="55"/>
      <c r="BD280" s="52"/>
      <c r="BE280" s="67"/>
      <c r="BG280" s="61" t="str">
        <f>IFERROR(IF(BD280-AX299&lt;=0,"",BF280/SQRT(Таблица_pr9[[#This Row],[Удельное сопротивление грунта, Ом·м]])),BF280/SQRT(Таблица_pr9[[#This Row],[Удельное сопротивление грунта, Ом·м]]))</f>
        <v/>
      </c>
      <c r="BI280" s="55"/>
      <c r="BJ280" s="52"/>
      <c r="BK280" s="67"/>
      <c r="BM280" s="61" t="str">
        <f>IFERROR(IF(BJ280-BD309&lt;=0,"",BL280/SQRT(Таблица_pr10[[#This Row],[Удельное сопротивление грунта, Ом·м]])),BL280/SQRT(Таблица_pr10[[#This Row],[Удельное сопротивление грунта, Ом·м]]))</f>
        <v/>
      </c>
    </row>
    <row r="281" spans="1:65">
      <c r="A281" s="64">
        <v>276</v>
      </c>
      <c r="B281" s="52">
        <v>524.10000000000628</v>
      </c>
      <c r="C281" s="67">
        <v>48.9</v>
      </c>
      <c r="D281" s="61">
        <f t="shared" si="25"/>
        <v>100.00000000002274</v>
      </c>
      <c r="E281" s="61">
        <f>IFERROR(IF(B281-B280&lt;=0,"",D281/SQRT(Таблица_pr[[#This Row],[Удельное сопротивление грунта, Ом·м]])),D281/SQRT(Таблица_pr[[#This Row],[Удельное сопротивление грунта, Ом·м]]))</f>
        <v>14.300313895338293</v>
      </c>
      <c r="G281" s="189">
        <v>276</v>
      </c>
      <c r="H281" s="185">
        <v>524.10000000000628</v>
      </c>
      <c r="I281" s="186">
        <v>48.9</v>
      </c>
      <c r="J281" s="180">
        <f t="shared" si="26"/>
        <v>100.00000000002274</v>
      </c>
      <c r="K281" s="61">
        <f>IFERROR(IF(H281-H280&lt;=0,"",J281/SQRT(Таблица_pr1[[#This Row],[Удельное сопротивление грунта, Ом·м]])),J281/SQRT(Таблица_pr1[[#This Row],[Удельное сопротивление грунта, Ом·м]]))</f>
        <v>14.300313895338293</v>
      </c>
      <c r="M281" s="55"/>
      <c r="N281" s="52"/>
      <c r="O281" s="67"/>
      <c r="P281" s="61" t="str">
        <f t="shared" si="27"/>
        <v/>
      </c>
      <c r="Q281" s="61" t="str">
        <f>IFERROR(IF(N281-N280&lt;=0,"",P281/SQRT(Таблица_pr2[[#This Row],[Удельное сопротивление грунта, Ом·м]])),P281/SQRT(Таблица_pr2[[#This Row],[Удельное сопротивление грунта, Ом·м]]))</f>
        <v/>
      </c>
      <c r="S281" s="55"/>
      <c r="T281" s="52"/>
      <c r="U281" s="67"/>
      <c r="W281" s="61" t="str">
        <f>IFERROR(IF(T281-T280&lt;=0,"",V281/SQRT(Таблица_pr3[[#This Row],[Удельное сопротивление грунта, Ом·м]])),V281/SQRT(Таблица_pr3[[#This Row],[Удельное сопротивление грунта, Ом·м]]))</f>
        <v/>
      </c>
      <c r="Y281" s="55"/>
      <c r="Z281" s="52"/>
      <c r="AA281" s="67"/>
      <c r="AB281" s="61" t="str">
        <f t="shared" si="28"/>
        <v/>
      </c>
      <c r="AC281" s="61" t="str">
        <f>IFERROR(IF(Z281-Z280&lt;=0,"",AB281/SQRT(Таблица_pr4[[#This Row],[Удельное сопротивление грунта, Ом·м]])),AB281/SQRT(Таблица_pr4[[#This Row],[Удельное сопротивление грунта, Ом·м]]))</f>
        <v/>
      </c>
      <c r="AE281" s="55"/>
      <c r="AF281" s="52"/>
      <c r="AG281" s="67"/>
      <c r="AI281" s="61" t="str">
        <f>IFERROR(IF(AF281-AF280&lt;=0,"",AH281/SQRT(Таблица_pr5[[#This Row],[Удельное сопротивление грунта, Ом·м]])),AH281/SQRT(Таблица_pr5[[#This Row],[Удельное сопротивление грунта, Ом·м]]))</f>
        <v/>
      </c>
      <c r="AK281" s="55"/>
      <c r="AL281" s="52"/>
      <c r="AM281" s="67"/>
      <c r="AN281" s="61" t="str">
        <f t="shared" si="29"/>
        <v/>
      </c>
      <c r="AO281" s="61" t="str">
        <f>IFERROR(IF(AL281-AL280&lt;=0,"",AN281/SQRT(Таблица_pr6[[#This Row],[Удельное сопротивление грунта, Ом·м]])),AN281/SQRT(Таблица_pr6[[#This Row],[Удельное сопротивление грунта, Ом·м]]))</f>
        <v/>
      </c>
      <c r="AQ281" s="55"/>
      <c r="AR281" s="52"/>
      <c r="AS281" s="67"/>
      <c r="AU281" s="61" t="str">
        <f>IFERROR(IF(AR281-AR280&lt;=0,"",AT281/SQRT(Таблица_pr7[[#This Row],[Удельное сопротивление грунта, Ом·м]])),AT281/SQRT(Таблица_pr7[[#This Row],[Удельное сопротивление грунта, Ом·м]]))</f>
        <v/>
      </c>
      <c r="AW281" s="55"/>
      <c r="AX281" s="52"/>
      <c r="AY281" s="67"/>
      <c r="AZ281" s="61" t="str">
        <f t="shared" si="30"/>
        <v/>
      </c>
      <c r="BA281" s="61" t="str">
        <f>IFERROR(IF(AX281-AX280&lt;=0,"",AZ281/SQRT(Таблица_pr8[[#This Row],[Удельное сопротивление грунта, Ом·м]])),AZ281/SQRT(Таблица_pr8[[#This Row],[Удельное сопротивление грунта, Ом·м]]))</f>
        <v/>
      </c>
      <c r="BC281" s="55"/>
      <c r="BD281" s="52"/>
      <c r="BE281" s="67"/>
      <c r="BG281" s="61" t="str">
        <f>IFERROR(IF(BD281-AX300&lt;=0,"",BF281/SQRT(Таблица_pr9[[#This Row],[Удельное сопротивление грунта, Ом·м]])),BF281/SQRT(Таблица_pr9[[#This Row],[Удельное сопротивление грунта, Ом·м]]))</f>
        <v/>
      </c>
      <c r="BI281" s="55"/>
      <c r="BJ281" s="52"/>
      <c r="BK281" s="67"/>
      <c r="BM281" s="61" t="str">
        <f>IFERROR(IF(BJ281-BD310&lt;=0,"",BL281/SQRT(Таблица_pr10[[#This Row],[Удельное сопротивление грунта, Ом·м]])),BL281/SQRT(Таблица_pr10[[#This Row],[Удельное сопротивление грунта, Ом·м]]))</f>
        <v/>
      </c>
    </row>
    <row r="282" spans="1:65">
      <c r="A282" s="64">
        <v>277</v>
      </c>
      <c r="B282" s="52">
        <v>524.2000000000063</v>
      </c>
      <c r="C282" s="67">
        <v>58.1</v>
      </c>
      <c r="D282" s="61">
        <f t="shared" si="25"/>
        <v>100.00000000002274</v>
      </c>
      <c r="E282" s="61">
        <f>IFERROR(IF(B282-B281&lt;=0,"",D282/SQRT(Таблица_pr[[#This Row],[Удельное сопротивление грунта, Ом·м]])),D282/SQRT(Таблица_pr[[#This Row],[Удельное сопротивление грунта, Ом·м]]))</f>
        <v>13.119338382212625</v>
      </c>
      <c r="G282" s="188">
        <v>277</v>
      </c>
      <c r="H282" s="184">
        <v>524.2000000000063</v>
      </c>
      <c r="I282" s="187">
        <v>58.1</v>
      </c>
      <c r="J282" s="181">
        <f t="shared" si="26"/>
        <v>100.00000000002274</v>
      </c>
      <c r="K282" s="61">
        <f>IFERROR(IF(H282-H281&lt;=0,"",J282/SQRT(Таблица_pr1[[#This Row],[Удельное сопротивление грунта, Ом·м]])),J282/SQRT(Таблица_pr1[[#This Row],[Удельное сопротивление грунта, Ом·м]]))</f>
        <v>13.119338382212625</v>
      </c>
      <c r="M282" s="55"/>
      <c r="N282" s="52"/>
      <c r="O282" s="67"/>
      <c r="P282" s="61" t="str">
        <f t="shared" si="27"/>
        <v/>
      </c>
      <c r="Q282" s="61" t="str">
        <f>IFERROR(IF(N282-N281&lt;=0,"",P282/SQRT(Таблица_pr2[[#This Row],[Удельное сопротивление грунта, Ом·м]])),P282/SQRT(Таблица_pr2[[#This Row],[Удельное сопротивление грунта, Ом·м]]))</f>
        <v/>
      </c>
      <c r="S282" s="55"/>
      <c r="T282" s="52"/>
      <c r="U282" s="67"/>
      <c r="W282" s="61" t="str">
        <f>IFERROR(IF(T282-T281&lt;=0,"",V282/SQRT(Таблица_pr3[[#This Row],[Удельное сопротивление грунта, Ом·м]])),V282/SQRT(Таблица_pr3[[#This Row],[Удельное сопротивление грунта, Ом·м]]))</f>
        <v/>
      </c>
      <c r="Y282" s="55"/>
      <c r="Z282" s="52"/>
      <c r="AA282" s="67"/>
      <c r="AB282" s="61" t="str">
        <f t="shared" si="28"/>
        <v/>
      </c>
      <c r="AC282" s="61" t="str">
        <f>IFERROR(IF(Z282-Z281&lt;=0,"",AB282/SQRT(Таблица_pr4[[#This Row],[Удельное сопротивление грунта, Ом·м]])),AB282/SQRT(Таблица_pr4[[#This Row],[Удельное сопротивление грунта, Ом·м]]))</f>
        <v/>
      </c>
      <c r="AE282" s="55"/>
      <c r="AF282" s="52"/>
      <c r="AG282" s="67"/>
      <c r="AI282" s="61" t="str">
        <f>IFERROR(IF(AF282-AF281&lt;=0,"",AH282/SQRT(Таблица_pr5[[#This Row],[Удельное сопротивление грунта, Ом·м]])),AH282/SQRT(Таблица_pr5[[#This Row],[Удельное сопротивление грунта, Ом·м]]))</f>
        <v/>
      </c>
      <c r="AK282" s="55"/>
      <c r="AL282" s="52"/>
      <c r="AM282" s="67"/>
      <c r="AN282" s="61" t="str">
        <f t="shared" si="29"/>
        <v/>
      </c>
      <c r="AO282" s="61" t="str">
        <f>IFERROR(IF(AL282-AL281&lt;=0,"",AN282/SQRT(Таблица_pr6[[#This Row],[Удельное сопротивление грунта, Ом·м]])),AN282/SQRT(Таблица_pr6[[#This Row],[Удельное сопротивление грунта, Ом·м]]))</f>
        <v/>
      </c>
      <c r="AQ282" s="55"/>
      <c r="AR282" s="52"/>
      <c r="AS282" s="67"/>
      <c r="AU282" s="61" t="str">
        <f>IFERROR(IF(AR282-AR281&lt;=0,"",AT282/SQRT(Таблица_pr7[[#This Row],[Удельное сопротивление грунта, Ом·м]])),AT282/SQRT(Таблица_pr7[[#This Row],[Удельное сопротивление грунта, Ом·м]]))</f>
        <v/>
      </c>
      <c r="AW282" s="55"/>
      <c r="AX282" s="52"/>
      <c r="AY282" s="67"/>
      <c r="AZ282" s="61" t="str">
        <f t="shared" si="30"/>
        <v/>
      </c>
      <c r="BA282" s="61" t="str">
        <f>IFERROR(IF(AX282-AX281&lt;=0,"",AZ282/SQRT(Таблица_pr8[[#This Row],[Удельное сопротивление грунта, Ом·м]])),AZ282/SQRT(Таблица_pr8[[#This Row],[Удельное сопротивление грунта, Ом·м]]))</f>
        <v/>
      </c>
      <c r="BC282" s="55"/>
      <c r="BD282" s="52"/>
      <c r="BE282" s="67"/>
      <c r="BG282" s="61" t="str">
        <f>IFERROR(IF(BD282-AX301&lt;=0,"",BF282/SQRT(Таблица_pr9[[#This Row],[Удельное сопротивление грунта, Ом·м]])),BF282/SQRT(Таблица_pr9[[#This Row],[Удельное сопротивление грунта, Ом·м]]))</f>
        <v/>
      </c>
      <c r="BI282" s="55"/>
      <c r="BJ282" s="52"/>
      <c r="BK282" s="67"/>
      <c r="BM282" s="61" t="str">
        <f>IFERROR(IF(BJ282-BD311&lt;=0,"",BL282/SQRT(Таблица_pr10[[#This Row],[Удельное сопротивление грунта, Ом·м]])),BL282/SQRT(Таблица_pr10[[#This Row],[Удельное сопротивление грунта, Ом·м]]))</f>
        <v/>
      </c>
    </row>
    <row r="283" spans="1:65">
      <c r="A283" s="51"/>
      <c r="B283" s="52"/>
      <c r="C283" s="50"/>
      <c r="D283" s="61" t="str">
        <f t="shared" si="25"/>
        <v/>
      </c>
      <c r="E283" s="61" t="str">
        <f>IFERROR(IF(B283-B282&lt;=0,"",D283/SQRT(Таблица_pr[[#This Row],[Удельное сопротивление грунта, Ом·м]])),D283/SQRT(Таблица_pr[[#This Row],[Удельное сопротивление грунта, Ом·м]]))</f>
        <v/>
      </c>
      <c r="G283" s="189"/>
      <c r="H283" s="185"/>
      <c r="I283" s="183"/>
      <c r="J283" s="180" t="str">
        <f t="shared" si="26"/>
        <v/>
      </c>
      <c r="K283" s="61" t="str">
        <f>IFERROR(IF(H283-H282&lt;=0,"",J283/SQRT(Таблица_pr1[[#This Row],[Удельное сопротивление грунта, Ом·м]])),J283/SQRT(Таблица_pr1[[#This Row],[Удельное сопротивление грунта, Ом·м]]))</f>
        <v/>
      </c>
      <c r="M283" s="51"/>
      <c r="N283" s="52"/>
      <c r="O283" s="50"/>
      <c r="P283" s="61" t="str">
        <f t="shared" si="27"/>
        <v/>
      </c>
      <c r="Q283" s="61" t="str">
        <f>IFERROR(IF(N283-N282&lt;=0,"",P283/SQRT(Таблица_pr2[[#This Row],[Удельное сопротивление грунта, Ом·м]])),P283/SQRT(Таблица_pr2[[#This Row],[Удельное сопротивление грунта, Ом·м]]))</f>
        <v/>
      </c>
      <c r="S283" s="51"/>
      <c r="T283" s="52"/>
      <c r="U283" s="50"/>
      <c r="W283" s="61" t="str">
        <f>IFERROR(IF(T283-T282&lt;=0,"",V283/SQRT(Таблица_pr3[[#This Row],[Удельное сопротивление грунта, Ом·м]])),V283/SQRT(Таблица_pr3[[#This Row],[Удельное сопротивление грунта, Ом·м]]))</f>
        <v/>
      </c>
      <c r="Y283" s="51"/>
      <c r="Z283" s="52"/>
      <c r="AA283" s="50"/>
      <c r="AB283" s="61" t="str">
        <f t="shared" si="28"/>
        <v/>
      </c>
      <c r="AC283" s="61" t="str">
        <f>IFERROR(IF(Z283-Z282&lt;=0,"",AB283/SQRT(Таблица_pr4[[#This Row],[Удельное сопротивление грунта, Ом·м]])),AB283/SQRT(Таблица_pr4[[#This Row],[Удельное сопротивление грунта, Ом·м]]))</f>
        <v/>
      </c>
      <c r="AE283" s="51"/>
      <c r="AF283" s="52"/>
      <c r="AG283" s="50"/>
      <c r="AI283" s="61" t="str">
        <f>IFERROR(IF(AF283-AF282&lt;=0,"",AH283/SQRT(Таблица_pr5[[#This Row],[Удельное сопротивление грунта, Ом·м]])),AH283/SQRT(Таблица_pr5[[#This Row],[Удельное сопротивление грунта, Ом·м]]))</f>
        <v/>
      </c>
      <c r="AK283" s="51"/>
      <c r="AL283" s="52"/>
      <c r="AM283" s="50"/>
      <c r="AN283" s="61" t="str">
        <f t="shared" si="29"/>
        <v/>
      </c>
      <c r="AO283" s="61" t="str">
        <f>IFERROR(IF(AL283-AL282&lt;=0,"",AN283/SQRT(Таблица_pr6[[#This Row],[Удельное сопротивление грунта, Ом·м]])),AN283/SQRT(Таблица_pr6[[#This Row],[Удельное сопротивление грунта, Ом·м]]))</f>
        <v/>
      </c>
      <c r="AQ283" s="51"/>
      <c r="AR283" s="52"/>
      <c r="AS283" s="50"/>
      <c r="AU283" s="61" t="str">
        <f>IFERROR(IF(AR283-AR282&lt;=0,"",AT283/SQRT(Таблица_pr7[[#This Row],[Удельное сопротивление грунта, Ом·м]])),AT283/SQRT(Таблица_pr7[[#This Row],[Удельное сопротивление грунта, Ом·м]]))</f>
        <v/>
      </c>
      <c r="AW283" s="51"/>
      <c r="AX283" s="52"/>
      <c r="AY283" s="50"/>
      <c r="AZ283" s="61" t="str">
        <f t="shared" si="30"/>
        <v/>
      </c>
      <c r="BA283" s="61" t="str">
        <f>IFERROR(IF(AX283-AX282&lt;=0,"",AZ283/SQRT(Таблица_pr8[[#This Row],[Удельное сопротивление грунта, Ом·м]])),AZ283/SQRT(Таблица_pr8[[#This Row],[Удельное сопротивление грунта, Ом·м]]))</f>
        <v/>
      </c>
      <c r="BC283" s="51"/>
      <c r="BD283" s="52"/>
      <c r="BE283" s="50"/>
      <c r="BG283" s="61" t="str">
        <f>IFERROR(IF(BD283-AX302&lt;=0,"",BF283/SQRT(Таблица_pr9[[#This Row],[Удельное сопротивление грунта, Ом·м]])),BF283/SQRT(Таблица_pr9[[#This Row],[Удельное сопротивление грунта, Ом·м]]))</f>
        <v/>
      </c>
      <c r="BI283" s="51"/>
      <c r="BJ283" s="52"/>
      <c r="BK283" s="50"/>
      <c r="BM283" s="61" t="str">
        <f>IFERROR(IF(BJ283-BD312&lt;=0,"",BL283/SQRT(Таблица_pr10[[#This Row],[Удельное сопротивление грунта, Ом·м]])),BL283/SQRT(Таблица_pr10[[#This Row],[Удельное сопротивление грунта, Ом·м]]))</f>
        <v/>
      </c>
    </row>
    <row r="284" spans="1:65">
      <c r="A284" s="51"/>
      <c r="B284" s="52"/>
      <c r="C284" s="50"/>
      <c r="D284" s="61" t="str">
        <f t="shared" si="25"/>
        <v/>
      </c>
      <c r="E284" s="61" t="str">
        <f>IFERROR(IF(B284-B283&lt;=0,"",D284/SQRT(Таблица_pr[[#This Row],[Удельное сопротивление грунта, Ом·м]])),D284/SQRT(Таблица_pr[[#This Row],[Удельное сопротивление грунта, Ом·м]]))</f>
        <v/>
      </c>
      <c r="G284" s="188"/>
      <c r="H284" s="184"/>
      <c r="I284" s="182"/>
      <c r="J284" s="181" t="str">
        <f t="shared" si="26"/>
        <v/>
      </c>
      <c r="K284" s="61" t="str">
        <f>IFERROR(IF(H284-H283&lt;=0,"",J284/SQRT(Таблица_pr1[[#This Row],[Удельное сопротивление грунта, Ом·м]])),J284/SQRT(Таблица_pr1[[#This Row],[Удельное сопротивление грунта, Ом·м]]))</f>
        <v/>
      </c>
      <c r="M284" s="51"/>
      <c r="N284" s="52"/>
      <c r="O284" s="50"/>
      <c r="P284" s="61" t="str">
        <f t="shared" si="27"/>
        <v/>
      </c>
      <c r="Q284" s="61" t="str">
        <f>IFERROR(IF(N284-N283&lt;=0,"",P284/SQRT(Таблица_pr2[[#This Row],[Удельное сопротивление грунта, Ом·м]])),P284/SQRT(Таблица_pr2[[#This Row],[Удельное сопротивление грунта, Ом·м]]))</f>
        <v/>
      </c>
      <c r="S284" s="51"/>
      <c r="T284" s="52"/>
      <c r="U284" s="50"/>
      <c r="W284" s="61" t="str">
        <f>IFERROR(IF(T284-T283&lt;=0,"",V284/SQRT(Таблица_pr3[[#This Row],[Удельное сопротивление грунта, Ом·м]])),V284/SQRT(Таблица_pr3[[#This Row],[Удельное сопротивление грунта, Ом·м]]))</f>
        <v/>
      </c>
      <c r="Y284" s="51"/>
      <c r="Z284" s="52"/>
      <c r="AA284" s="50"/>
      <c r="AB284" s="61" t="str">
        <f t="shared" si="28"/>
        <v/>
      </c>
      <c r="AC284" s="61" t="str">
        <f>IFERROR(IF(Z284-Z283&lt;=0,"",AB284/SQRT(Таблица_pr4[[#This Row],[Удельное сопротивление грунта, Ом·м]])),AB284/SQRT(Таблица_pr4[[#This Row],[Удельное сопротивление грунта, Ом·м]]))</f>
        <v/>
      </c>
      <c r="AE284" s="51"/>
      <c r="AF284" s="52"/>
      <c r="AG284" s="50"/>
      <c r="AI284" s="61" t="str">
        <f>IFERROR(IF(AF284-AF283&lt;=0,"",AH284/SQRT(Таблица_pr5[[#This Row],[Удельное сопротивление грунта, Ом·м]])),AH284/SQRT(Таблица_pr5[[#This Row],[Удельное сопротивление грунта, Ом·м]]))</f>
        <v/>
      </c>
      <c r="AK284" s="51"/>
      <c r="AL284" s="52"/>
      <c r="AM284" s="50"/>
      <c r="AN284" s="61" t="str">
        <f t="shared" si="29"/>
        <v/>
      </c>
      <c r="AO284" s="61" t="str">
        <f>IFERROR(IF(AL284-AL283&lt;=0,"",AN284/SQRT(Таблица_pr6[[#This Row],[Удельное сопротивление грунта, Ом·м]])),AN284/SQRT(Таблица_pr6[[#This Row],[Удельное сопротивление грунта, Ом·м]]))</f>
        <v/>
      </c>
      <c r="AQ284" s="51"/>
      <c r="AR284" s="52"/>
      <c r="AS284" s="50"/>
      <c r="AU284" s="61" t="str">
        <f>IFERROR(IF(AR284-AR283&lt;=0,"",AT284/SQRT(Таблица_pr7[[#This Row],[Удельное сопротивление грунта, Ом·м]])),AT284/SQRT(Таблица_pr7[[#This Row],[Удельное сопротивление грунта, Ом·м]]))</f>
        <v/>
      </c>
      <c r="AW284" s="51"/>
      <c r="AX284" s="52"/>
      <c r="AY284" s="50"/>
      <c r="AZ284" s="61" t="str">
        <f t="shared" si="30"/>
        <v/>
      </c>
      <c r="BA284" s="61" t="str">
        <f>IFERROR(IF(AX284-AX283&lt;=0,"",AZ284/SQRT(Таблица_pr8[[#This Row],[Удельное сопротивление грунта, Ом·м]])),AZ284/SQRT(Таблица_pr8[[#This Row],[Удельное сопротивление грунта, Ом·м]]))</f>
        <v/>
      </c>
      <c r="BC284" s="51"/>
      <c r="BD284" s="52"/>
      <c r="BE284" s="50"/>
      <c r="BG284" s="61" t="str">
        <f>IFERROR(IF(BD284-AX303&lt;=0,"",BF284/SQRT(Таблица_pr9[[#This Row],[Удельное сопротивление грунта, Ом·м]])),BF284/SQRT(Таблица_pr9[[#This Row],[Удельное сопротивление грунта, Ом·м]]))</f>
        <v/>
      </c>
      <c r="BI284" s="51"/>
      <c r="BJ284" s="52"/>
      <c r="BK284" s="50"/>
      <c r="BM284" s="61" t="str">
        <f>IFERROR(IF(BJ284-BD313&lt;=0,"",BL284/SQRT(Таблица_pr10[[#This Row],[Удельное сопротивление грунта, Ом·м]])),BL284/SQRT(Таблица_pr10[[#This Row],[Удельное сопротивление грунта, Ом·м]]))</f>
        <v/>
      </c>
    </row>
    <row r="285" spans="1:65">
      <c r="A285" s="51"/>
      <c r="B285" s="52"/>
      <c r="C285" s="50"/>
      <c r="D285" s="61" t="str">
        <f t="shared" si="25"/>
        <v/>
      </c>
      <c r="E285" s="61" t="str">
        <f>IFERROR(IF(B285-B284&lt;=0,"",D285/SQRT(Таблица_pr[[#This Row],[Удельное сопротивление грунта, Ом·м]])),D285/SQRT(Таблица_pr[[#This Row],[Удельное сопротивление грунта, Ом·м]]))</f>
        <v/>
      </c>
      <c r="G285" s="189"/>
      <c r="H285" s="185"/>
      <c r="I285" s="183"/>
      <c r="J285" s="180" t="str">
        <f t="shared" si="26"/>
        <v/>
      </c>
      <c r="K285" s="61" t="str">
        <f>IFERROR(IF(H285-H284&lt;=0,"",J285/SQRT(Таблица_pr1[[#This Row],[Удельное сопротивление грунта, Ом·м]])),J285/SQRT(Таблица_pr1[[#This Row],[Удельное сопротивление грунта, Ом·м]]))</f>
        <v/>
      </c>
      <c r="M285" s="51"/>
      <c r="N285" s="52"/>
      <c r="O285" s="50"/>
      <c r="P285" s="61" t="str">
        <f t="shared" si="27"/>
        <v/>
      </c>
      <c r="Q285" s="61" t="str">
        <f>IFERROR(IF(N285-N284&lt;=0,"",P285/SQRT(Таблица_pr2[[#This Row],[Удельное сопротивление грунта, Ом·м]])),P285/SQRT(Таблица_pr2[[#This Row],[Удельное сопротивление грунта, Ом·м]]))</f>
        <v/>
      </c>
      <c r="S285" s="51"/>
      <c r="T285" s="52"/>
      <c r="U285" s="50"/>
      <c r="W285" s="61" t="str">
        <f>IFERROR(IF(T285-T284&lt;=0,"",V285/SQRT(Таблица_pr3[[#This Row],[Удельное сопротивление грунта, Ом·м]])),V285/SQRT(Таблица_pr3[[#This Row],[Удельное сопротивление грунта, Ом·м]]))</f>
        <v/>
      </c>
      <c r="Y285" s="51"/>
      <c r="Z285" s="52"/>
      <c r="AA285" s="50"/>
      <c r="AB285" s="61" t="str">
        <f t="shared" si="28"/>
        <v/>
      </c>
      <c r="AC285" s="61" t="str">
        <f>IFERROR(IF(Z285-Z284&lt;=0,"",AB285/SQRT(Таблица_pr4[[#This Row],[Удельное сопротивление грунта, Ом·м]])),AB285/SQRT(Таблица_pr4[[#This Row],[Удельное сопротивление грунта, Ом·м]]))</f>
        <v/>
      </c>
      <c r="AE285" s="51"/>
      <c r="AF285" s="52"/>
      <c r="AG285" s="50"/>
      <c r="AI285" s="61" t="str">
        <f>IFERROR(IF(AF285-AF284&lt;=0,"",AH285/SQRT(Таблица_pr5[[#This Row],[Удельное сопротивление грунта, Ом·м]])),AH285/SQRT(Таблица_pr5[[#This Row],[Удельное сопротивление грунта, Ом·м]]))</f>
        <v/>
      </c>
      <c r="AK285" s="51"/>
      <c r="AL285" s="52"/>
      <c r="AM285" s="50"/>
      <c r="AN285" s="61" t="str">
        <f t="shared" si="29"/>
        <v/>
      </c>
      <c r="AO285" s="61" t="str">
        <f>IFERROR(IF(AL285-AL284&lt;=0,"",AN285/SQRT(Таблица_pr6[[#This Row],[Удельное сопротивление грунта, Ом·м]])),AN285/SQRT(Таблица_pr6[[#This Row],[Удельное сопротивление грунта, Ом·м]]))</f>
        <v/>
      </c>
      <c r="AQ285" s="51"/>
      <c r="AR285" s="52"/>
      <c r="AS285" s="50"/>
      <c r="AU285" s="61" t="str">
        <f>IFERROR(IF(AR285-AR284&lt;=0,"",AT285/SQRT(Таблица_pr7[[#This Row],[Удельное сопротивление грунта, Ом·м]])),AT285/SQRT(Таблица_pr7[[#This Row],[Удельное сопротивление грунта, Ом·м]]))</f>
        <v/>
      </c>
      <c r="AW285" s="51"/>
      <c r="AX285" s="52"/>
      <c r="AY285" s="50"/>
      <c r="AZ285" s="61" t="str">
        <f t="shared" si="30"/>
        <v/>
      </c>
      <c r="BA285" s="61" t="str">
        <f>IFERROR(IF(AX285-AX284&lt;=0,"",AZ285/SQRT(Таблица_pr8[[#This Row],[Удельное сопротивление грунта, Ом·м]])),AZ285/SQRT(Таблица_pr8[[#This Row],[Удельное сопротивление грунта, Ом·м]]))</f>
        <v/>
      </c>
      <c r="BC285" s="51"/>
      <c r="BD285" s="52"/>
      <c r="BE285" s="50"/>
      <c r="BG285" s="61" t="str">
        <f>IFERROR(IF(BD285-AX304&lt;=0,"",BF285/SQRT(Таблица_pr9[[#This Row],[Удельное сопротивление грунта, Ом·м]])),BF285/SQRT(Таблица_pr9[[#This Row],[Удельное сопротивление грунта, Ом·м]]))</f>
        <v/>
      </c>
      <c r="BI285" s="51"/>
      <c r="BJ285" s="52"/>
      <c r="BK285" s="50"/>
      <c r="BM285" s="61" t="str">
        <f>IFERROR(IF(BJ285-BD314&lt;=0,"",BL285/SQRT(Таблица_pr10[[#This Row],[Удельное сопротивление грунта, Ом·м]])),BL285/SQRT(Таблица_pr10[[#This Row],[Удельное сопротивление грунта, Ом·м]]))</f>
        <v/>
      </c>
    </row>
    <row r="286" spans="1:65">
      <c r="A286" s="53"/>
      <c r="B286" s="54"/>
      <c r="C286" s="50"/>
      <c r="D286" s="61" t="str">
        <f t="shared" si="25"/>
        <v/>
      </c>
      <c r="E286" s="61" t="str">
        <f>IFERROR(IF(B286-B285&lt;=0,"",D286/SQRT(Таблица_pr[[#This Row],[Удельное сопротивление грунта, Ом·м]])),D286/SQRT(Таблица_pr[[#This Row],[Удельное сопротивление грунта, Ом·м]]))</f>
        <v/>
      </c>
      <c r="G286" s="188"/>
      <c r="H286" s="184"/>
      <c r="I286" s="182"/>
      <c r="J286" s="181" t="str">
        <f t="shared" si="26"/>
        <v/>
      </c>
      <c r="K286" s="61" t="str">
        <f>IFERROR(IF(H286-H285&lt;=0,"",J286/SQRT(Таблица_pr1[[#This Row],[Удельное сопротивление грунта, Ом·м]])),J286/SQRT(Таблица_pr1[[#This Row],[Удельное сопротивление грунта, Ом·м]]))</f>
        <v/>
      </c>
      <c r="M286" s="53"/>
      <c r="N286" s="54"/>
      <c r="O286" s="50"/>
      <c r="P286" s="61" t="str">
        <f t="shared" si="27"/>
        <v/>
      </c>
      <c r="Q286" s="61" t="str">
        <f>IFERROR(IF(N286-N285&lt;=0,"",P286/SQRT(Таблица_pr2[[#This Row],[Удельное сопротивление грунта, Ом·м]])),P286/SQRT(Таблица_pr2[[#This Row],[Удельное сопротивление грунта, Ом·м]]))</f>
        <v/>
      </c>
      <c r="S286" s="53"/>
      <c r="T286" s="54"/>
      <c r="U286" s="50"/>
      <c r="W286" s="61" t="str">
        <f>IFERROR(IF(T286-T285&lt;=0,"",V286/SQRT(Таблица_pr3[[#This Row],[Удельное сопротивление грунта, Ом·м]])),V286/SQRT(Таблица_pr3[[#This Row],[Удельное сопротивление грунта, Ом·м]]))</f>
        <v/>
      </c>
      <c r="Y286" s="53"/>
      <c r="Z286" s="54"/>
      <c r="AA286" s="50"/>
      <c r="AB286" s="61" t="str">
        <f t="shared" si="28"/>
        <v/>
      </c>
      <c r="AC286" s="61" t="str">
        <f>IFERROR(IF(Z286-Z285&lt;=0,"",AB286/SQRT(Таблица_pr4[[#This Row],[Удельное сопротивление грунта, Ом·м]])),AB286/SQRT(Таблица_pr4[[#This Row],[Удельное сопротивление грунта, Ом·м]]))</f>
        <v/>
      </c>
      <c r="AE286" s="53"/>
      <c r="AF286" s="54"/>
      <c r="AG286" s="50"/>
      <c r="AI286" s="61" t="str">
        <f>IFERROR(IF(AF286-AF285&lt;=0,"",AH286/SQRT(Таблица_pr5[[#This Row],[Удельное сопротивление грунта, Ом·м]])),AH286/SQRT(Таблица_pr5[[#This Row],[Удельное сопротивление грунта, Ом·м]]))</f>
        <v/>
      </c>
      <c r="AK286" s="53"/>
      <c r="AL286" s="54"/>
      <c r="AM286" s="50"/>
      <c r="AN286" s="61" t="str">
        <f t="shared" si="29"/>
        <v/>
      </c>
      <c r="AO286" s="61" t="str">
        <f>IFERROR(IF(AL286-AL285&lt;=0,"",AN286/SQRT(Таблица_pr6[[#This Row],[Удельное сопротивление грунта, Ом·м]])),AN286/SQRT(Таблица_pr6[[#This Row],[Удельное сопротивление грунта, Ом·м]]))</f>
        <v/>
      </c>
      <c r="AQ286" s="53"/>
      <c r="AR286" s="54"/>
      <c r="AS286" s="50"/>
      <c r="AU286" s="61" t="str">
        <f>IFERROR(IF(AR286-AR285&lt;=0,"",AT286/SQRT(Таблица_pr7[[#This Row],[Удельное сопротивление грунта, Ом·м]])),AT286/SQRT(Таблица_pr7[[#This Row],[Удельное сопротивление грунта, Ом·м]]))</f>
        <v/>
      </c>
      <c r="AW286" s="53"/>
      <c r="AX286" s="54"/>
      <c r="AY286" s="50"/>
      <c r="AZ286" s="61" t="str">
        <f t="shared" si="30"/>
        <v/>
      </c>
      <c r="BA286" s="61" t="str">
        <f>IFERROR(IF(AX286-AX285&lt;=0,"",AZ286/SQRT(Таблица_pr8[[#This Row],[Удельное сопротивление грунта, Ом·м]])),AZ286/SQRT(Таблица_pr8[[#This Row],[Удельное сопротивление грунта, Ом·м]]))</f>
        <v/>
      </c>
      <c r="BC286" s="53"/>
      <c r="BD286" s="54"/>
      <c r="BE286" s="50"/>
      <c r="BG286" s="61" t="str">
        <f>IFERROR(IF(BD286-AX305&lt;=0,"",BF286/SQRT(Таблица_pr9[[#This Row],[Удельное сопротивление грунта, Ом·м]])),BF286/SQRT(Таблица_pr9[[#This Row],[Удельное сопротивление грунта, Ом·м]]))</f>
        <v/>
      </c>
      <c r="BI286" s="53"/>
      <c r="BJ286" s="54"/>
      <c r="BK286" s="50"/>
      <c r="BM286" s="61" t="str">
        <f>IFERROR(IF(BJ286-BD315&lt;=0,"",BL286/SQRT(Таблица_pr10[[#This Row],[Удельное сопротивление грунта, Ом·м]])),BL286/SQRT(Таблица_pr10[[#This Row],[Удельное сопротивление грунта, Ом·м]]))</f>
        <v/>
      </c>
    </row>
    <row r="287" spans="1:65">
      <c r="A287" s="51"/>
      <c r="B287" s="52"/>
      <c r="C287" s="50"/>
      <c r="D287" s="61" t="str">
        <f t="shared" si="25"/>
        <v/>
      </c>
      <c r="E287" s="61" t="str">
        <f>IFERROR(IF(B287-B286&lt;=0,"",D287/SQRT(Таблица_pr[[#This Row],[Удельное сопротивление грунта, Ом·м]])),D287/SQRT(Таблица_pr[[#This Row],[Удельное сопротивление грунта, Ом·м]]))</f>
        <v/>
      </c>
      <c r="G287" s="189"/>
      <c r="H287" s="185"/>
      <c r="I287" s="183"/>
      <c r="J287" s="180" t="str">
        <f t="shared" si="26"/>
        <v/>
      </c>
      <c r="K287" s="61" t="str">
        <f>IFERROR(IF(H287-H286&lt;=0,"",J287/SQRT(Таблица_pr1[[#This Row],[Удельное сопротивление грунта, Ом·м]])),J287/SQRT(Таблица_pr1[[#This Row],[Удельное сопротивление грунта, Ом·м]]))</f>
        <v/>
      </c>
      <c r="M287" s="51"/>
      <c r="N287" s="52"/>
      <c r="O287" s="50"/>
      <c r="P287" s="61" t="str">
        <f t="shared" si="27"/>
        <v/>
      </c>
      <c r="Q287" s="61" t="str">
        <f>IFERROR(IF(N287-N286&lt;=0,"",P287/SQRT(Таблица_pr2[[#This Row],[Удельное сопротивление грунта, Ом·м]])),P287/SQRT(Таблица_pr2[[#This Row],[Удельное сопротивление грунта, Ом·м]]))</f>
        <v/>
      </c>
      <c r="S287" s="51"/>
      <c r="T287" s="52"/>
      <c r="U287" s="50"/>
      <c r="W287" s="61" t="str">
        <f>IFERROR(IF(T287-T286&lt;=0,"",V287/SQRT(Таблица_pr3[[#This Row],[Удельное сопротивление грунта, Ом·м]])),V287/SQRT(Таблица_pr3[[#This Row],[Удельное сопротивление грунта, Ом·м]]))</f>
        <v/>
      </c>
      <c r="Y287" s="51"/>
      <c r="Z287" s="52"/>
      <c r="AA287" s="50"/>
      <c r="AB287" s="61" t="str">
        <f t="shared" si="28"/>
        <v/>
      </c>
      <c r="AC287" s="61" t="str">
        <f>IFERROR(IF(Z287-Z286&lt;=0,"",AB287/SQRT(Таблица_pr4[[#This Row],[Удельное сопротивление грунта, Ом·м]])),AB287/SQRT(Таблица_pr4[[#This Row],[Удельное сопротивление грунта, Ом·м]]))</f>
        <v/>
      </c>
      <c r="AE287" s="51"/>
      <c r="AF287" s="52"/>
      <c r="AG287" s="50"/>
      <c r="AI287" s="61" t="str">
        <f>IFERROR(IF(AF287-AF286&lt;=0,"",AH287/SQRT(Таблица_pr5[[#This Row],[Удельное сопротивление грунта, Ом·м]])),AH287/SQRT(Таблица_pr5[[#This Row],[Удельное сопротивление грунта, Ом·м]]))</f>
        <v/>
      </c>
      <c r="AK287" s="51"/>
      <c r="AL287" s="52"/>
      <c r="AM287" s="50"/>
      <c r="AN287" s="61" t="str">
        <f t="shared" si="29"/>
        <v/>
      </c>
      <c r="AO287" s="61" t="str">
        <f>IFERROR(IF(AL287-AL286&lt;=0,"",AN287/SQRT(Таблица_pr6[[#This Row],[Удельное сопротивление грунта, Ом·м]])),AN287/SQRT(Таблица_pr6[[#This Row],[Удельное сопротивление грунта, Ом·м]]))</f>
        <v/>
      </c>
      <c r="AQ287" s="51"/>
      <c r="AR287" s="52"/>
      <c r="AS287" s="50"/>
      <c r="AU287" s="61" t="str">
        <f>IFERROR(IF(AR287-AR286&lt;=0,"",AT287/SQRT(Таблица_pr7[[#This Row],[Удельное сопротивление грунта, Ом·м]])),AT287/SQRT(Таблица_pr7[[#This Row],[Удельное сопротивление грунта, Ом·м]]))</f>
        <v/>
      </c>
      <c r="AW287" s="51"/>
      <c r="AX287" s="52"/>
      <c r="AY287" s="50"/>
      <c r="AZ287" s="61" t="str">
        <f t="shared" si="30"/>
        <v/>
      </c>
      <c r="BA287" s="61" t="str">
        <f>IFERROR(IF(AX287-AX286&lt;=0,"",AZ287/SQRT(Таблица_pr8[[#This Row],[Удельное сопротивление грунта, Ом·м]])),AZ287/SQRT(Таблица_pr8[[#This Row],[Удельное сопротивление грунта, Ом·м]]))</f>
        <v/>
      </c>
      <c r="BC287" s="51"/>
      <c r="BD287" s="52"/>
      <c r="BE287" s="50"/>
      <c r="BG287" s="61" t="str">
        <f>IFERROR(IF(BD287-AX306&lt;=0,"",BF287/SQRT(Таблица_pr9[[#This Row],[Удельное сопротивление грунта, Ом·м]])),BF287/SQRT(Таблица_pr9[[#This Row],[Удельное сопротивление грунта, Ом·м]]))</f>
        <v/>
      </c>
      <c r="BI287" s="51"/>
      <c r="BJ287" s="52"/>
      <c r="BK287" s="50"/>
      <c r="BM287" s="61" t="str">
        <f>IFERROR(IF(BJ287-BD316&lt;=0,"",BL287/SQRT(Таблица_pr10[[#This Row],[Удельное сопротивление грунта, Ом·м]])),BL287/SQRT(Таблица_pr10[[#This Row],[Удельное сопротивление грунта, Ом·м]]))</f>
        <v/>
      </c>
    </row>
    <row r="288" spans="1:65">
      <c r="A288" s="53"/>
      <c r="B288" s="52"/>
      <c r="C288" s="50"/>
      <c r="D288" s="61" t="str">
        <f t="shared" si="25"/>
        <v/>
      </c>
      <c r="E288" s="61" t="str">
        <f>IFERROR(IF(B288-B287&lt;=0,"",D288/SQRT(Таблица_pr[[#This Row],[Удельное сопротивление грунта, Ом·м]])),D288/SQRT(Таблица_pr[[#This Row],[Удельное сопротивление грунта, Ом·м]]))</f>
        <v/>
      </c>
      <c r="G288" s="188"/>
      <c r="H288" s="184"/>
      <c r="I288" s="182"/>
      <c r="J288" s="181" t="str">
        <f t="shared" si="26"/>
        <v/>
      </c>
      <c r="K288" s="61" t="str">
        <f>IFERROR(IF(H288-H287&lt;=0,"",J288/SQRT(Таблица_pr1[[#This Row],[Удельное сопротивление грунта, Ом·м]])),J288/SQRT(Таблица_pr1[[#This Row],[Удельное сопротивление грунта, Ом·м]]))</f>
        <v/>
      </c>
      <c r="M288" s="53"/>
      <c r="N288" s="52"/>
      <c r="O288" s="50"/>
      <c r="P288" s="61" t="str">
        <f t="shared" si="27"/>
        <v/>
      </c>
      <c r="Q288" s="61" t="str">
        <f>IFERROR(IF(N288-N287&lt;=0,"",P288/SQRT(Таблица_pr2[[#This Row],[Удельное сопротивление грунта, Ом·м]])),P288/SQRT(Таблица_pr2[[#This Row],[Удельное сопротивление грунта, Ом·м]]))</f>
        <v/>
      </c>
      <c r="S288" s="53"/>
      <c r="T288" s="52"/>
      <c r="U288" s="50"/>
      <c r="W288" s="61" t="str">
        <f>IFERROR(IF(T288-T287&lt;=0,"",V288/SQRT(Таблица_pr3[[#This Row],[Удельное сопротивление грунта, Ом·м]])),V288/SQRT(Таблица_pr3[[#This Row],[Удельное сопротивление грунта, Ом·м]]))</f>
        <v/>
      </c>
      <c r="Y288" s="53"/>
      <c r="Z288" s="52"/>
      <c r="AA288" s="50"/>
      <c r="AB288" s="61" t="str">
        <f t="shared" si="28"/>
        <v/>
      </c>
      <c r="AC288" s="61" t="str">
        <f>IFERROR(IF(Z288-Z287&lt;=0,"",AB288/SQRT(Таблица_pr4[[#This Row],[Удельное сопротивление грунта, Ом·м]])),AB288/SQRT(Таблица_pr4[[#This Row],[Удельное сопротивление грунта, Ом·м]]))</f>
        <v/>
      </c>
      <c r="AE288" s="53"/>
      <c r="AF288" s="52"/>
      <c r="AG288" s="50"/>
      <c r="AI288" s="61" t="str">
        <f>IFERROR(IF(AF288-AF287&lt;=0,"",AH288/SQRT(Таблица_pr5[[#This Row],[Удельное сопротивление грунта, Ом·м]])),AH288/SQRT(Таблица_pr5[[#This Row],[Удельное сопротивление грунта, Ом·м]]))</f>
        <v/>
      </c>
      <c r="AK288" s="53"/>
      <c r="AL288" s="52"/>
      <c r="AM288" s="50"/>
      <c r="AN288" s="61" t="str">
        <f t="shared" si="29"/>
        <v/>
      </c>
      <c r="AO288" s="61" t="str">
        <f>IFERROR(IF(AL288-AL287&lt;=0,"",AN288/SQRT(Таблица_pr6[[#This Row],[Удельное сопротивление грунта, Ом·м]])),AN288/SQRT(Таблица_pr6[[#This Row],[Удельное сопротивление грунта, Ом·м]]))</f>
        <v/>
      </c>
      <c r="AQ288" s="53"/>
      <c r="AR288" s="52"/>
      <c r="AS288" s="50"/>
      <c r="AU288" s="61" t="str">
        <f>IFERROR(IF(AR288-AR287&lt;=0,"",AT288/SQRT(Таблица_pr7[[#This Row],[Удельное сопротивление грунта, Ом·м]])),AT288/SQRT(Таблица_pr7[[#This Row],[Удельное сопротивление грунта, Ом·м]]))</f>
        <v/>
      </c>
      <c r="AW288" s="53"/>
      <c r="AX288" s="52"/>
      <c r="AY288" s="50"/>
      <c r="AZ288" s="61" t="str">
        <f t="shared" si="30"/>
        <v/>
      </c>
      <c r="BA288" s="61" t="str">
        <f>IFERROR(IF(AX288-AX287&lt;=0,"",AZ288/SQRT(Таблица_pr8[[#This Row],[Удельное сопротивление грунта, Ом·м]])),AZ288/SQRT(Таблица_pr8[[#This Row],[Удельное сопротивление грунта, Ом·м]]))</f>
        <v/>
      </c>
      <c r="BC288" s="53"/>
      <c r="BD288" s="52"/>
      <c r="BE288" s="50"/>
      <c r="BG288" s="61" t="str">
        <f>IFERROR(IF(BD288-AX307&lt;=0,"",BF288/SQRT(Таблица_pr9[[#This Row],[Удельное сопротивление грунта, Ом·м]])),BF288/SQRT(Таблица_pr9[[#This Row],[Удельное сопротивление грунта, Ом·м]]))</f>
        <v/>
      </c>
      <c r="BI288" s="53"/>
      <c r="BJ288" s="52"/>
      <c r="BK288" s="50"/>
      <c r="BM288" s="61" t="str">
        <f>IFERROR(IF(BJ288-BD317&lt;=0,"",BL288/SQRT(Таблица_pr10[[#This Row],[Удельное сопротивление грунта, Ом·м]])),BL288/SQRT(Таблица_pr10[[#This Row],[Удельное сопротивление грунта, Ом·м]]))</f>
        <v/>
      </c>
    </row>
    <row r="289" spans="1:65">
      <c r="A289" s="51"/>
      <c r="B289" s="52"/>
      <c r="C289" s="50"/>
      <c r="D289" s="61" t="str">
        <f t="shared" si="25"/>
        <v/>
      </c>
      <c r="E289" s="61" t="str">
        <f>IFERROR(IF(B289-B288&lt;=0,"",D289/SQRT(Таблица_pr[[#This Row],[Удельное сопротивление грунта, Ом·м]])),D289/SQRT(Таблица_pr[[#This Row],[Удельное сопротивление грунта, Ом·м]]))</f>
        <v/>
      </c>
      <c r="G289" s="189"/>
      <c r="H289" s="185"/>
      <c r="I289" s="183"/>
      <c r="J289" s="180" t="str">
        <f t="shared" si="26"/>
        <v/>
      </c>
      <c r="K289" s="61" t="str">
        <f>IFERROR(IF(H289-H288&lt;=0,"",J289/SQRT(Таблица_pr1[[#This Row],[Удельное сопротивление грунта, Ом·м]])),J289/SQRT(Таблица_pr1[[#This Row],[Удельное сопротивление грунта, Ом·м]]))</f>
        <v/>
      </c>
      <c r="M289" s="51"/>
      <c r="N289" s="52"/>
      <c r="O289" s="50"/>
      <c r="P289" s="61" t="str">
        <f t="shared" si="27"/>
        <v/>
      </c>
      <c r="Q289" s="61" t="str">
        <f>IFERROR(IF(N289-N288&lt;=0,"",P289/SQRT(Таблица_pr2[[#This Row],[Удельное сопротивление грунта, Ом·м]])),P289/SQRT(Таблица_pr2[[#This Row],[Удельное сопротивление грунта, Ом·м]]))</f>
        <v/>
      </c>
      <c r="S289" s="51"/>
      <c r="T289" s="52"/>
      <c r="U289" s="50"/>
      <c r="W289" s="61" t="str">
        <f>IFERROR(IF(T289-T288&lt;=0,"",V289/SQRT(Таблица_pr3[[#This Row],[Удельное сопротивление грунта, Ом·м]])),V289/SQRT(Таблица_pr3[[#This Row],[Удельное сопротивление грунта, Ом·м]]))</f>
        <v/>
      </c>
      <c r="Y289" s="51"/>
      <c r="Z289" s="52"/>
      <c r="AA289" s="50"/>
      <c r="AB289" s="61" t="str">
        <f t="shared" si="28"/>
        <v/>
      </c>
      <c r="AC289" s="61" t="str">
        <f>IFERROR(IF(Z289-Z288&lt;=0,"",AB289/SQRT(Таблица_pr4[[#This Row],[Удельное сопротивление грунта, Ом·м]])),AB289/SQRT(Таблица_pr4[[#This Row],[Удельное сопротивление грунта, Ом·м]]))</f>
        <v/>
      </c>
      <c r="AE289" s="51"/>
      <c r="AF289" s="52"/>
      <c r="AG289" s="50"/>
      <c r="AI289" s="61" t="str">
        <f>IFERROR(IF(AF289-AF288&lt;=0,"",AH289/SQRT(Таблица_pr5[[#This Row],[Удельное сопротивление грунта, Ом·м]])),AH289/SQRT(Таблица_pr5[[#This Row],[Удельное сопротивление грунта, Ом·м]]))</f>
        <v/>
      </c>
      <c r="AK289" s="51"/>
      <c r="AL289" s="52"/>
      <c r="AM289" s="50"/>
      <c r="AN289" s="61" t="str">
        <f t="shared" si="29"/>
        <v/>
      </c>
      <c r="AO289" s="61" t="str">
        <f>IFERROR(IF(AL289-AL288&lt;=0,"",AN289/SQRT(Таблица_pr6[[#This Row],[Удельное сопротивление грунта, Ом·м]])),AN289/SQRT(Таблица_pr6[[#This Row],[Удельное сопротивление грунта, Ом·м]]))</f>
        <v/>
      </c>
      <c r="AQ289" s="51"/>
      <c r="AR289" s="52"/>
      <c r="AS289" s="50"/>
      <c r="AU289" s="61" t="str">
        <f>IFERROR(IF(AR289-AR288&lt;=0,"",AT289/SQRT(Таблица_pr7[[#This Row],[Удельное сопротивление грунта, Ом·м]])),AT289/SQRT(Таблица_pr7[[#This Row],[Удельное сопротивление грунта, Ом·м]]))</f>
        <v/>
      </c>
      <c r="AW289" s="51"/>
      <c r="AX289" s="52"/>
      <c r="AY289" s="50"/>
      <c r="AZ289" s="61" t="str">
        <f t="shared" si="30"/>
        <v/>
      </c>
      <c r="BA289" s="61" t="str">
        <f>IFERROR(IF(AX289-AX288&lt;=0,"",AZ289/SQRT(Таблица_pr8[[#This Row],[Удельное сопротивление грунта, Ом·м]])),AZ289/SQRT(Таблица_pr8[[#This Row],[Удельное сопротивление грунта, Ом·м]]))</f>
        <v/>
      </c>
      <c r="BC289" s="51"/>
      <c r="BD289" s="52"/>
      <c r="BE289" s="50"/>
      <c r="BG289" s="61" t="str">
        <f>IFERROR(IF(BD289-AX308&lt;=0,"",BF289/SQRT(Таблица_pr9[[#This Row],[Удельное сопротивление грунта, Ом·м]])),BF289/SQRT(Таблица_pr9[[#This Row],[Удельное сопротивление грунта, Ом·м]]))</f>
        <v/>
      </c>
      <c r="BI289" s="51"/>
      <c r="BJ289" s="52"/>
      <c r="BK289" s="50"/>
      <c r="BM289" s="61" t="str">
        <f>IFERROR(IF(BJ289-BD318&lt;=0,"",BL289/SQRT(Таблица_pr10[[#This Row],[Удельное сопротивление грунта, Ом·м]])),BL289/SQRT(Таблица_pr10[[#This Row],[Удельное сопротивление грунта, Ом·м]]))</f>
        <v/>
      </c>
    </row>
    <row r="290" spans="1:65">
      <c r="A290" s="53"/>
      <c r="B290" s="52"/>
      <c r="C290" s="50"/>
      <c r="D290" s="61" t="str">
        <f t="shared" si="25"/>
        <v/>
      </c>
      <c r="E290" s="61" t="str">
        <f>IFERROR(IF(B290-B289&lt;=0,"",D290/SQRT(Таблица_pr[[#This Row],[Удельное сопротивление грунта, Ом·м]])),D290/SQRT(Таблица_pr[[#This Row],[Удельное сопротивление грунта, Ом·м]]))</f>
        <v/>
      </c>
      <c r="G290" s="188"/>
      <c r="H290" s="184"/>
      <c r="I290" s="182"/>
      <c r="J290" s="181" t="str">
        <f t="shared" si="26"/>
        <v/>
      </c>
      <c r="K290" s="61" t="str">
        <f>IFERROR(IF(H290-H289&lt;=0,"",J290/SQRT(Таблица_pr1[[#This Row],[Удельное сопротивление грунта, Ом·м]])),J290/SQRT(Таблица_pr1[[#This Row],[Удельное сопротивление грунта, Ом·м]]))</f>
        <v/>
      </c>
      <c r="M290" s="53"/>
      <c r="N290" s="52"/>
      <c r="O290" s="50"/>
      <c r="P290" s="61" t="str">
        <f t="shared" si="27"/>
        <v/>
      </c>
      <c r="Q290" s="61" t="str">
        <f>IFERROR(IF(N290-N289&lt;=0,"",P290/SQRT(Таблица_pr2[[#This Row],[Удельное сопротивление грунта, Ом·м]])),P290/SQRT(Таблица_pr2[[#This Row],[Удельное сопротивление грунта, Ом·м]]))</f>
        <v/>
      </c>
      <c r="S290" s="53"/>
      <c r="T290" s="52"/>
      <c r="U290" s="50"/>
      <c r="W290" s="61" t="str">
        <f>IFERROR(IF(T290-T289&lt;=0,"",V290/SQRT(Таблица_pr3[[#This Row],[Удельное сопротивление грунта, Ом·м]])),V290/SQRT(Таблица_pr3[[#This Row],[Удельное сопротивление грунта, Ом·м]]))</f>
        <v/>
      </c>
      <c r="Y290" s="53"/>
      <c r="Z290" s="52"/>
      <c r="AA290" s="50"/>
      <c r="AB290" s="61" t="str">
        <f t="shared" si="28"/>
        <v/>
      </c>
      <c r="AC290" s="61" t="str">
        <f>IFERROR(IF(Z290-Z289&lt;=0,"",AB290/SQRT(Таблица_pr4[[#This Row],[Удельное сопротивление грунта, Ом·м]])),AB290/SQRT(Таблица_pr4[[#This Row],[Удельное сопротивление грунта, Ом·м]]))</f>
        <v/>
      </c>
      <c r="AE290" s="53"/>
      <c r="AF290" s="52"/>
      <c r="AG290" s="50"/>
      <c r="AI290" s="61" t="str">
        <f>IFERROR(IF(AF290-AF289&lt;=0,"",AH290/SQRT(Таблица_pr5[[#This Row],[Удельное сопротивление грунта, Ом·м]])),AH290/SQRT(Таблица_pr5[[#This Row],[Удельное сопротивление грунта, Ом·м]]))</f>
        <v/>
      </c>
      <c r="AK290" s="53"/>
      <c r="AL290" s="52"/>
      <c r="AM290" s="50"/>
      <c r="AN290" s="61" t="str">
        <f t="shared" si="29"/>
        <v/>
      </c>
      <c r="AO290" s="61" t="str">
        <f>IFERROR(IF(AL290-AL289&lt;=0,"",AN290/SQRT(Таблица_pr6[[#This Row],[Удельное сопротивление грунта, Ом·м]])),AN290/SQRT(Таблица_pr6[[#This Row],[Удельное сопротивление грунта, Ом·м]]))</f>
        <v/>
      </c>
      <c r="AQ290" s="53"/>
      <c r="AR290" s="52"/>
      <c r="AS290" s="50"/>
      <c r="AU290" s="61" t="str">
        <f>IFERROR(IF(AR290-AR289&lt;=0,"",AT290/SQRT(Таблица_pr7[[#This Row],[Удельное сопротивление грунта, Ом·м]])),AT290/SQRT(Таблица_pr7[[#This Row],[Удельное сопротивление грунта, Ом·м]]))</f>
        <v/>
      </c>
      <c r="AW290" s="53"/>
      <c r="AX290" s="52"/>
      <c r="AY290" s="50"/>
      <c r="AZ290" s="61" t="str">
        <f t="shared" si="30"/>
        <v/>
      </c>
      <c r="BA290" s="61" t="str">
        <f>IFERROR(IF(AX290-AX289&lt;=0,"",AZ290/SQRT(Таблица_pr8[[#This Row],[Удельное сопротивление грунта, Ом·м]])),AZ290/SQRT(Таблица_pr8[[#This Row],[Удельное сопротивление грунта, Ом·м]]))</f>
        <v/>
      </c>
      <c r="BC290" s="53"/>
      <c r="BD290" s="52"/>
      <c r="BE290" s="50"/>
      <c r="BG290" s="61" t="str">
        <f>IFERROR(IF(BD290-AX309&lt;=0,"",BF290/SQRT(Таблица_pr9[[#This Row],[Удельное сопротивление грунта, Ом·м]])),BF290/SQRT(Таблица_pr9[[#This Row],[Удельное сопротивление грунта, Ом·м]]))</f>
        <v/>
      </c>
      <c r="BI290" s="53"/>
      <c r="BJ290" s="52"/>
      <c r="BK290" s="50"/>
      <c r="BM290" s="61" t="str">
        <f>IFERROR(IF(BJ290-BD319&lt;=0,"",BL290/SQRT(Таблица_pr10[[#This Row],[Удельное сопротивление грунта, Ом·м]])),BL290/SQRT(Таблица_pr10[[#This Row],[Удельное сопротивление грунта, Ом·м]]))</f>
        <v/>
      </c>
    </row>
    <row r="291" spans="1:65">
      <c r="A291" s="51"/>
      <c r="B291" s="52"/>
      <c r="C291" s="50"/>
      <c r="D291" s="61" t="str">
        <f t="shared" si="25"/>
        <v/>
      </c>
      <c r="E291" s="61" t="str">
        <f>IFERROR(IF(B291-B290&lt;=0,"",D291/SQRT(Таблица_pr[[#This Row],[Удельное сопротивление грунта, Ом·м]])),D291/SQRT(Таблица_pr[[#This Row],[Удельное сопротивление грунта, Ом·м]]))</f>
        <v/>
      </c>
      <c r="G291" s="189"/>
      <c r="H291" s="185"/>
      <c r="I291" s="183"/>
      <c r="J291" s="180" t="str">
        <f t="shared" si="26"/>
        <v/>
      </c>
      <c r="K291" s="61" t="str">
        <f>IFERROR(IF(H291-H290&lt;=0,"",J291/SQRT(Таблица_pr1[[#This Row],[Удельное сопротивление грунта, Ом·м]])),J291/SQRT(Таблица_pr1[[#This Row],[Удельное сопротивление грунта, Ом·м]]))</f>
        <v/>
      </c>
      <c r="M291" s="51"/>
      <c r="N291" s="52"/>
      <c r="O291" s="50"/>
      <c r="P291" s="61" t="str">
        <f t="shared" si="27"/>
        <v/>
      </c>
      <c r="Q291" s="61" t="str">
        <f>IFERROR(IF(N291-N290&lt;=0,"",P291/SQRT(Таблица_pr2[[#This Row],[Удельное сопротивление грунта, Ом·м]])),P291/SQRT(Таблица_pr2[[#This Row],[Удельное сопротивление грунта, Ом·м]]))</f>
        <v/>
      </c>
      <c r="S291" s="51"/>
      <c r="T291" s="52"/>
      <c r="U291" s="50"/>
      <c r="W291" s="61" t="str">
        <f>IFERROR(IF(T291-T290&lt;=0,"",V291/SQRT(Таблица_pr3[[#This Row],[Удельное сопротивление грунта, Ом·м]])),V291/SQRT(Таблица_pr3[[#This Row],[Удельное сопротивление грунта, Ом·м]]))</f>
        <v/>
      </c>
      <c r="Y291" s="51"/>
      <c r="Z291" s="52"/>
      <c r="AA291" s="50"/>
      <c r="AB291" s="61" t="str">
        <f t="shared" si="28"/>
        <v/>
      </c>
      <c r="AC291" s="61" t="str">
        <f>IFERROR(IF(Z291-Z290&lt;=0,"",AB291/SQRT(Таблица_pr4[[#This Row],[Удельное сопротивление грунта, Ом·м]])),AB291/SQRT(Таблица_pr4[[#This Row],[Удельное сопротивление грунта, Ом·м]]))</f>
        <v/>
      </c>
      <c r="AE291" s="51"/>
      <c r="AF291" s="52"/>
      <c r="AG291" s="50"/>
      <c r="AI291" s="61" t="str">
        <f>IFERROR(IF(AF291-AF290&lt;=0,"",AH291/SQRT(Таблица_pr5[[#This Row],[Удельное сопротивление грунта, Ом·м]])),AH291/SQRT(Таблица_pr5[[#This Row],[Удельное сопротивление грунта, Ом·м]]))</f>
        <v/>
      </c>
      <c r="AK291" s="51"/>
      <c r="AL291" s="52"/>
      <c r="AM291" s="50"/>
      <c r="AN291" s="61" t="str">
        <f t="shared" si="29"/>
        <v/>
      </c>
      <c r="AO291" s="61" t="str">
        <f>IFERROR(IF(AL291-AL290&lt;=0,"",AN291/SQRT(Таблица_pr6[[#This Row],[Удельное сопротивление грунта, Ом·м]])),AN291/SQRT(Таблица_pr6[[#This Row],[Удельное сопротивление грунта, Ом·м]]))</f>
        <v/>
      </c>
      <c r="AQ291" s="51"/>
      <c r="AR291" s="52"/>
      <c r="AS291" s="50"/>
      <c r="AU291" s="61" t="str">
        <f>IFERROR(IF(AR291-AR290&lt;=0,"",AT291/SQRT(Таблица_pr7[[#This Row],[Удельное сопротивление грунта, Ом·м]])),AT291/SQRT(Таблица_pr7[[#This Row],[Удельное сопротивление грунта, Ом·м]]))</f>
        <v/>
      </c>
      <c r="AW291" s="51"/>
      <c r="AX291" s="52"/>
      <c r="AY291" s="50"/>
      <c r="AZ291" s="61" t="str">
        <f t="shared" si="30"/>
        <v/>
      </c>
      <c r="BA291" s="61" t="str">
        <f>IFERROR(IF(AX291-AX290&lt;=0,"",AZ291/SQRT(Таблица_pr8[[#This Row],[Удельное сопротивление грунта, Ом·м]])),AZ291/SQRT(Таблица_pr8[[#This Row],[Удельное сопротивление грунта, Ом·м]]))</f>
        <v/>
      </c>
      <c r="BC291" s="51"/>
      <c r="BD291" s="52"/>
      <c r="BE291" s="50"/>
      <c r="BG291" s="61" t="str">
        <f>IFERROR(IF(BD291-AX310&lt;=0,"",BF291/SQRT(Таблица_pr9[[#This Row],[Удельное сопротивление грунта, Ом·м]])),BF291/SQRT(Таблица_pr9[[#This Row],[Удельное сопротивление грунта, Ом·м]]))</f>
        <v/>
      </c>
      <c r="BI291" s="51"/>
      <c r="BJ291" s="52"/>
      <c r="BK291" s="50"/>
      <c r="BM291" s="61" t="str">
        <f>IFERROR(IF(BJ291-BD320&lt;=0,"",BL291/SQRT(Таблица_pr10[[#This Row],[Удельное сопротивление грунта, Ом·м]])),BL291/SQRT(Таблица_pr10[[#This Row],[Удельное сопротивление грунта, Ом·м]]))</f>
        <v/>
      </c>
    </row>
    <row r="292" spans="1:65">
      <c r="A292" s="53"/>
      <c r="B292" s="52"/>
      <c r="C292" s="50"/>
      <c r="D292" s="61" t="str">
        <f t="shared" si="25"/>
        <v/>
      </c>
      <c r="E292" s="61" t="str">
        <f>IFERROR(IF(B292-B291&lt;=0,"",D292/SQRT(Таблица_pr[[#This Row],[Удельное сопротивление грунта, Ом·м]])),D292/SQRT(Таблица_pr[[#This Row],[Удельное сопротивление грунта, Ом·м]]))</f>
        <v/>
      </c>
      <c r="G292" s="188"/>
      <c r="H292" s="184"/>
      <c r="I292" s="182"/>
      <c r="J292" s="181" t="str">
        <f t="shared" si="26"/>
        <v/>
      </c>
      <c r="K292" s="61" t="str">
        <f>IFERROR(IF(H292-H291&lt;=0,"",J292/SQRT(Таблица_pr1[[#This Row],[Удельное сопротивление грунта, Ом·м]])),J292/SQRT(Таблица_pr1[[#This Row],[Удельное сопротивление грунта, Ом·м]]))</f>
        <v/>
      </c>
      <c r="M292" s="53"/>
      <c r="N292" s="52"/>
      <c r="O292" s="50"/>
      <c r="P292" s="61" t="str">
        <f t="shared" si="27"/>
        <v/>
      </c>
      <c r="Q292" s="61" t="str">
        <f>IFERROR(IF(N292-N291&lt;=0,"",P292/SQRT(Таблица_pr2[[#This Row],[Удельное сопротивление грунта, Ом·м]])),P292/SQRT(Таблица_pr2[[#This Row],[Удельное сопротивление грунта, Ом·м]]))</f>
        <v/>
      </c>
      <c r="S292" s="53"/>
      <c r="T292" s="52"/>
      <c r="U292" s="50"/>
      <c r="W292" s="61" t="str">
        <f>IFERROR(IF(T292-T291&lt;=0,"",V292/SQRT(Таблица_pr3[[#This Row],[Удельное сопротивление грунта, Ом·м]])),V292/SQRT(Таблица_pr3[[#This Row],[Удельное сопротивление грунта, Ом·м]]))</f>
        <v/>
      </c>
      <c r="Y292" s="53"/>
      <c r="Z292" s="52"/>
      <c r="AA292" s="50"/>
      <c r="AB292" s="61" t="str">
        <f t="shared" si="28"/>
        <v/>
      </c>
      <c r="AC292" s="61" t="str">
        <f>IFERROR(IF(Z292-Z291&lt;=0,"",AB292/SQRT(Таблица_pr4[[#This Row],[Удельное сопротивление грунта, Ом·м]])),AB292/SQRT(Таблица_pr4[[#This Row],[Удельное сопротивление грунта, Ом·м]]))</f>
        <v/>
      </c>
      <c r="AE292" s="53"/>
      <c r="AF292" s="52"/>
      <c r="AG292" s="50"/>
      <c r="AI292" s="61" t="str">
        <f>IFERROR(IF(AF292-AF291&lt;=0,"",AH292/SQRT(Таблица_pr5[[#This Row],[Удельное сопротивление грунта, Ом·м]])),AH292/SQRT(Таблица_pr5[[#This Row],[Удельное сопротивление грунта, Ом·м]]))</f>
        <v/>
      </c>
      <c r="AK292" s="53"/>
      <c r="AL292" s="52"/>
      <c r="AM292" s="50"/>
      <c r="AN292" s="61" t="str">
        <f t="shared" si="29"/>
        <v/>
      </c>
      <c r="AO292" s="61" t="str">
        <f>IFERROR(IF(AL292-AL291&lt;=0,"",AN292/SQRT(Таблица_pr6[[#This Row],[Удельное сопротивление грунта, Ом·м]])),AN292/SQRT(Таблица_pr6[[#This Row],[Удельное сопротивление грунта, Ом·м]]))</f>
        <v/>
      </c>
      <c r="AQ292" s="53"/>
      <c r="AR292" s="52"/>
      <c r="AS292" s="50"/>
      <c r="AU292" s="61" t="str">
        <f>IFERROR(IF(AR292-AR291&lt;=0,"",AT292/SQRT(Таблица_pr7[[#This Row],[Удельное сопротивление грунта, Ом·м]])),AT292/SQRT(Таблица_pr7[[#This Row],[Удельное сопротивление грунта, Ом·м]]))</f>
        <v/>
      </c>
      <c r="AW292" s="53"/>
      <c r="AX292" s="52"/>
      <c r="AY292" s="50"/>
      <c r="AZ292" s="61" t="str">
        <f t="shared" si="30"/>
        <v/>
      </c>
      <c r="BA292" s="61" t="str">
        <f>IFERROR(IF(AX292-AX291&lt;=0,"",AZ292/SQRT(Таблица_pr8[[#This Row],[Удельное сопротивление грунта, Ом·м]])),AZ292/SQRT(Таблица_pr8[[#This Row],[Удельное сопротивление грунта, Ом·м]]))</f>
        <v/>
      </c>
      <c r="BC292" s="53"/>
      <c r="BD292" s="52"/>
      <c r="BE292" s="50"/>
      <c r="BG292" s="61" t="str">
        <f>IFERROR(IF(BD292-AX311&lt;=0,"",BF292/SQRT(Таблица_pr9[[#This Row],[Удельное сопротивление грунта, Ом·м]])),BF292/SQRT(Таблица_pr9[[#This Row],[Удельное сопротивление грунта, Ом·м]]))</f>
        <v/>
      </c>
      <c r="BI292" s="53"/>
      <c r="BJ292" s="52"/>
      <c r="BK292" s="50"/>
      <c r="BM292" s="61" t="str">
        <f>IFERROR(IF(BJ292-BD321&lt;=0,"",BL292/SQRT(Таблица_pr10[[#This Row],[Удельное сопротивление грунта, Ом·м]])),BL292/SQRT(Таблица_pr10[[#This Row],[Удельное сопротивление грунта, Ом·м]]))</f>
        <v/>
      </c>
    </row>
    <row r="293" spans="1:65">
      <c r="A293" s="51"/>
      <c r="B293" s="52"/>
      <c r="C293" s="50"/>
      <c r="D293" s="61" t="str">
        <f t="shared" si="25"/>
        <v/>
      </c>
      <c r="E293" s="61" t="str">
        <f>IFERROR(IF(B293-B292&lt;=0,"",D293/SQRT(Таблица_pr[[#This Row],[Удельное сопротивление грунта, Ом·м]])),D293/SQRT(Таблица_pr[[#This Row],[Удельное сопротивление грунта, Ом·м]]))</f>
        <v/>
      </c>
      <c r="G293" s="189"/>
      <c r="H293" s="185"/>
      <c r="I293" s="183"/>
      <c r="J293" s="180" t="str">
        <f t="shared" si="26"/>
        <v/>
      </c>
      <c r="K293" s="61" t="str">
        <f>IFERROR(IF(H293-H292&lt;=0,"",J293/SQRT(Таблица_pr1[[#This Row],[Удельное сопротивление грунта, Ом·м]])),J293/SQRT(Таблица_pr1[[#This Row],[Удельное сопротивление грунта, Ом·м]]))</f>
        <v/>
      </c>
      <c r="M293" s="51"/>
      <c r="N293" s="52"/>
      <c r="O293" s="50"/>
      <c r="P293" s="61" t="str">
        <f t="shared" si="27"/>
        <v/>
      </c>
      <c r="Q293" s="61" t="str">
        <f>IFERROR(IF(N293-N292&lt;=0,"",P293/SQRT(Таблица_pr2[[#This Row],[Удельное сопротивление грунта, Ом·м]])),P293/SQRT(Таблица_pr2[[#This Row],[Удельное сопротивление грунта, Ом·м]]))</f>
        <v/>
      </c>
      <c r="S293" s="51"/>
      <c r="T293" s="52"/>
      <c r="U293" s="50"/>
      <c r="W293" s="61" t="str">
        <f>IFERROR(IF(T293-T292&lt;=0,"",V293/SQRT(Таблица_pr3[[#This Row],[Удельное сопротивление грунта, Ом·м]])),V293/SQRT(Таблица_pr3[[#This Row],[Удельное сопротивление грунта, Ом·м]]))</f>
        <v/>
      </c>
      <c r="Y293" s="51"/>
      <c r="Z293" s="52"/>
      <c r="AA293" s="50"/>
      <c r="AB293" s="61" t="str">
        <f t="shared" si="28"/>
        <v/>
      </c>
      <c r="AC293" s="61" t="str">
        <f>IFERROR(IF(Z293-Z292&lt;=0,"",AB293/SQRT(Таблица_pr4[[#This Row],[Удельное сопротивление грунта, Ом·м]])),AB293/SQRT(Таблица_pr4[[#This Row],[Удельное сопротивление грунта, Ом·м]]))</f>
        <v/>
      </c>
      <c r="AE293" s="51"/>
      <c r="AF293" s="52"/>
      <c r="AG293" s="50"/>
      <c r="AI293" s="61" t="str">
        <f>IFERROR(IF(AF293-AF292&lt;=0,"",AH293/SQRT(Таблица_pr5[[#This Row],[Удельное сопротивление грунта, Ом·м]])),AH293/SQRT(Таблица_pr5[[#This Row],[Удельное сопротивление грунта, Ом·м]]))</f>
        <v/>
      </c>
      <c r="AK293" s="51"/>
      <c r="AL293" s="52"/>
      <c r="AM293" s="50"/>
      <c r="AN293" s="61" t="str">
        <f t="shared" si="29"/>
        <v/>
      </c>
      <c r="AO293" s="61" t="str">
        <f>IFERROR(IF(AL293-AL292&lt;=0,"",AN293/SQRT(Таблица_pr6[[#This Row],[Удельное сопротивление грунта, Ом·м]])),AN293/SQRT(Таблица_pr6[[#This Row],[Удельное сопротивление грунта, Ом·м]]))</f>
        <v/>
      </c>
      <c r="AQ293" s="51"/>
      <c r="AR293" s="52"/>
      <c r="AS293" s="50"/>
      <c r="AU293" s="61" t="str">
        <f>IFERROR(IF(AR293-AR292&lt;=0,"",AT293/SQRT(Таблица_pr7[[#This Row],[Удельное сопротивление грунта, Ом·м]])),AT293/SQRT(Таблица_pr7[[#This Row],[Удельное сопротивление грунта, Ом·м]]))</f>
        <v/>
      </c>
      <c r="AW293" s="51"/>
      <c r="AX293" s="52"/>
      <c r="AY293" s="50"/>
      <c r="AZ293" s="61" t="str">
        <f t="shared" si="30"/>
        <v/>
      </c>
      <c r="BA293" s="61" t="str">
        <f>IFERROR(IF(AX293-AX292&lt;=0,"",AZ293/SQRT(Таблица_pr8[[#This Row],[Удельное сопротивление грунта, Ом·м]])),AZ293/SQRT(Таблица_pr8[[#This Row],[Удельное сопротивление грунта, Ом·м]]))</f>
        <v/>
      </c>
      <c r="BC293" s="51"/>
      <c r="BD293" s="52"/>
      <c r="BE293" s="50"/>
      <c r="BG293" s="61" t="str">
        <f>IFERROR(IF(BD293-AX312&lt;=0,"",BF293/SQRT(Таблица_pr9[[#This Row],[Удельное сопротивление грунта, Ом·м]])),BF293/SQRT(Таблица_pr9[[#This Row],[Удельное сопротивление грунта, Ом·м]]))</f>
        <v/>
      </c>
      <c r="BI293" s="51"/>
      <c r="BJ293" s="52"/>
      <c r="BK293" s="50"/>
      <c r="BM293" s="61" t="str">
        <f>IFERROR(IF(BJ293-BD322&lt;=0,"",BL293/SQRT(Таблица_pr10[[#This Row],[Удельное сопротивление грунта, Ом·м]])),BL293/SQRT(Таблица_pr10[[#This Row],[Удельное сопротивление грунта, Ом·м]]))</f>
        <v/>
      </c>
    </row>
    <row r="294" spans="1:65">
      <c r="A294" s="53"/>
      <c r="B294" s="52"/>
      <c r="C294" s="50"/>
      <c r="D294" s="61" t="str">
        <f t="shared" si="25"/>
        <v/>
      </c>
      <c r="E294" s="61" t="str">
        <f>IFERROR(IF(B294-B293&lt;=0,"",D294/SQRT(Таблица_pr[[#This Row],[Удельное сопротивление грунта, Ом·м]])),D294/SQRT(Таблица_pr[[#This Row],[Удельное сопротивление грунта, Ом·м]]))</f>
        <v/>
      </c>
      <c r="G294" s="188"/>
      <c r="H294" s="184"/>
      <c r="I294" s="182"/>
      <c r="J294" s="181" t="str">
        <f t="shared" si="26"/>
        <v/>
      </c>
      <c r="K294" s="61" t="str">
        <f>IFERROR(IF(H294-H293&lt;=0,"",J294/SQRT(Таблица_pr1[[#This Row],[Удельное сопротивление грунта, Ом·м]])),J294/SQRT(Таблица_pr1[[#This Row],[Удельное сопротивление грунта, Ом·м]]))</f>
        <v/>
      </c>
      <c r="M294" s="53"/>
      <c r="N294" s="52"/>
      <c r="O294" s="50"/>
      <c r="P294" s="61" t="str">
        <f t="shared" si="27"/>
        <v/>
      </c>
      <c r="Q294" s="61" t="str">
        <f>IFERROR(IF(N294-N293&lt;=0,"",P294/SQRT(Таблица_pr2[[#This Row],[Удельное сопротивление грунта, Ом·м]])),P294/SQRT(Таблица_pr2[[#This Row],[Удельное сопротивление грунта, Ом·м]]))</f>
        <v/>
      </c>
      <c r="S294" s="53"/>
      <c r="T294" s="52"/>
      <c r="U294" s="50"/>
      <c r="W294" s="61" t="str">
        <f>IFERROR(IF(T294-T293&lt;=0,"",V294/SQRT(Таблица_pr3[[#This Row],[Удельное сопротивление грунта, Ом·м]])),V294/SQRT(Таблица_pr3[[#This Row],[Удельное сопротивление грунта, Ом·м]]))</f>
        <v/>
      </c>
      <c r="Y294" s="53"/>
      <c r="Z294" s="52"/>
      <c r="AA294" s="50"/>
      <c r="AB294" s="61" t="str">
        <f t="shared" si="28"/>
        <v/>
      </c>
      <c r="AC294" s="61" t="str">
        <f>IFERROR(IF(Z294-Z293&lt;=0,"",AB294/SQRT(Таблица_pr4[[#This Row],[Удельное сопротивление грунта, Ом·м]])),AB294/SQRT(Таблица_pr4[[#This Row],[Удельное сопротивление грунта, Ом·м]]))</f>
        <v/>
      </c>
      <c r="AE294" s="53"/>
      <c r="AF294" s="52"/>
      <c r="AG294" s="50"/>
      <c r="AI294" s="61" t="str">
        <f>IFERROR(IF(AF294-AF293&lt;=0,"",AH294/SQRT(Таблица_pr5[[#This Row],[Удельное сопротивление грунта, Ом·м]])),AH294/SQRT(Таблица_pr5[[#This Row],[Удельное сопротивление грунта, Ом·м]]))</f>
        <v/>
      </c>
      <c r="AK294" s="53"/>
      <c r="AL294" s="52"/>
      <c r="AM294" s="50"/>
      <c r="AN294" s="61" t="str">
        <f t="shared" si="29"/>
        <v/>
      </c>
      <c r="AO294" s="61" t="str">
        <f>IFERROR(IF(AL294-AL293&lt;=0,"",AN294/SQRT(Таблица_pr6[[#This Row],[Удельное сопротивление грунта, Ом·м]])),AN294/SQRT(Таблица_pr6[[#This Row],[Удельное сопротивление грунта, Ом·м]]))</f>
        <v/>
      </c>
      <c r="AQ294" s="53"/>
      <c r="AR294" s="52"/>
      <c r="AS294" s="50"/>
      <c r="AU294" s="61" t="str">
        <f>IFERROR(IF(AR294-AR293&lt;=0,"",AT294/SQRT(Таблица_pr7[[#This Row],[Удельное сопротивление грунта, Ом·м]])),AT294/SQRT(Таблица_pr7[[#This Row],[Удельное сопротивление грунта, Ом·м]]))</f>
        <v/>
      </c>
      <c r="AW294" s="53"/>
      <c r="AX294" s="52"/>
      <c r="AY294" s="50"/>
      <c r="AZ294" s="61" t="str">
        <f t="shared" si="30"/>
        <v/>
      </c>
      <c r="BA294" s="61" t="str">
        <f>IFERROR(IF(AX294-AX293&lt;=0,"",AZ294/SQRT(Таблица_pr8[[#This Row],[Удельное сопротивление грунта, Ом·м]])),AZ294/SQRT(Таблица_pr8[[#This Row],[Удельное сопротивление грунта, Ом·м]]))</f>
        <v/>
      </c>
      <c r="BC294" s="53"/>
      <c r="BD294" s="52"/>
      <c r="BE294" s="50"/>
      <c r="BG294" s="61" t="str">
        <f>IFERROR(IF(BD294-AX313&lt;=0,"",BF294/SQRT(Таблица_pr9[[#This Row],[Удельное сопротивление грунта, Ом·м]])),BF294/SQRT(Таблица_pr9[[#This Row],[Удельное сопротивление грунта, Ом·м]]))</f>
        <v/>
      </c>
      <c r="BI294" s="53"/>
      <c r="BJ294" s="52"/>
      <c r="BK294" s="50"/>
      <c r="BM294" s="61" t="str">
        <f>IFERROR(IF(BJ294-BD323&lt;=0,"",BL294/SQRT(Таблица_pr10[[#This Row],[Удельное сопротивление грунта, Ом·м]])),BL294/SQRT(Таблица_pr10[[#This Row],[Удельное сопротивление грунта, Ом·м]]))</f>
        <v/>
      </c>
    </row>
    <row r="295" spans="1:65">
      <c r="A295" s="51"/>
      <c r="B295" s="52"/>
      <c r="C295" s="50"/>
      <c r="D295" s="61" t="str">
        <f t="shared" si="25"/>
        <v/>
      </c>
      <c r="E295" s="61" t="str">
        <f>IFERROR(IF(B295-B294&lt;=0,"",D295/SQRT(Таблица_pr[[#This Row],[Удельное сопротивление грунта, Ом·м]])),D295/SQRT(Таблица_pr[[#This Row],[Удельное сопротивление грунта, Ом·м]]))</f>
        <v/>
      </c>
      <c r="G295" s="189"/>
      <c r="H295" s="185"/>
      <c r="I295" s="183"/>
      <c r="J295" s="180" t="str">
        <f t="shared" si="26"/>
        <v/>
      </c>
      <c r="K295" s="61" t="str">
        <f>IFERROR(IF(H295-H294&lt;=0,"",J295/SQRT(Таблица_pr1[[#This Row],[Удельное сопротивление грунта, Ом·м]])),J295/SQRT(Таблица_pr1[[#This Row],[Удельное сопротивление грунта, Ом·м]]))</f>
        <v/>
      </c>
      <c r="M295" s="51"/>
      <c r="N295" s="52"/>
      <c r="O295" s="50"/>
      <c r="P295" s="61" t="str">
        <f t="shared" si="27"/>
        <v/>
      </c>
      <c r="Q295" s="61" t="str">
        <f>IFERROR(IF(N295-N294&lt;=0,"",P295/SQRT(Таблица_pr2[[#This Row],[Удельное сопротивление грунта, Ом·м]])),P295/SQRT(Таблица_pr2[[#This Row],[Удельное сопротивление грунта, Ом·м]]))</f>
        <v/>
      </c>
      <c r="S295" s="51"/>
      <c r="T295" s="52"/>
      <c r="U295" s="50"/>
      <c r="W295" s="61" t="str">
        <f>IFERROR(IF(T295-T294&lt;=0,"",V295/SQRT(Таблица_pr3[[#This Row],[Удельное сопротивление грунта, Ом·м]])),V295/SQRT(Таблица_pr3[[#This Row],[Удельное сопротивление грунта, Ом·м]]))</f>
        <v/>
      </c>
      <c r="Y295" s="51"/>
      <c r="Z295" s="52"/>
      <c r="AA295" s="50"/>
      <c r="AB295" s="61" t="str">
        <f t="shared" si="28"/>
        <v/>
      </c>
      <c r="AC295" s="61" t="str">
        <f>IFERROR(IF(Z295-Z294&lt;=0,"",AB295/SQRT(Таблица_pr4[[#This Row],[Удельное сопротивление грунта, Ом·м]])),AB295/SQRT(Таблица_pr4[[#This Row],[Удельное сопротивление грунта, Ом·м]]))</f>
        <v/>
      </c>
      <c r="AE295" s="51"/>
      <c r="AF295" s="52"/>
      <c r="AG295" s="50"/>
      <c r="AI295" s="61" t="str">
        <f>IFERROR(IF(AF295-AF294&lt;=0,"",AH295/SQRT(Таблица_pr5[[#This Row],[Удельное сопротивление грунта, Ом·м]])),AH295/SQRT(Таблица_pr5[[#This Row],[Удельное сопротивление грунта, Ом·м]]))</f>
        <v/>
      </c>
      <c r="AK295" s="51"/>
      <c r="AL295" s="52"/>
      <c r="AM295" s="50"/>
      <c r="AN295" s="61" t="str">
        <f t="shared" si="29"/>
        <v/>
      </c>
      <c r="AO295" s="61" t="str">
        <f>IFERROR(IF(AL295-AL294&lt;=0,"",AN295/SQRT(Таблица_pr6[[#This Row],[Удельное сопротивление грунта, Ом·м]])),AN295/SQRT(Таблица_pr6[[#This Row],[Удельное сопротивление грунта, Ом·м]]))</f>
        <v/>
      </c>
      <c r="AQ295" s="51"/>
      <c r="AR295" s="52"/>
      <c r="AS295" s="50"/>
      <c r="AU295" s="61" t="str">
        <f>IFERROR(IF(AR295-AR294&lt;=0,"",AT295/SQRT(Таблица_pr7[[#This Row],[Удельное сопротивление грунта, Ом·м]])),AT295/SQRT(Таблица_pr7[[#This Row],[Удельное сопротивление грунта, Ом·м]]))</f>
        <v/>
      </c>
      <c r="AW295" s="51"/>
      <c r="AX295" s="52"/>
      <c r="AY295" s="50"/>
      <c r="AZ295" s="61" t="str">
        <f t="shared" si="30"/>
        <v/>
      </c>
      <c r="BA295" s="61" t="str">
        <f>IFERROR(IF(AX295-AX294&lt;=0,"",AZ295/SQRT(Таблица_pr8[[#This Row],[Удельное сопротивление грунта, Ом·м]])),AZ295/SQRT(Таблица_pr8[[#This Row],[Удельное сопротивление грунта, Ом·м]]))</f>
        <v/>
      </c>
      <c r="BC295" s="51"/>
      <c r="BD295" s="52"/>
      <c r="BE295" s="50"/>
      <c r="BG295" s="61" t="str">
        <f>IFERROR(IF(BD295-AX314&lt;=0,"",BF295/SQRT(Таблица_pr9[[#This Row],[Удельное сопротивление грунта, Ом·м]])),BF295/SQRT(Таблица_pr9[[#This Row],[Удельное сопротивление грунта, Ом·м]]))</f>
        <v/>
      </c>
      <c r="BI295" s="51"/>
      <c r="BJ295" s="52"/>
      <c r="BK295" s="50"/>
      <c r="BM295" s="61" t="str">
        <f>IFERROR(IF(BJ295-BD324&lt;=0,"",BL295/SQRT(Таблица_pr10[[#This Row],[Удельное сопротивление грунта, Ом·м]])),BL295/SQRT(Таблица_pr10[[#This Row],[Удельное сопротивление грунта, Ом·м]]))</f>
        <v/>
      </c>
    </row>
    <row r="296" spans="1:65">
      <c r="A296" s="53"/>
      <c r="B296" s="52"/>
      <c r="C296" s="50"/>
      <c r="D296" s="61" t="str">
        <f t="shared" si="25"/>
        <v/>
      </c>
      <c r="E296" s="61" t="str">
        <f>IFERROR(IF(B296-B295&lt;=0,"",D296/SQRT(Таблица_pr[[#This Row],[Удельное сопротивление грунта, Ом·м]])),D296/SQRT(Таблица_pr[[#This Row],[Удельное сопротивление грунта, Ом·м]]))</f>
        <v/>
      </c>
      <c r="G296" s="188"/>
      <c r="H296" s="184"/>
      <c r="I296" s="182"/>
      <c r="J296" s="181" t="str">
        <f t="shared" si="26"/>
        <v/>
      </c>
      <c r="K296" s="61" t="str">
        <f>IFERROR(IF(H296-H295&lt;=0,"",J296/SQRT(Таблица_pr1[[#This Row],[Удельное сопротивление грунта, Ом·м]])),J296/SQRT(Таблица_pr1[[#This Row],[Удельное сопротивление грунта, Ом·м]]))</f>
        <v/>
      </c>
      <c r="M296" s="53"/>
      <c r="N296" s="52"/>
      <c r="O296" s="50"/>
      <c r="P296" s="61" t="str">
        <f t="shared" si="27"/>
        <v/>
      </c>
      <c r="Q296" s="61" t="str">
        <f>IFERROR(IF(N296-N295&lt;=0,"",P296/SQRT(Таблица_pr2[[#This Row],[Удельное сопротивление грунта, Ом·м]])),P296/SQRT(Таблица_pr2[[#This Row],[Удельное сопротивление грунта, Ом·м]]))</f>
        <v/>
      </c>
      <c r="S296" s="53"/>
      <c r="T296" s="52"/>
      <c r="U296" s="50"/>
      <c r="W296" s="61" t="str">
        <f>IFERROR(IF(T296-T295&lt;=0,"",V296/SQRT(Таблица_pr3[[#This Row],[Удельное сопротивление грунта, Ом·м]])),V296/SQRT(Таблица_pr3[[#This Row],[Удельное сопротивление грунта, Ом·м]]))</f>
        <v/>
      </c>
      <c r="Y296" s="53"/>
      <c r="Z296" s="52"/>
      <c r="AA296" s="50"/>
      <c r="AB296" s="61" t="str">
        <f t="shared" si="28"/>
        <v/>
      </c>
      <c r="AC296" s="61" t="str">
        <f>IFERROR(IF(Z296-Z295&lt;=0,"",AB296/SQRT(Таблица_pr4[[#This Row],[Удельное сопротивление грунта, Ом·м]])),AB296/SQRT(Таблица_pr4[[#This Row],[Удельное сопротивление грунта, Ом·м]]))</f>
        <v/>
      </c>
      <c r="AE296" s="53"/>
      <c r="AF296" s="52"/>
      <c r="AG296" s="50"/>
      <c r="AI296" s="61" t="str">
        <f>IFERROR(IF(AF296-AF295&lt;=0,"",AH296/SQRT(Таблица_pr5[[#This Row],[Удельное сопротивление грунта, Ом·м]])),AH296/SQRT(Таблица_pr5[[#This Row],[Удельное сопротивление грунта, Ом·м]]))</f>
        <v/>
      </c>
      <c r="AK296" s="53"/>
      <c r="AL296" s="52"/>
      <c r="AM296" s="50"/>
      <c r="AN296" s="61" t="str">
        <f t="shared" si="29"/>
        <v/>
      </c>
      <c r="AO296" s="61" t="str">
        <f>IFERROR(IF(AL296-AL295&lt;=0,"",AN296/SQRT(Таблица_pr6[[#This Row],[Удельное сопротивление грунта, Ом·м]])),AN296/SQRT(Таблица_pr6[[#This Row],[Удельное сопротивление грунта, Ом·м]]))</f>
        <v/>
      </c>
      <c r="AQ296" s="53"/>
      <c r="AR296" s="52"/>
      <c r="AS296" s="50"/>
      <c r="AU296" s="61" t="str">
        <f>IFERROR(IF(AR296-AR295&lt;=0,"",AT296/SQRT(Таблица_pr7[[#This Row],[Удельное сопротивление грунта, Ом·м]])),AT296/SQRT(Таблица_pr7[[#This Row],[Удельное сопротивление грунта, Ом·м]]))</f>
        <v/>
      </c>
      <c r="AW296" s="53"/>
      <c r="AX296" s="52"/>
      <c r="AY296" s="50"/>
      <c r="AZ296" s="61" t="str">
        <f t="shared" si="30"/>
        <v/>
      </c>
      <c r="BA296" s="61" t="str">
        <f>IFERROR(IF(AX296-AX295&lt;=0,"",AZ296/SQRT(Таблица_pr8[[#This Row],[Удельное сопротивление грунта, Ом·м]])),AZ296/SQRT(Таблица_pr8[[#This Row],[Удельное сопротивление грунта, Ом·м]]))</f>
        <v/>
      </c>
      <c r="BC296" s="53"/>
      <c r="BD296" s="52"/>
      <c r="BE296" s="50"/>
      <c r="BG296" s="61" t="str">
        <f>IFERROR(IF(BD296-AX315&lt;=0,"",BF296/SQRT(Таблица_pr9[[#This Row],[Удельное сопротивление грунта, Ом·м]])),BF296/SQRT(Таблица_pr9[[#This Row],[Удельное сопротивление грунта, Ом·м]]))</f>
        <v/>
      </c>
      <c r="BI296" s="53"/>
      <c r="BJ296" s="52"/>
      <c r="BK296" s="50"/>
      <c r="BM296" s="61" t="str">
        <f>IFERROR(IF(BJ296-BD325&lt;=0,"",BL296/SQRT(Таблица_pr10[[#This Row],[Удельное сопротивление грунта, Ом·м]])),BL296/SQRT(Таблица_pr10[[#This Row],[Удельное сопротивление грунта, Ом·м]]))</f>
        <v/>
      </c>
    </row>
    <row r="297" spans="1:65">
      <c r="A297" s="51"/>
      <c r="B297" s="52"/>
      <c r="C297" s="50"/>
      <c r="D297" s="61" t="str">
        <f t="shared" si="25"/>
        <v/>
      </c>
      <c r="E297" s="61" t="str">
        <f>IFERROR(IF(B297-B296&lt;=0,"",D297/SQRT(Таблица_pr[[#This Row],[Удельное сопротивление грунта, Ом·м]])),D297/SQRT(Таблица_pr[[#This Row],[Удельное сопротивление грунта, Ом·м]]))</f>
        <v/>
      </c>
      <c r="G297" s="189"/>
      <c r="H297" s="185"/>
      <c r="I297" s="183"/>
      <c r="J297" s="180" t="str">
        <f t="shared" si="26"/>
        <v/>
      </c>
      <c r="K297" s="61" t="str">
        <f>IFERROR(IF(H297-H296&lt;=0,"",J297/SQRT(Таблица_pr1[[#This Row],[Удельное сопротивление грунта, Ом·м]])),J297/SQRT(Таблица_pr1[[#This Row],[Удельное сопротивление грунта, Ом·м]]))</f>
        <v/>
      </c>
      <c r="M297" s="51"/>
      <c r="N297" s="52"/>
      <c r="O297" s="50"/>
      <c r="P297" s="61" t="str">
        <f t="shared" si="27"/>
        <v/>
      </c>
      <c r="Q297" s="61" t="str">
        <f>IFERROR(IF(N297-N296&lt;=0,"",P297/SQRT(Таблица_pr2[[#This Row],[Удельное сопротивление грунта, Ом·м]])),P297/SQRT(Таблица_pr2[[#This Row],[Удельное сопротивление грунта, Ом·м]]))</f>
        <v/>
      </c>
      <c r="S297" s="51"/>
      <c r="T297" s="52"/>
      <c r="U297" s="50"/>
      <c r="W297" s="61" t="str">
        <f>IFERROR(IF(T297-T296&lt;=0,"",V297/SQRT(Таблица_pr3[[#This Row],[Удельное сопротивление грунта, Ом·м]])),V297/SQRT(Таблица_pr3[[#This Row],[Удельное сопротивление грунта, Ом·м]]))</f>
        <v/>
      </c>
      <c r="Y297" s="51"/>
      <c r="Z297" s="52"/>
      <c r="AA297" s="50"/>
      <c r="AB297" s="61" t="str">
        <f t="shared" si="28"/>
        <v/>
      </c>
      <c r="AC297" s="61" t="str">
        <f>IFERROR(IF(Z297-Z296&lt;=0,"",AB297/SQRT(Таблица_pr4[[#This Row],[Удельное сопротивление грунта, Ом·м]])),AB297/SQRT(Таблица_pr4[[#This Row],[Удельное сопротивление грунта, Ом·м]]))</f>
        <v/>
      </c>
      <c r="AE297" s="51"/>
      <c r="AF297" s="52"/>
      <c r="AG297" s="50"/>
      <c r="AI297" s="61" t="str">
        <f>IFERROR(IF(AF297-AF296&lt;=0,"",AH297/SQRT(Таблица_pr5[[#This Row],[Удельное сопротивление грунта, Ом·м]])),AH297/SQRT(Таблица_pr5[[#This Row],[Удельное сопротивление грунта, Ом·м]]))</f>
        <v/>
      </c>
      <c r="AK297" s="51"/>
      <c r="AL297" s="52"/>
      <c r="AM297" s="50"/>
      <c r="AN297" s="61" t="str">
        <f t="shared" si="29"/>
        <v/>
      </c>
      <c r="AO297" s="61" t="str">
        <f>IFERROR(IF(AL297-AL296&lt;=0,"",AN297/SQRT(Таблица_pr6[[#This Row],[Удельное сопротивление грунта, Ом·м]])),AN297/SQRT(Таблица_pr6[[#This Row],[Удельное сопротивление грунта, Ом·м]]))</f>
        <v/>
      </c>
      <c r="AQ297" s="51"/>
      <c r="AR297" s="52"/>
      <c r="AS297" s="50"/>
      <c r="AU297" s="61" t="str">
        <f>IFERROR(IF(AR297-AR296&lt;=0,"",AT297/SQRT(Таблица_pr7[[#This Row],[Удельное сопротивление грунта, Ом·м]])),AT297/SQRT(Таблица_pr7[[#This Row],[Удельное сопротивление грунта, Ом·м]]))</f>
        <v/>
      </c>
      <c r="AW297" s="51"/>
      <c r="AX297" s="52"/>
      <c r="AY297" s="50"/>
      <c r="AZ297" s="61" t="str">
        <f t="shared" si="30"/>
        <v/>
      </c>
      <c r="BA297" s="61" t="str">
        <f>IFERROR(IF(AX297-AX296&lt;=0,"",AZ297/SQRT(Таблица_pr8[[#This Row],[Удельное сопротивление грунта, Ом·м]])),AZ297/SQRT(Таблица_pr8[[#This Row],[Удельное сопротивление грунта, Ом·м]]))</f>
        <v/>
      </c>
      <c r="BC297" s="51"/>
      <c r="BD297" s="52"/>
      <c r="BE297" s="50"/>
      <c r="BG297" s="61" t="str">
        <f>IFERROR(IF(BD297-AX316&lt;=0,"",BF297/SQRT(Таблица_pr9[[#This Row],[Удельное сопротивление грунта, Ом·м]])),BF297/SQRT(Таблица_pr9[[#This Row],[Удельное сопротивление грунта, Ом·м]]))</f>
        <v/>
      </c>
      <c r="BI297" s="51"/>
      <c r="BJ297" s="52"/>
      <c r="BK297" s="50"/>
      <c r="BM297" s="61" t="str">
        <f>IFERROR(IF(BJ297-BD326&lt;=0,"",BL297/SQRT(Таблица_pr10[[#This Row],[Удельное сопротивление грунта, Ом·м]])),BL297/SQRT(Таблица_pr10[[#This Row],[Удельное сопротивление грунта, Ом·м]]))</f>
        <v/>
      </c>
    </row>
    <row r="298" spans="1:65">
      <c r="A298" s="53"/>
      <c r="B298" s="52"/>
      <c r="C298" s="50"/>
      <c r="D298" s="61" t="str">
        <f t="shared" si="25"/>
        <v/>
      </c>
      <c r="E298" s="61" t="str">
        <f>IFERROR(IF(B298-B297&lt;=0,"",D298/SQRT(Таблица_pr[[#This Row],[Удельное сопротивление грунта, Ом·м]])),D298/SQRT(Таблица_pr[[#This Row],[Удельное сопротивление грунта, Ом·м]]))</f>
        <v/>
      </c>
      <c r="G298" s="188"/>
      <c r="H298" s="184"/>
      <c r="I298" s="182"/>
      <c r="J298" s="181" t="str">
        <f t="shared" si="26"/>
        <v/>
      </c>
      <c r="K298" s="61" t="str">
        <f>IFERROR(IF(H298-H297&lt;=0,"",J298/SQRT(Таблица_pr1[[#This Row],[Удельное сопротивление грунта, Ом·м]])),J298/SQRT(Таблица_pr1[[#This Row],[Удельное сопротивление грунта, Ом·м]]))</f>
        <v/>
      </c>
      <c r="M298" s="53"/>
      <c r="N298" s="52"/>
      <c r="O298" s="50"/>
      <c r="P298" s="61" t="str">
        <f t="shared" si="27"/>
        <v/>
      </c>
      <c r="Q298" s="61" t="str">
        <f>IFERROR(IF(N298-N297&lt;=0,"",P298/SQRT(Таблица_pr2[[#This Row],[Удельное сопротивление грунта, Ом·м]])),P298/SQRT(Таблица_pr2[[#This Row],[Удельное сопротивление грунта, Ом·м]]))</f>
        <v/>
      </c>
      <c r="S298" s="53"/>
      <c r="T298" s="52"/>
      <c r="U298" s="50"/>
      <c r="W298" s="61" t="str">
        <f>IFERROR(IF(T298-T297&lt;=0,"",V298/SQRT(Таблица_pr3[[#This Row],[Удельное сопротивление грунта, Ом·м]])),V298/SQRT(Таблица_pr3[[#This Row],[Удельное сопротивление грунта, Ом·м]]))</f>
        <v/>
      </c>
      <c r="Y298" s="53"/>
      <c r="Z298" s="52"/>
      <c r="AA298" s="50"/>
      <c r="AB298" s="61" t="str">
        <f t="shared" si="28"/>
        <v/>
      </c>
      <c r="AC298" s="61" t="str">
        <f>IFERROR(IF(Z298-Z297&lt;=0,"",AB298/SQRT(Таблица_pr4[[#This Row],[Удельное сопротивление грунта, Ом·м]])),AB298/SQRT(Таблица_pr4[[#This Row],[Удельное сопротивление грунта, Ом·м]]))</f>
        <v/>
      </c>
      <c r="AE298" s="53"/>
      <c r="AF298" s="52"/>
      <c r="AG298" s="50"/>
      <c r="AI298" s="61" t="str">
        <f>IFERROR(IF(AF298-AF297&lt;=0,"",AH298/SQRT(Таблица_pr5[[#This Row],[Удельное сопротивление грунта, Ом·м]])),AH298/SQRT(Таблица_pr5[[#This Row],[Удельное сопротивление грунта, Ом·м]]))</f>
        <v/>
      </c>
      <c r="AK298" s="53"/>
      <c r="AL298" s="52"/>
      <c r="AM298" s="50"/>
      <c r="AN298" s="61" t="str">
        <f t="shared" si="29"/>
        <v/>
      </c>
      <c r="AO298" s="61" t="str">
        <f>IFERROR(IF(AL298-AL297&lt;=0,"",AN298/SQRT(Таблица_pr6[[#This Row],[Удельное сопротивление грунта, Ом·м]])),AN298/SQRT(Таблица_pr6[[#This Row],[Удельное сопротивление грунта, Ом·м]]))</f>
        <v/>
      </c>
      <c r="AQ298" s="53"/>
      <c r="AR298" s="52"/>
      <c r="AS298" s="50"/>
      <c r="AU298" s="61" t="str">
        <f>IFERROR(IF(AR298-AR297&lt;=0,"",AT298/SQRT(Таблица_pr7[[#This Row],[Удельное сопротивление грунта, Ом·м]])),AT298/SQRT(Таблица_pr7[[#This Row],[Удельное сопротивление грунта, Ом·м]]))</f>
        <v/>
      </c>
      <c r="AW298" s="53"/>
      <c r="AX298" s="52"/>
      <c r="AY298" s="50"/>
      <c r="AZ298" s="61" t="str">
        <f t="shared" si="30"/>
        <v/>
      </c>
      <c r="BA298" s="61" t="str">
        <f>IFERROR(IF(AX298-AX297&lt;=0,"",AZ298/SQRT(Таблица_pr8[[#This Row],[Удельное сопротивление грунта, Ом·м]])),AZ298/SQRT(Таблица_pr8[[#This Row],[Удельное сопротивление грунта, Ом·м]]))</f>
        <v/>
      </c>
      <c r="BC298" s="53"/>
      <c r="BD298" s="52"/>
      <c r="BE298" s="50"/>
      <c r="BG298" s="61" t="str">
        <f>IFERROR(IF(BD298-AX317&lt;=0,"",BF298/SQRT(Таблица_pr9[[#This Row],[Удельное сопротивление грунта, Ом·м]])),BF298/SQRT(Таблица_pr9[[#This Row],[Удельное сопротивление грунта, Ом·м]]))</f>
        <v/>
      </c>
      <c r="BI298" s="53"/>
      <c r="BJ298" s="52"/>
      <c r="BK298" s="50"/>
      <c r="BM298" s="61" t="str">
        <f>IFERROR(IF(BJ298-BD327&lt;=0,"",BL298/SQRT(Таблица_pr10[[#This Row],[Удельное сопротивление грунта, Ом·м]])),BL298/SQRT(Таблица_pr10[[#This Row],[Удельное сопротивление грунта, Ом·м]]))</f>
        <v/>
      </c>
    </row>
    <row r="299" spans="1:65">
      <c r="A299" s="51"/>
      <c r="B299" s="52"/>
      <c r="C299" s="50"/>
      <c r="D299" s="61" t="str">
        <f t="shared" si="25"/>
        <v/>
      </c>
      <c r="E299" s="61" t="str">
        <f>IFERROR(IF(B299-B298&lt;=0,"",D299/SQRT(Таблица_pr[[#This Row],[Удельное сопротивление грунта, Ом·м]])),D299/SQRT(Таблица_pr[[#This Row],[Удельное сопротивление грунта, Ом·м]]))</f>
        <v/>
      </c>
      <c r="G299" s="189"/>
      <c r="H299" s="185"/>
      <c r="I299" s="183"/>
      <c r="J299" s="180" t="str">
        <f t="shared" si="26"/>
        <v/>
      </c>
      <c r="K299" s="61" t="str">
        <f>IFERROR(IF(H299-H298&lt;=0,"",J299/SQRT(Таблица_pr1[[#This Row],[Удельное сопротивление грунта, Ом·м]])),J299/SQRT(Таблица_pr1[[#This Row],[Удельное сопротивление грунта, Ом·м]]))</f>
        <v/>
      </c>
      <c r="M299" s="51"/>
      <c r="N299" s="52"/>
      <c r="O299" s="50"/>
      <c r="P299" s="61" t="str">
        <f t="shared" si="27"/>
        <v/>
      </c>
      <c r="Q299" s="61" t="str">
        <f>IFERROR(IF(N299-N298&lt;=0,"",P299/SQRT(Таблица_pr2[[#This Row],[Удельное сопротивление грунта, Ом·м]])),P299/SQRT(Таблица_pr2[[#This Row],[Удельное сопротивление грунта, Ом·м]]))</f>
        <v/>
      </c>
      <c r="S299" s="51"/>
      <c r="T299" s="52"/>
      <c r="U299" s="50"/>
      <c r="W299" s="61" t="str">
        <f>IFERROR(IF(T299-T298&lt;=0,"",V299/SQRT(Таблица_pr3[[#This Row],[Удельное сопротивление грунта, Ом·м]])),V299/SQRT(Таблица_pr3[[#This Row],[Удельное сопротивление грунта, Ом·м]]))</f>
        <v/>
      </c>
      <c r="Y299" s="51"/>
      <c r="Z299" s="52"/>
      <c r="AA299" s="50"/>
      <c r="AB299" s="61" t="str">
        <f t="shared" si="28"/>
        <v/>
      </c>
      <c r="AC299" s="61" t="str">
        <f>IFERROR(IF(Z299-Z298&lt;=0,"",AB299/SQRT(Таблица_pr4[[#This Row],[Удельное сопротивление грунта, Ом·м]])),AB299/SQRT(Таблица_pr4[[#This Row],[Удельное сопротивление грунта, Ом·м]]))</f>
        <v/>
      </c>
      <c r="AE299" s="51"/>
      <c r="AF299" s="52"/>
      <c r="AG299" s="50"/>
      <c r="AI299" s="61" t="str">
        <f>IFERROR(IF(AF299-AF298&lt;=0,"",AH299/SQRT(Таблица_pr5[[#This Row],[Удельное сопротивление грунта, Ом·м]])),AH299/SQRT(Таблица_pr5[[#This Row],[Удельное сопротивление грунта, Ом·м]]))</f>
        <v/>
      </c>
      <c r="AK299" s="51"/>
      <c r="AL299" s="52"/>
      <c r="AM299" s="50"/>
      <c r="AN299" s="61" t="str">
        <f t="shared" si="29"/>
        <v/>
      </c>
      <c r="AO299" s="61" t="str">
        <f>IFERROR(IF(AL299-AL298&lt;=0,"",AN299/SQRT(Таблица_pr6[[#This Row],[Удельное сопротивление грунта, Ом·м]])),AN299/SQRT(Таблица_pr6[[#This Row],[Удельное сопротивление грунта, Ом·м]]))</f>
        <v/>
      </c>
      <c r="AQ299" s="51"/>
      <c r="AR299" s="52"/>
      <c r="AS299" s="50"/>
      <c r="AU299" s="61" t="str">
        <f>IFERROR(IF(AR299-AR298&lt;=0,"",AT299/SQRT(Таблица_pr7[[#This Row],[Удельное сопротивление грунта, Ом·м]])),AT299/SQRT(Таблица_pr7[[#This Row],[Удельное сопротивление грунта, Ом·м]]))</f>
        <v/>
      </c>
      <c r="AW299" s="51"/>
      <c r="AX299" s="52"/>
      <c r="AY299" s="50"/>
      <c r="AZ299" s="61" t="str">
        <f t="shared" si="30"/>
        <v/>
      </c>
      <c r="BA299" s="61" t="str">
        <f>IFERROR(IF(AX299-AX298&lt;=0,"",AZ299/SQRT(Таблица_pr8[[#This Row],[Удельное сопротивление грунта, Ом·м]])),AZ299/SQRT(Таблица_pr8[[#This Row],[Удельное сопротивление грунта, Ом·м]]))</f>
        <v/>
      </c>
      <c r="BC299" s="51"/>
      <c r="BD299" s="52"/>
      <c r="BE299" s="50"/>
      <c r="BG299" s="61" t="str">
        <f>IFERROR(IF(BD299-AX318&lt;=0,"",BF299/SQRT(Таблица_pr9[[#This Row],[Удельное сопротивление грунта, Ом·м]])),BF299/SQRT(Таблица_pr9[[#This Row],[Удельное сопротивление грунта, Ом·м]]))</f>
        <v/>
      </c>
      <c r="BI299" s="51"/>
      <c r="BJ299" s="52"/>
      <c r="BK299" s="50"/>
      <c r="BM299" s="61" t="str">
        <f>IFERROR(IF(BJ299-BD328&lt;=0,"",BL299/SQRT(Таблица_pr10[[#This Row],[Удельное сопротивление грунта, Ом·м]])),BL299/SQRT(Таблица_pr10[[#This Row],[Удельное сопротивление грунта, Ом·м]]))</f>
        <v/>
      </c>
    </row>
    <row r="300" spans="1:65">
      <c r="A300" s="53"/>
      <c r="B300" s="52"/>
      <c r="C300" s="50"/>
      <c r="D300" s="61" t="str">
        <f t="shared" si="25"/>
        <v/>
      </c>
      <c r="E300" s="61" t="str">
        <f>IFERROR(IF(B300-B299&lt;=0,"",D300/SQRT(Таблица_pr[[#This Row],[Удельное сопротивление грунта, Ом·м]])),D300/SQRT(Таблица_pr[[#This Row],[Удельное сопротивление грунта, Ом·м]]))</f>
        <v/>
      </c>
      <c r="G300" s="188"/>
      <c r="H300" s="184"/>
      <c r="I300" s="182"/>
      <c r="J300" s="181" t="str">
        <f t="shared" si="26"/>
        <v/>
      </c>
      <c r="K300" s="61" t="str">
        <f>IFERROR(IF(H300-H299&lt;=0,"",J300/SQRT(Таблица_pr1[[#This Row],[Удельное сопротивление грунта, Ом·м]])),J300/SQRT(Таблица_pr1[[#This Row],[Удельное сопротивление грунта, Ом·м]]))</f>
        <v/>
      </c>
      <c r="M300" s="53"/>
      <c r="N300" s="52"/>
      <c r="O300" s="50"/>
      <c r="P300" s="61" t="str">
        <f t="shared" si="27"/>
        <v/>
      </c>
      <c r="Q300" s="61" t="str">
        <f>IFERROR(IF(N300-N299&lt;=0,"",P300/SQRT(Таблица_pr2[[#This Row],[Удельное сопротивление грунта, Ом·м]])),P300/SQRT(Таблица_pr2[[#This Row],[Удельное сопротивление грунта, Ом·м]]))</f>
        <v/>
      </c>
      <c r="S300" s="53"/>
      <c r="T300" s="52"/>
      <c r="U300" s="50"/>
      <c r="W300" s="61" t="str">
        <f>IFERROR(IF(T300-T299&lt;=0,"",V300/SQRT(Таблица_pr3[[#This Row],[Удельное сопротивление грунта, Ом·м]])),V300/SQRT(Таблица_pr3[[#This Row],[Удельное сопротивление грунта, Ом·м]]))</f>
        <v/>
      </c>
      <c r="Y300" s="53"/>
      <c r="Z300" s="52"/>
      <c r="AA300" s="50"/>
      <c r="AB300" s="61" t="str">
        <f t="shared" si="28"/>
        <v/>
      </c>
      <c r="AC300" s="61" t="str">
        <f>IFERROR(IF(Z300-Z299&lt;=0,"",AB300/SQRT(Таблица_pr4[[#This Row],[Удельное сопротивление грунта, Ом·м]])),AB300/SQRT(Таблица_pr4[[#This Row],[Удельное сопротивление грунта, Ом·м]]))</f>
        <v/>
      </c>
      <c r="AE300" s="53"/>
      <c r="AF300" s="52"/>
      <c r="AG300" s="50"/>
      <c r="AI300" s="61" t="str">
        <f>IFERROR(IF(AF300-AF299&lt;=0,"",AH300/SQRT(Таблица_pr5[[#This Row],[Удельное сопротивление грунта, Ом·м]])),AH300/SQRT(Таблица_pr5[[#This Row],[Удельное сопротивление грунта, Ом·м]]))</f>
        <v/>
      </c>
      <c r="AK300" s="53"/>
      <c r="AL300" s="52"/>
      <c r="AM300" s="50"/>
      <c r="AN300" s="61" t="str">
        <f t="shared" si="29"/>
        <v/>
      </c>
      <c r="AO300" s="61" t="str">
        <f>IFERROR(IF(AL300-AL299&lt;=0,"",AN300/SQRT(Таблица_pr6[[#This Row],[Удельное сопротивление грунта, Ом·м]])),AN300/SQRT(Таблица_pr6[[#This Row],[Удельное сопротивление грунта, Ом·м]]))</f>
        <v/>
      </c>
      <c r="AQ300" s="53"/>
      <c r="AR300" s="52"/>
      <c r="AS300" s="50"/>
      <c r="AU300" s="61" t="str">
        <f>IFERROR(IF(AR300-AR299&lt;=0,"",AT300/SQRT(Таблица_pr7[[#This Row],[Удельное сопротивление грунта, Ом·м]])),AT300/SQRT(Таблица_pr7[[#This Row],[Удельное сопротивление грунта, Ом·м]]))</f>
        <v/>
      </c>
      <c r="AW300" s="53"/>
      <c r="AX300" s="52"/>
      <c r="AY300" s="50"/>
      <c r="AZ300" s="61" t="str">
        <f t="shared" si="30"/>
        <v/>
      </c>
      <c r="BA300" s="61" t="str">
        <f>IFERROR(IF(AX300-AX299&lt;=0,"",AZ300/SQRT(Таблица_pr8[[#This Row],[Удельное сопротивление грунта, Ом·м]])),AZ300/SQRT(Таблица_pr8[[#This Row],[Удельное сопротивление грунта, Ом·м]]))</f>
        <v/>
      </c>
      <c r="BC300" s="53"/>
      <c r="BD300" s="52"/>
      <c r="BE300" s="50"/>
      <c r="BG300" s="61" t="str">
        <f>IFERROR(IF(BD300-AX319&lt;=0,"",BF300/SQRT(Таблица_pr9[[#This Row],[Удельное сопротивление грунта, Ом·м]])),BF300/SQRT(Таблица_pr9[[#This Row],[Удельное сопротивление грунта, Ом·м]]))</f>
        <v/>
      </c>
      <c r="BI300" s="53"/>
      <c r="BJ300" s="52"/>
      <c r="BK300" s="50"/>
      <c r="BM300" s="61" t="str">
        <f>IFERROR(IF(BJ300-BD329&lt;=0,"",BL300/SQRT(Таблица_pr10[[#This Row],[Удельное сопротивление грунта, Ом·м]])),BL300/SQRT(Таблица_pr10[[#This Row],[Удельное сопротивление грунта, Ом·м]]))</f>
        <v/>
      </c>
    </row>
    <row r="301" spans="1:65">
      <c r="A301" s="51"/>
      <c r="B301" s="52"/>
      <c r="C301" s="50"/>
      <c r="D301" s="61" t="str">
        <f t="shared" si="25"/>
        <v/>
      </c>
      <c r="E301" s="61" t="str">
        <f>IFERROR(IF(B301-B300&lt;=0,"",D301/SQRT(Таблица_pr[[#This Row],[Удельное сопротивление грунта, Ом·м]])),D301/SQRT(Таблица_pr[[#This Row],[Удельное сопротивление грунта, Ом·м]]))</f>
        <v/>
      </c>
      <c r="G301" s="189"/>
      <c r="H301" s="185"/>
      <c r="I301" s="183"/>
      <c r="J301" s="180" t="str">
        <f t="shared" si="26"/>
        <v/>
      </c>
      <c r="K301" s="61" t="str">
        <f>IFERROR(IF(H301-H300&lt;=0,"",J301/SQRT(Таблица_pr1[[#This Row],[Удельное сопротивление грунта, Ом·м]])),J301/SQRT(Таблица_pr1[[#This Row],[Удельное сопротивление грунта, Ом·м]]))</f>
        <v/>
      </c>
      <c r="M301" s="51"/>
      <c r="N301" s="52"/>
      <c r="O301" s="50"/>
      <c r="P301" s="61" t="str">
        <f t="shared" si="27"/>
        <v/>
      </c>
      <c r="Q301" s="61" t="str">
        <f>IFERROR(IF(N301-N300&lt;=0,"",P301/SQRT(Таблица_pr2[[#This Row],[Удельное сопротивление грунта, Ом·м]])),P301/SQRT(Таблица_pr2[[#This Row],[Удельное сопротивление грунта, Ом·м]]))</f>
        <v/>
      </c>
      <c r="S301" s="51"/>
      <c r="T301" s="52"/>
      <c r="U301" s="50"/>
      <c r="W301" s="61" t="str">
        <f>IFERROR(IF(T301-T300&lt;=0,"",V301/SQRT(Таблица_pr3[[#This Row],[Удельное сопротивление грунта, Ом·м]])),V301/SQRT(Таблица_pr3[[#This Row],[Удельное сопротивление грунта, Ом·м]]))</f>
        <v/>
      </c>
      <c r="Y301" s="51"/>
      <c r="Z301" s="52"/>
      <c r="AA301" s="50"/>
      <c r="AB301" s="61" t="str">
        <f t="shared" si="28"/>
        <v/>
      </c>
      <c r="AC301" s="61" t="str">
        <f>IFERROR(IF(Z301-Z300&lt;=0,"",AB301/SQRT(Таблица_pr4[[#This Row],[Удельное сопротивление грунта, Ом·м]])),AB301/SQRT(Таблица_pr4[[#This Row],[Удельное сопротивление грунта, Ом·м]]))</f>
        <v/>
      </c>
      <c r="AE301" s="51"/>
      <c r="AF301" s="52"/>
      <c r="AG301" s="50"/>
      <c r="AI301" s="61" t="str">
        <f>IFERROR(IF(AF301-AF300&lt;=0,"",AH301/SQRT(Таблица_pr5[[#This Row],[Удельное сопротивление грунта, Ом·м]])),AH301/SQRT(Таблица_pr5[[#This Row],[Удельное сопротивление грунта, Ом·м]]))</f>
        <v/>
      </c>
      <c r="AK301" s="51"/>
      <c r="AL301" s="52"/>
      <c r="AM301" s="50"/>
      <c r="AN301" s="61" t="str">
        <f t="shared" si="29"/>
        <v/>
      </c>
      <c r="AO301" s="61" t="str">
        <f>IFERROR(IF(AL301-AL300&lt;=0,"",AN301/SQRT(Таблица_pr6[[#This Row],[Удельное сопротивление грунта, Ом·м]])),AN301/SQRT(Таблица_pr6[[#This Row],[Удельное сопротивление грунта, Ом·м]]))</f>
        <v/>
      </c>
      <c r="AQ301" s="51"/>
      <c r="AR301" s="52"/>
      <c r="AS301" s="50"/>
      <c r="AU301" s="61" t="str">
        <f>IFERROR(IF(AR301-AR300&lt;=0,"",AT301/SQRT(Таблица_pr7[[#This Row],[Удельное сопротивление грунта, Ом·м]])),AT301/SQRT(Таблица_pr7[[#This Row],[Удельное сопротивление грунта, Ом·м]]))</f>
        <v/>
      </c>
      <c r="AW301" s="51"/>
      <c r="AX301" s="52"/>
      <c r="AY301" s="50"/>
      <c r="AZ301" s="61" t="str">
        <f t="shared" si="30"/>
        <v/>
      </c>
      <c r="BA301" s="61" t="str">
        <f>IFERROR(IF(AX301-AX300&lt;=0,"",AZ301/SQRT(Таблица_pr8[[#This Row],[Удельное сопротивление грунта, Ом·м]])),AZ301/SQRT(Таблица_pr8[[#This Row],[Удельное сопротивление грунта, Ом·м]]))</f>
        <v/>
      </c>
      <c r="BC301" s="51"/>
      <c r="BD301" s="52"/>
      <c r="BE301" s="50"/>
      <c r="BG301" s="61" t="str">
        <f>IFERROR(IF(BD301-AX320&lt;=0,"",BF301/SQRT(Таблица_pr9[[#This Row],[Удельное сопротивление грунта, Ом·м]])),BF301/SQRT(Таблица_pr9[[#This Row],[Удельное сопротивление грунта, Ом·м]]))</f>
        <v/>
      </c>
      <c r="BI301" s="51"/>
      <c r="BJ301" s="52"/>
      <c r="BK301" s="50"/>
      <c r="BM301" s="61" t="str">
        <f>IFERROR(IF(BJ301-BD330&lt;=0,"",BL301/SQRT(Таблица_pr10[[#This Row],[Удельное сопротивление грунта, Ом·м]])),BL301/SQRT(Таблица_pr10[[#This Row],[Удельное сопротивление грунта, Ом·м]]))</f>
        <v/>
      </c>
    </row>
    <row r="302" spans="1:65">
      <c r="A302" s="53"/>
      <c r="B302" s="52"/>
      <c r="C302" s="50"/>
      <c r="D302" s="61" t="str">
        <f t="shared" si="25"/>
        <v/>
      </c>
      <c r="E302" s="61" t="str">
        <f>IFERROR(IF(B302-B301&lt;=0,"",D302/SQRT(Таблица_pr[[#This Row],[Удельное сопротивление грунта, Ом·м]])),D302/SQRT(Таблица_pr[[#This Row],[Удельное сопротивление грунта, Ом·м]]))</f>
        <v/>
      </c>
      <c r="G302" s="188"/>
      <c r="H302" s="184"/>
      <c r="I302" s="182"/>
      <c r="J302" s="181" t="str">
        <f t="shared" si="26"/>
        <v/>
      </c>
      <c r="K302" s="61" t="str">
        <f>IFERROR(IF(H302-H301&lt;=0,"",J302/SQRT(Таблица_pr1[[#This Row],[Удельное сопротивление грунта, Ом·м]])),J302/SQRT(Таблица_pr1[[#This Row],[Удельное сопротивление грунта, Ом·м]]))</f>
        <v/>
      </c>
      <c r="M302" s="53"/>
      <c r="N302" s="52"/>
      <c r="O302" s="50"/>
      <c r="P302" s="61" t="str">
        <f t="shared" si="27"/>
        <v/>
      </c>
      <c r="Q302" s="61" t="str">
        <f>IFERROR(IF(N302-N301&lt;=0,"",P302/SQRT(Таблица_pr2[[#This Row],[Удельное сопротивление грунта, Ом·м]])),P302/SQRT(Таблица_pr2[[#This Row],[Удельное сопротивление грунта, Ом·м]]))</f>
        <v/>
      </c>
      <c r="S302" s="53"/>
      <c r="T302" s="52"/>
      <c r="U302" s="50"/>
      <c r="W302" s="61" t="str">
        <f>IFERROR(IF(T302-T301&lt;=0,"",V302/SQRT(Таблица_pr3[[#This Row],[Удельное сопротивление грунта, Ом·м]])),V302/SQRT(Таблица_pr3[[#This Row],[Удельное сопротивление грунта, Ом·м]]))</f>
        <v/>
      </c>
      <c r="Y302" s="53"/>
      <c r="Z302" s="52"/>
      <c r="AA302" s="50"/>
      <c r="AB302" s="61" t="str">
        <f t="shared" si="28"/>
        <v/>
      </c>
      <c r="AC302" s="61" t="str">
        <f>IFERROR(IF(Z302-Z301&lt;=0,"",AB302/SQRT(Таблица_pr4[[#This Row],[Удельное сопротивление грунта, Ом·м]])),AB302/SQRT(Таблица_pr4[[#This Row],[Удельное сопротивление грунта, Ом·м]]))</f>
        <v/>
      </c>
      <c r="AE302" s="53"/>
      <c r="AF302" s="52"/>
      <c r="AG302" s="50"/>
      <c r="AI302" s="61" t="str">
        <f>IFERROR(IF(AF302-AF301&lt;=0,"",AH302/SQRT(Таблица_pr5[[#This Row],[Удельное сопротивление грунта, Ом·м]])),AH302/SQRT(Таблица_pr5[[#This Row],[Удельное сопротивление грунта, Ом·м]]))</f>
        <v/>
      </c>
      <c r="AK302" s="53"/>
      <c r="AL302" s="52"/>
      <c r="AM302" s="50"/>
      <c r="AN302" s="61" t="str">
        <f t="shared" si="29"/>
        <v/>
      </c>
      <c r="AO302" s="61" t="str">
        <f>IFERROR(IF(AL302-AL301&lt;=0,"",AN302/SQRT(Таблица_pr6[[#This Row],[Удельное сопротивление грунта, Ом·м]])),AN302/SQRT(Таблица_pr6[[#This Row],[Удельное сопротивление грунта, Ом·м]]))</f>
        <v/>
      </c>
      <c r="AQ302" s="53"/>
      <c r="AR302" s="52"/>
      <c r="AS302" s="50"/>
      <c r="AU302" s="61" t="str">
        <f>IFERROR(IF(AR302-AR301&lt;=0,"",AT302/SQRT(Таблица_pr7[[#This Row],[Удельное сопротивление грунта, Ом·м]])),AT302/SQRT(Таблица_pr7[[#This Row],[Удельное сопротивление грунта, Ом·м]]))</f>
        <v/>
      </c>
      <c r="AW302" s="53"/>
      <c r="AX302" s="52"/>
      <c r="AY302" s="50"/>
      <c r="AZ302" s="61" t="str">
        <f t="shared" si="30"/>
        <v/>
      </c>
      <c r="BA302" s="61" t="str">
        <f>IFERROR(IF(AX302-AX301&lt;=0,"",AZ302/SQRT(Таблица_pr8[[#This Row],[Удельное сопротивление грунта, Ом·м]])),AZ302/SQRT(Таблица_pr8[[#This Row],[Удельное сопротивление грунта, Ом·м]]))</f>
        <v/>
      </c>
      <c r="BC302" s="53"/>
      <c r="BD302" s="52"/>
      <c r="BE302" s="50"/>
      <c r="BG302" s="61" t="str">
        <f>IFERROR(IF(BD302-AX321&lt;=0,"",BF302/SQRT(Таблица_pr9[[#This Row],[Удельное сопротивление грунта, Ом·м]])),BF302/SQRT(Таблица_pr9[[#This Row],[Удельное сопротивление грунта, Ом·м]]))</f>
        <v/>
      </c>
      <c r="BI302" s="53"/>
      <c r="BJ302" s="52"/>
      <c r="BK302" s="50"/>
      <c r="BM302" s="61" t="str">
        <f>IFERROR(IF(BJ302-BD331&lt;=0,"",BL302/SQRT(Таблица_pr10[[#This Row],[Удельное сопротивление грунта, Ом·м]])),BL302/SQRT(Таблица_pr10[[#This Row],[Удельное сопротивление грунта, Ом·м]]))</f>
        <v/>
      </c>
    </row>
    <row r="303" spans="1:65">
      <c r="A303" s="51"/>
      <c r="B303" s="52"/>
      <c r="C303" s="50"/>
      <c r="D303" s="61" t="str">
        <f t="shared" si="25"/>
        <v/>
      </c>
      <c r="E303" s="61" t="str">
        <f>IFERROR(IF(B303-B302&lt;=0,"",D303/SQRT(Таблица_pr[[#This Row],[Удельное сопротивление грунта, Ом·м]])),D303/SQRT(Таблица_pr[[#This Row],[Удельное сопротивление грунта, Ом·м]]))</f>
        <v/>
      </c>
      <c r="G303" s="189"/>
      <c r="H303" s="185"/>
      <c r="I303" s="183"/>
      <c r="J303" s="180" t="str">
        <f t="shared" si="26"/>
        <v/>
      </c>
      <c r="K303" s="61" t="str">
        <f>IFERROR(IF(H303-H302&lt;=0,"",J303/SQRT(Таблица_pr1[[#This Row],[Удельное сопротивление грунта, Ом·м]])),J303/SQRT(Таблица_pr1[[#This Row],[Удельное сопротивление грунта, Ом·м]]))</f>
        <v/>
      </c>
      <c r="M303" s="51"/>
      <c r="N303" s="52"/>
      <c r="O303" s="50"/>
      <c r="P303" s="61" t="str">
        <f t="shared" si="27"/>
        <v/>
      </c>
      <c r="Q303" s="61" t="str">
        <f>IFERROR(IF(N303-N302&lt;=0,"",P303/SQRT(Таблица_pr2[[#This Row],[Удельное сопротивление грунта, Ом·м]])),P303/SQRT(Таблица_pr2[[#This Row],[Удельное сопротивление грунта, Ом·м]]))</f>
        <v/>
      </c>
      <c r="S303" s="51"/>
      <c r="T303" s="52"/>
      <c r="U303" s="50"/>
      <c r="W303" s="61" t="str">
        <f>IFERROR(IF(T303-T302&lt;=0,"",V303/SQRT(Таблица_pr3[[#This Row],[Удельное сопротивление грунта, Ом·м]])),V303/SQRT(Таблица_pr3[[#This Row],[Удельное сопротивление грунта, Ом·м]]))</f>
        <v/>
      </c>
      <c r="Y303" s="51"/>
      <c r="Z303" s="52"/>
      <c r="AA303" s="50"/>
      <c r="AB303" s="61" t="str">
        <f t="shared" si="28"/>
        <v/>
      </c>
      <c r="AC303" s="61" t="str">
        <f>IFERROR(IF(Z303-Z302&lt;=0,"",AB303/SQRT(Таблица_pr4[[#This Row],[Удельное сопротивление грунта, Ом·м]])),AB303/SQRT(Таблица_pr4[[#This Row],[Удельное сопротивление грунта, Ом·м]]))</f>
        <v/>
      </c>
      <c r="AE303" s="51"/>
      <c r="AF303" s="52"/>
      <c r="AG303" s="50"/>
      <c r="AI303" s="61" t="str">
        <f>IFERROR(IF(AF303-AF302&lt;=0,"",AH303/SQRT(Таблица_pr5[[#This Row],[Удельное сопротивление грунта, Ом·м]])),AH303/SQRT(Таблица_pr5[[#This Row],[Удельное сопротивление грунта, Ом·м]]))</f>
        <v/>
      </c>
      <c r="AK303" s="51"/>
      <c r="AL303" s="52"/>
      <c r="AM303" s="50"/>
      <c r="AN303" s="61" t="str">
        <f t="shared" si="29"/>
        <v/>
      </c>
      <c r="AO303" s="61" t="str">
        <f>IFERROR(IF(AL303-AL302&lt;=0,"",AN303/SQRT(Таблица_pr6[[#This Row],[Удельное сопротивление грунта, Ом·м]])),AN303/SQRT(Таблица_pr6[[#This Row],[Удельное сопротивление грунта, Ом·м]]))</f>
        <v/>
      </c>
      <c r="AQ303" s="51"/>
      <c r="AR303" s="52"/>
      <c r="AS303" s="50"/>
      <c r="AU303" s="61" t="str">
        <f>IFERROR(IF(AR303-AR302&lt;=0,"",AT303/SQRT(Таблица_pr7[[#This Row],[Удельное сопротивление грунта, Ом·м]])),AT303/SQRT(Таблица_pr7[[#This Row],[Удельное сопротивление грунта, Ом·м]]))</f>
        <v/>
      </c>
      <c r="AW303" s="51"/>
      <c r="AX303" s="52"/>
      <c r="AY303" s="50"/>
      <c r="AZ303" s="61" t="str">
        <f t="shared" si="30"/>
        <v/>
      </c>
      <c r="BA303" s="61" t="str">
        <f>IFERROR(IF(AX303-AX302&lt;=0,"",AZ303/SQRT(Таблица_pr8[[#This Row],[Удельное сопротивление грунта, Ом·м]])),AZ303/SQRT(Таблица_pr8[[#This Row],[Удельное сопротивление грунта, Ом·м]]))</f>
        <v/>
      </c>
      <c r="BC303" s="51"/>
      <c r="BD303" s="52"/>
      <c r="BE303" s="50"/>
      <c r="BG303" s="61" t="str">
        <f>IFERROR(IF(BD303-AX322&lt;=0,"",BF303/SQRT(Таблица_pr9[[#This Row],[Удельное сопротивление грунта, Ом·м]])),BF303/SQRT(Таблица_pr9[[#This Row],[Удельное сопротивление грунта, Ом·м]]))</f>
        <v/>
      </c>
      <c r="BI303" s="51"/>
      <c r="BJ303" s="52"/>
      <c r="BK303" s="50"/>
      <c r="BM303" s="61" t="str">
        <f>IFERROR(IF(BJ303-BD332&lt;=0,"",BL303/SQRT(Таблица_pr10[[#This Row],[Удельное сопротивление грунта, Ом·м]])),BL303/SQRT(Таблица_pr10[[#This Row],[Удельное сопротивление грунта, Ом·м]]))</f>
        <v/>
      </c>
    </row>
    <row r="304" spans="1:65">
      <c r="A304" s="53"/>
      <c r="B304" s="52"/>
      <c r="C304" s="50"/>
      <c r="D304" s="61" t="str">
        <f t="shared" si="25"/>
        <v/>
      </c>
      <c r="E304" s="61" t="str">
        <f>IFERROR(IF(B304-B303&lt;=0,"",D304/SQRT(Таблица_pr[[#This Row],[Удельное сопротивление грунта, Ом·м]])),D304/SQRT(Таблица_pr[[#This Row],[Удельное сопротивление грунта, Ом·м]]))</f>
        <v/>
      </c>
      <c r="G304" s="188"/>
      <c r="H304" s="184"/>
      <c r="I304" s="182"/>
      <c r="J304" s="181" t="str">
        <f t="shared" si="26"/>
        <v/>
      </c>
      <c r="K304" s="61" t="str">
        <f>IFERROR(IF(H304-H303&lt;=0,"",J304/SQRT(Таблица_pr1[[#This Row],[Удельное сопротивление грунта, Ом·м]])),J304/SQRT(Таблица_pr1[[#This Row],[Удельное сопротивление грунта, Ом·м]]))</f>
        <v/>
      </c>
      <c r="M304" s="53"/>
      <c r="N304" s="52"/>
      <c r="O304" s="50"/>
      <c r="P304" s="61" t="str">
        <f t="shared" si="27"/>
        <v/>
      </c>
      <c r="Q304" s="61" t="str">
        <f>IFERROR(IF(N304-N303&lt;=0,"",P304/SQRT(Таблица_pr2[[#This Row],[Удельное сопротивление грунта, Ом·м]])),P304/SQRT(Таблица_pr2[[#This Row],[Удельное сопротивление грунта, Ом·м]]))</f>
        <v/>
      </c>
      <c r="S304" s="53"/>
      <c r="T304" s="52"/>
      <c r="U304" s="50"/>
      <c r="W304" s="61" t="str">
        <f>IFERROR(IF(T304-T303&lt;=0,"",V304/SQRT(Таблица_pr3[[#This Row],[Удельное сопротивление грунта, Ом·м]])),V304/SQRT(Таблица_pr3[[#This Row],[Удельное сопротивление грунта, Ом·м]]))</f>
        <v/>
      </c>
      <c r="Y304" s="53"/>
      <c r="Z304" s="52"/>
      <c r="AA304" s="50"/>
      <c r="AB304" s="61" t="str">
        <f t="shared" si="28"/>
        <v/>
      </c>
      <c r="AC304" s="61" t="str">
        <f>IFERROR(IF(Z304-Z303&lt;=0,"",AB304/SQRT(Таблица_pr4[[#This Row],[Удельное сопротивление грунта, Ом·м]])),AB304/SQRT(Таблица_pr4[[#This Row],[Удельное сопротивление грунта, Ом·м]]))</f>
        <v/>
      </c>
      <c r="AE304" s="53"/>
      <c r="AF304" s="52"/>
      <c r="AG304" s="50"/>
      <c r="AI304" s="61" t="str">
        <f>IFERROR(IF(AF304-AF303&lt;=0,"",AH304/SQRT(Таблица_pr5[[#This Row],[Удельное сопротивление грунта, Ом·м]])),AH304/SQRT(Таблица_pr5[[#This Row],[Удельное сопротивление грунта, Ом·м]]))</f>
        <v/>
      </c>
      <c r="AK304" s="53"/>
      <c r="AL304" s="52"/>
      <c r="AM304" s="50"/>
      <c r="AN304" s="61" t="str">
        <f t="shared" si="29"/>
        <v/>
      </c>
      <c r="AO304" s="61" t="str">
        <f>IFERROR(IF(AL304-AL303&lt;=0,"",AN304/SQRT(Таблица_pr6[[#This Row],[Удельное сопротивление грунта, Ом·м]])),AN304/SQRT(Таблица_pr6[[#This Row],[Удельное сопротивление грунта, Ом·м]]))</f>
        <v/>
      </c>
      <c r="AQ304" s="53"/>
      <c r="AR304" s="52"/>
      <c r="AS304" s="50"/>
      <c r="AU304" s="61" t="str">
        <f>IFERROR(IF(AR304-AR303&lt;=0,"",AT304/SQRT(Таблица_pr7[[#This Row],[Удельное сопротивление грунта, Ом·м]])),AT304/SQRT(Таблица_pr7[[#This Row],[Удельное сопротивление грунта, Ом·м]]))</f>
        <v/>
      </c>
      <c r="AW304" s="53"/>
      <c r="AX304" s="52"/>
      <c r="AY304" s="50"/>
      <c r="AZ304" s="61" t="str">
        <f t="shared" si="30"/>
        <v/>
      </c>
      <c r="BA304" s="61" t="str">
        <f>IFERROR(IF(AX304-AX303&lt;=0,"",AZ304/SQRT(Таблица_pr8[[#This Row],[Удельное сопротивление грунта, Ом·м]])),AZ304/SQRT(Таблица_pr8[[#This Row],[Удельное сопротивление грунта, Ом·м]]))</f>
        <v/>
      </c>
      <c r="BC304" s="53"/>
      <c r="BD304" s="52"/>
      <c r="BE304" s="50"/>
      <c r="BG304" s="61" t="str">
        <f>IFERROR(IF(BD304-AX323&lt;=0,"",BF304/SQRT(Таблица_pr9[[#This Row],[Удельное сопротивление грунта, Ом·м]])),BF304/SQRT(Таблица_pr9[[#This Row],[Удельное сопротивление грунта, Ом·м]]))</f>
        <v/>
      </c>
      <c r="BI304" s="53"/>
      <c r="BJ304" s="52"/>
      <c r="BK304" s="50"/>
      <c r="BM304" s="61" t="str">
        <f>IFERROR(IF(BJ304-BD333&lt;=0,"",BL304/SQRT(Таблица_pr10[[#This Row],[Удельное сопротивление грунта, Ом·м]])),BL304/SQRT(Таблица_pr10[[#This Row],[Удельное сопротивление грунта, Ом·м]]))</f>
        <v/>
      </c>
    </row>
    <row r="305" spans="1:65">
      <c r="A305" s="51"/>
      <c r="B305" s="52"/>
      <c r="C305" s="50"/>
      <c r="D305" s="61" t="str">
        <f t="shared" si="25"/>
        <v/>
      </c>
      <c r="E305" s="61" t="str">
        <f>IFERROR(IF(B305-B304&lt;=0,"",D305/SQRT(Таблица_pr[[#This Row],[Удельное сопротивление грунта, Ом·м]])),D305/SQRT(Таблица_pr[[#This Row],[Удельное сопротивление грунта, Ом·м]]))</f>
        <v/>
      </c>
      <c r="G305" s="189"/>
      <c r="H305" s="185"/>
      <c r="I305" s="183"/>
      <c r="J305" s="180" t="str">
        <f t="shared" si="26"/>
        <v/>
      </c>
      <c r="K305" s="61" t="str">
        <f>IFERROR(IF(H305-H304&lt;=0,"",J305/SQRT(Таблица_pr1[[#This Row],[Удельное сопротивление грунта, Ом·м]])),J305/SQRT(Таблица_pr1[[#This Row],[Удельное сопротивление грунта, Ом·м]]))</f>
        <v/>
      </c>
      <c r="M305" s="51"/>
      <c r="N305" s="52"/>
      <c r="O305" s="50"/>
      <c r="P305" s="61" t="str">
        <f t="shared" si="27"/>
        <v/>
      </c>
      <c r="Q305" s="61" t="str">
        <f>IFERROR(IF(N305-N304&lt;=0,"",P305/SQRT(Таблица_pr2[[#This Row],[Удельное сопротивление грунта, Ом·м]])),P305/SQRT(Таблица_pr2[[#This Row],[Удельное сопротивление грунта, Ом·м]]))</f>
        <v/>
      </c>
      <c r="S305" s="51"/>
      <c r="T305" s="52"/>
      <c r="U305" s="50"/>
      <c r="W305" s="61" t="str">
        <f>IFERROR(IF(T305-T304&lt;=0,"",V305/SQRT(Таблица_pr3[[#This Row],[Удельное сопротивление грунта, Ом·м]])),V305/SQRT(Таблица_pr3[[#This Row],[Удельное сопротивление грунта, Ом·м]]))</f>
        <v/>
      </c>
      <c r="Y305" s="51"/>
      <c r="Z305" s="52"/>
      <c r="AA305" s="50"/>
      <c r="AB305" s="61" t="str">
        <f t="shared" si="28"/>
        <v/>
      </c>
      <c r="AC305" s="61" t="str">
        <f>IFERROR(IF(Z305-Z304&lt;=0,"",AB305/SQRT(Таблица_pr4[[#This Row],[Удельное сопротивление грунта, Ом·м]])),AB305/SQRT(Таблица_pr4[[#This Row],[Удельное сопротивление грунта, Ом·м]]))</f>
        <v/>
      </c>
      <c r="AE305" s="51"/>
      <c r="AF305" s="52"/>
      <c r="AG305" s="50"/>
      <c r="AI305" s="61" t="str">
        <f>IFERROR(IF(AF305-AF304&lt;=0,"",AH305/SQRT(Таблица_pr5[[#This Row],[Удельное сопротивление грунта, Ом·м]])),AH305/SQRT(Таблица_pr5[[#This Row],[Удельное сопротивление грунта, Ом·м]]))</f>
        <v/>
      </c>
      <c r="AK305" s="51"/>
      <c r="AL305" s="52"/>
      <c r="AM305" s="50"/>
      <c r="AN305" s="61" t="str">
        <f t="shared" si="29"/>
        <v/>
      </c>
      <c r="AO305" s="61" t="str">
        <f>IFERROR(IF(AL305-AL304&lt;=0,"",AN305/SQRT(Таблица_pr6[[#This Row],[Удельное сопротивление грунта, Ом·м]])),AN305/SQRT(Таблица_pr6[[#This Row],[Удельное сопротивление грунта, Ом·м]]))</f>
        <v/>
      </c>
      <c r="AQ305" s="51"/>
      <c r="AR305" s="52"/>
      <c r="AS305" s="50"/>
      <c r="AU305" s="61" t="str">
        <f>IFERROR(IF(AR305-AR304&lt;=0,"",AT305/SQRT(Таблица_pr7[[#This Row],[Удельное сопротивление грунта, Ом·м]])),AT305/SQRT(Таблица_pr7[[#This Row],[Удельное сопротивление грунта, Ом·м]]))</f>
        <v/>
      </c>
      <c r="AW305" s="51"/>
      <c r="AX305" s="52"/>
      <c r="AY305" s="50"/>
      <c r="AZ305" s="61" t="str">
        <f t="shared" si="30"/>
        <v/>
      </c>
      <c r="BA305" s="61" t="str">
        <f>IFERROR(IF(AX305-AX304&lt;=0,"",AZ305/SQRT(Таблица_pr8[[#This Row],[Удельное сопротивление грунта, Ом·м]])),AZ305/SQRT(Таблица_pr8[[#This Row],[Удельное сопротивление грунта, Ом·м]]))</f>
        <v/>
      </c>
      <c r="BC305" s="51"/>
      <c r="BD305" s="52"/>
      <c r="BE305" s="50"/>
      <c r="BG305" s="61" t="str">
        <f>IFERROR(IF(BD305-AX324&lt;=0,"",BF305/SQRT(Таблица_pr9[[#This Row],[Удельное сопротивление грунта, Ом·м]])),BF305/SQRT(Таблица_pr9[[#This Row],[Удельное сопротивление грунта, Ом·м]]))</f>
        <v/>
      </c>
      <c r="BI305" s="51"/>
      <c r="BJ305" s="52"/>
      <c r="BK305" s="50"/>
      <c r="BM305" s="61" t="str">
        <f>IFERROR(IF(BJ305-BD334&lt;=0,"",BL305/SQRT(Таблица_pr10[[#This Row],[Удельное сопротивление грунта, Ом·м]])),BL305/SQRT(Таблица_pr10[[#This Row],[Удельное сопротивление грунта, Ом·м]]))</f>
        <v/>
      </c>
    </row>
    <row r="306" spans="1:65">
      <c r="A306" s="53"/>
      <c r="B306" s="52"/>
      <c r="C306" s="50"/>
      <c r="D306" s="61" t="str">
        <f t="shared" si="25"/>
        <v/>
      </c>
      <c r="E306" s="61" t="str">
        <f>IFERROR(IF(B306-B305&lt;=0,"",D306/SQRT(Таблица_pr[[#This Row],[Удельное сопротивление грунта, Ом·м]])),D306/SQRT(Таблица_pr[[#This Row],[Удельное сопротивление грунта, Ом·м]]))</f>
        <v/>
      </c>
      <c r="G306" s="188"/>
      <c r="H306" s="184"/>
      <c r="I306" s="182"/>
      <c r="J306" s="181" t="str">
        <f t="shared" si="26"/>
        <v/>
      </c>
      <c r="K306" s="61" t="str">
        <f>IFERROR(IF(H306-H305&lt;=0,"",J306/SQRT(Таблица_pr1[[#This Row],[Удельное сопротивление грунта, Ом·м]])),J306/SQRT(Таблица_pr1[[#This Row],[Удельное сопротивление грунта, Ом·м]]))</f>
        <v/>
      </c>
      <c r="M306" s="53"/>
      <c r="N306" s="52"/>
      <c r="O306" s="50"/>
      <c r="P306" s="61" t="str">
        <f t="shared" si="27"/>
        <v/>
      </c>
      <c r="Q306" s="61" t="str">
        <f>IFERROR(IF(N306-N305&lt;=0,"",P306/SQRT(Таблица_pr2[[#This Row],[Удельное сопротивление грунта, Ом·м]])),P306/SQRT(Таблица_pr2[[#This Row],[Удельное сопротивление грунта, Ом·м]]))</f>
        <v/>
      </c>
      <c r="S306" s="53"/>
      <c r="T306" s="52"/>
      <c r="U306" s="50"/>
      <c r="W306" s="61" t="str">
        <f>IFERROR(IF(T306-T305&lt;=0,"",V306/SQRT(Таблица_pr3[[#This Row],[Удельное сопротивление грунта, Ом·м]])),V306/SQRT(Таблица_pr3[[#This Row],[Удельное сопротивление грунта, Ом·м]]))</f>
        <v/>
      </c>
      <c r="Y306" s="53"/>
      <c r="Z306" s="52"/>
      <c r="AA306" s="50"/>
      <c r="AB306" s="61" t="str">
        <f t="shared" si="28"/>
        <v/>
      </c>
      <c r="AC306" s="61" t="str">
        <f>IFERROR(IF(Z306-Z305&lt;=0,"",AB306/SQRT(Таблица_pr4[[#This Row],[Удельное сопротивление грунта, Ом·м]])),AB306/SQRT(Таблица_pr4[[#This Row],[Удельное сопротивление грунта, Ом·м]]))</f>
        <v/>
      </c>
      <c r="AE306" s="53"/>
      <c r="AF306" s="52"/>
      <c r="AG306" s="50"/>
      <c r="AI306" s="61" t="str">
        <f>IFERROR(IF(AF306-AF305&lt;=0,"",AH306/SQRT(Таблица_pr5[[#This Row],[Удельное сопротивление грунта, Ом·м]])),AH306/SQRT(Таблица_pr5[[#This Row],[Удельное сопротивление грунта, Ом·м]]))</f>
        <v/>
      </c>
      <c r="AK306" s="53"/>
      <c r="AL306" s="52"/>
      <c r="AM306" s="50"/>
      <c r="AN306" s="61" t="str">
        <f t="shared" si="29"/>
        <v/>
      </c>
      <c r="AO306" s="61" t="str">
        <f>IFERROR(IF(AL306-AL305&lt;=0,"",AN306/SQRT(Таблица_pr6[[#This Row],[Удельное сопротивление грунта, Ом·м]])),AN306/SQRT(Таблица_pr6[[#This Row],[Удельное сопротивление грунта, Ом·м]]))</f>
        <v/>
      </c>
      <c r="AQ306" s="53"/>
      <c r="AR306" s="52"/>
      <c r="AS306" s="50"/>
      <c r="AU306" s="61" t="str">
        <f>IFERROR(IF(AR306-AR305&lt;=0,"",AT306/SQRT(Таблица_pr7[[#This Row],[Удельное сопротивление грунта, Ом·м]])),AT306/SQRT(Таблица_pr7[[#This Row],[Удельное сопротивление грунта, Ом·м]]))</f>
        <v/>
      </c>
      <c r="AW306" s="53"/>
      <c r="AX306" s="52"/>
      <c r="AY306" s="50"/>
      <c r="AZ306" s="61" t="str">
        <f t="shared" si="30"/>
        <v/>
      </c>
      <c r="BA306" s="61" t="str">
        <f>IFERROR(IF(AX306-AX305&lt;=0,"",AZ306/SQRT(Таблица_pr8[[#This Row],[Удельное сопротивление грунта, Ом·м]])),AZ306/SQRT(Таблица_pr8[[#This Row],[Удельное сопротивление грунта, Ом·м]]))</f>
        <v/>
      </c>
      <c r="BC306" s="53"/>
      <c r="BD306" s="52"/>
      <c r="BE306" s="50"/>
      <c r="BG306" s="61" t="str">
        <f>IFERROR(IF(BD306-AX325&lt;=0,"",BF306/SQRT(Таблица_pr9[[#This Row],[Удельное сопротивление грунта, Ом·м]])),BF306/SQRT(Таблица_pr9[[#This Row],[Удельное сопротивление грунта, Ом·м]]))</f>
        <v/>
      </c>
      <c r="BI306" s="53"/>
      <c r="BJ306" s="52"/>
      <c r="BK306" s="50"/>
      <c r="BM306" s="61" t="str">
        <f>IFERROR(IF(BJ306-BD335&lt;=0,"",BL306/SQRT(Таблица_pr10[[#This Row],[Удельное сопротивление грунта, Ом·м]])),BL306/SQRT(Таблица_pr10[[#This Row],[Удельное сопротивление грунта, Ом·м]]))</f>
        <v/>
      </c>
    </row>
    <row r="307" spans="1:65">
      <c r="A307" s="51"/>
      <c r="B307" s="52"/>
      <c r="C307" s="50"/>
      <c r="D307" s="61" t="str">
        <f t="shared" si="25"/>
        <v/>
      </c>
      <c r="E307" s="61" t="str">
        <f>IFERROR(IF(B307-B306&lt;=0,"",D307/SQRT(Таблица_pr[[#This Row],[Удельное сопротивление грунта, Ом·м]])),D307/SQRT(Таблица_pr[[#This Row],[Удельное сопротивление грунта, Ом·м]]))</f>
        <v/>
      </c>
      <c r="G307" s="189"/>
      <c r="H307" s="185"/>
      <c r="I307" s="183"/>
      <c r="J307" s="180" t="str">
        <f t="shared" si="26"/>
        <v/>
      </c>
      <c r="K307" s="61" t="str">
        <f>IFERROR(IF(H307-H306&lt;=0,"",J307/SQRT(Таблица_pr1[[#This Row],[Удельное сопротивление грунта, Ом·м]])),J307/SQRT(Таблица_pr1[[#This Row],[Удельное сопротивление грунта, Ом·м]]))</f>
        <v/>
      </c>
      <c r="M307" s="51"/>
      <c r="N307" s="52"/>
      <c r="O307" s="50"/>
      <c r="P307" s="61" t="str">
        <f t="shared" si="27"/>
        <v/>
      </c>
      <c r="Q307" s="61" t="str">
        <f>IFERROR(IF(N307-N306&lt;=0,"",P307/SQRT(Таблица_pr2[[#This Row],[Удельное сопротивление грунта, Ом·м]])),P307/SQRT(Таблица_pr2[[#This Row],[Удельное сопротивление грунта, Ом·м]]))</f>
        <v/>
      </c>
      <c r="S307" s="51"/>
      <c r="T307" s="52"/>
      <c r="U307" s="50"/>
      <c r="W307" s="61" t="str">
        <f>IFERROR(IF(T307-T306&lt;=0,"",V307/SQRT(Таблица_pr3[[#This Row],[Удельное сопротивление грунта, Ом·м]])),V307/SQRT(Таблица_pr3[[#This Row],[Удельное сопротивление грунта, Ом·м]]))</f>
        <v/>
      </c>
      <c r="Y307" s="51"/>
      <c r="Z307" s="52"/>
      <c r="AA307" s="50"/>
      <c r="AB307" s="61" t="str">
        <f t="shared" si="28"/>
        <v/>
      </c>
      <c r="AC307" s="61" t="str">
        <f>IFERROR(IF(Z307-Z306&lt;=0,"",AB307/SQRT(Таблица_pr4[[#This Row],[Удельное сопротивление грунта, Ом·м]])),AB307/SQRT(Таблица_pr4[[#This Row],[Удельное сопротивление грунта, Ом·м]]))</f>
        <v/>
      </c>
      <c r="AE307" s="51"/>
      <c r="AF307" s="52"/>
      <c r="AG307" s="50"/>
      <c r="AI307" s="61" t="str">
        <f>IFERROR(IF(AF307-AF306&lt;=0,"",AH307/SQRT(Таблица_pr5[[#This Row],[Удельное сопротивление грунта, Ом·м]])),AH307/SQRT(Таблица_pr5[[#This Row],[Удельное сопротивление грунта, Ом·м]]))</f>
        <v/>
      </c>
      <c r="AK307" s="51"/>
      <c r="AL307" s="52"/>
      <c r="AM307" s="50"/>
      <c r="AN307" s="61" t="str">
        <f t="shared" si="29"/>
        <v/>
      </c>
      <c r="AO307" s="61" t="str">
        <f>IFERROR(IF(AL307-AL306&lt;=0,"",AN307/SQRT(Таблица_pr6[[#This Row],[Удельное сопротивление грунта, Ом·м]])),AN307/SQRT(Таблица_pr6[[#This Row],[Удельное сопротивление грунта, Ом·м]]))</f>
        <v/>
      </c>
      <c r="AQ307" s="51"/>
      <c r="AR307" s="52"/>
      <c r="AS307" s="50"/>
      <c r="AU307" s="61" t="str">
        <f>IFERROR(IF(AR307-AR306&lt;=0,"",AT307/SQRT(Таблица_pr7[[#This Row],[Удельное сопротивление грунта, Ом·м]])),AT307/SQRT(Таблица_pr7[[#This Row],[Удельное сопротивление грунта, Ом·м]]))</f>
        <v/>
      </c>
      <c r="AW307" s="51"/>
      <c r="AX307" s="52"/>
      <c r="AY307" s="50"/>
      <c r="AZ307" s="61" t="str">
        <f t="shared" si="30"/>
        <v/>
      </c>
      <c r="BA307" s="61" t="str">
        <f>IFERROR(IF(AX307-AX306&lt;=0,"",AZ307/SQRT(Таблица_pr8[[#This Row],[Удельное сопротивление грунта, Ом·м]])),AZ307/SQRT(Таблица_pr8[[#This Row],[Удельное сопротивление грунта, Ом·м]]))</f>
        <v/>
      </c>
      <c r="BC307" s="51"/>
      <c r="BD307" s="52"/>
      <c r="BE307" s="50"/>
      <c r="BG307" s="61" t="str">
        <f>IFERROR(IF(BD307-AX326&lt;=0,"",BF307/SQRT(Таблица_pr9[[#This Row],[Удельное сопротивление грунта, Ом·м]])),BF307/SQRT(Таблица_pr9[[#This Row],[Удельное сопротивление грунта, Ом·м]]))</f>
        <v/>
      </c>
      <c r="BI307" s="51"/>
      <c r="BJ307" s="52"/>
      <c r="BK307" s="50"/>
      <c r="BM307" s="61" t="str">
        <f>IFERROR(IF(BJ307-BD336&lt;=0,"",BL307/SQRT(Таблица_pr10[[#This Row],[Удельное сопротивление грунта, Ом·м]])),BL307/SQRT(Таблица_pr10[[#This Row],[Удельное сопротивление грунта, Ом·м]]))</f>
        <v/>
      </c>
    </row>
    <row r="308" spans="1:65">
      <c r="A308" s="53"/>
      <c r="B308" s="52"/>
      <c r="C308" s="50"/>
      <c r="D308" s="61" t="str">
        <f t="shared" si="25"/>
        <v/>
      </c>
      <c r="E308" s="61" t="str">
        <f>IFERROR(IF(B308-B307&lt;=0,"",D308/SQRT(Таблица_pr[[#This Row],[Удельное сопротивление грунта, Ом·м]])),D308/SQRT(Таблица_pr[[#This Row],[Удельное сопротивление грунта, Ом·м]]))</f>
        <v/>
      </c>
      <c r="G308" s="188"/>
      <c r="H308" s="184"/>
      <c r="I308" s="182"/>
      <c r="J308" s="181" t="str">
        <f t="shared" si="26"/>
        <v/>
      </c>
      <c r="K308" s="61" t="str">
        <f>IFERROR(IF(H308-H307&lt;=0,"",J308/SQRT(Таблица_pr1[[#This Row],[Удельное сопротивление грунта, Ом·м]])),J308/SQRT(Таблица_pr1[[#This Row],[Удельное сопротивление грунта, Ом·м]]))</f>
        <v/>
      </c>
      <c r="M308" s="53"/>
      <c r="N308" s="52"/>
      <c r="O308" s="50"/>
      <c r="P308" s="61" t="str">
        <f t="shared" si="27"/>
        <v/>
      </c>
      <c r="Q308" s="61" t="str">
        <f>IFERROR(IF(N308-N307&lt;=0,"",P308/SQRT(Таблица_pr2[[#This Row],[Удельное сопротивление грунта, Ом·м]])),P308/SQRT(Таблица_pr2[[#This Row],[Удельное сопротивление грунта, Ом·м]]))</f>
        <v/>
      </c>
      <c r="S308" s="53"/>
      <c r="T308" s="52"/>
      <c r="U308" s="50"/>
      <c r="W308" s="61" t="str">
        <f>IFERROR(IF(T308-T307&lt;=0,"",V308/SQRT(Таблица_pr3[[#This Row],[Удельное сопротивление грунта, Ом·м]])),V308/SQRT(Таблица_pr3[[#This Row],[Удельное сопротивление грунта, Ом·м]]))</f>
        <v/>
      </c>
      <c r="Y308" s="53"/>
      <c r="Z308" s="52"/>
      <c r="AA308" s="50"/>
      <c r="AB308" s="61" t="str">
        <f t="shared" si="28"/>
        <v/>
      </c>
      <c r="AC308" s="61" t="str">
        <f>IFERROR(IF(Z308-Z307&lt;=0,"",AB308/SQRT(Таблица_pr4[[#This Row],[Удельное сопротивление грунта, Ом·м]])),AB308/SQRT(Таблица_pr4[[#This Row],[Удельное сопротивление грунта, Ом·м]]))</f>
        <v/>
      </c>
      <c r="AE308" s="53"/>
      <c r="AF308" s="52"/>
      <c r="AG308" s="50"/>
      <c r="AI308" s="61" t="str">
        <f>IFERROR(IF(AF308-AF307&lt;=0,"",AH308/SQRT(Таблица_pr5[[#This Row],[Удельное сопротивление грунта, Ом·м]])),AH308/SQRT(Таблица_pr5[[#This Row],[Удельное сопротивление грунта, Ом·м]]))</f>
        <v/>
      </c>
      <c r="AK308" s="53"/>
      <c r="AL308" s="52"/>
      <c r="AM308" s="50"/>
      <c r="AN308" s="61" t="str">
        <f t="shared" si="29"/>
        <v/>
      </c>
      <c r="AO308" s="61" t="str">
        <f>IFERROR(IF(AL308-AL307&lt;=0,"",AN308/SQRT(Таблица_pr6[[#This Row],[Удельное сопротивление грунта, Ом·м]])),AN308/SQRT(Таблица_pr6[[#This Row],[Удельное сопротивление грунта, Ом·м]]))</f>
        <v/>
      </c>
      <c r="AQ308" s="53"/>
      <c r="AR308" s="52"/>
      <c r="AS308" s="50"/>
      <c r="AU308" s="61" t="str">
        <f>IFERROR(IF(AR308-AR307&lt;=0,"",AT308/SQRT(Таблица_pr7[[#This Row],[Удельное сопротивление грунта, Ом·м]])),AT308/SQRT(Таблица_pr7[[#This Row],[Удельное сопротивление грунта, Ом·м]]))</f>
        <v/>
      </c>
      <c r="AW308" s="53"/>
      <c r="AX308" s="52"/>
      <c r="AY308" s="50"/>
      <c r="AZ308" s="61" t="str">
        <f t="shared" si="30"/>
        <v/>
      </c>
      <c r="BA308" s="61" t="str">
        <f>IFERROR(IF(AX308-AX307&lt;=0,"",AZ308/SQRT(Таблица_pr8[[#This Row],[Удельное сопротивление грунта, Ом·м]])),AZ308/SQRT(Таблица_pr8[[#This Row],[Удельное сопротивление грунта, Ом·м]]))</f>
        <v/>
      </c>
      <c r="BC308" s="53"/>
      <c r="BD308" s="52"/>
      <c r="BE308" s="50"/>
      <c r="BG308" s="61" t="str">
        <f>IFERROR(IF(BD308-AX327&lt;=0,"",BF308/SQRT(Таблица_pr9[[#This Row],[Удельное сопротивление грунта, Ом·м]])),BF308/SQRT(Таблица_pr9[[#This Row],[Удельное сопротивление грунта, Ом·м]]))</f>
        <v/>
      </c>
      <c r="BI308" s="53"/>
      <c r="BJ308" s="52"/>
      <c r="BK308" s="50"/>
      <c r="BM308" s="61" t="str">
        <f>IFERROR(IF(BJ308-BD337&lt;=0,"",BL308/SQRT(Таблица_pr10[[#This Row],[Удельное сопротивление грунта, Ом·м]])),BL308/SQRT(Таблица_pr10[[#This Row],[Удельное сопротивление грунта, Ом·м]]))</f>
        <v/>
      </c>
    </row>
    <row r="309" spans="1:65">
      <c r="A309" s="51"/>
      <c r="B309" s="52"/>
      <c r="C309" s="50"/>
      <c r="D309" s="61" t="str">
        <f t="shared" si="25"/>
        <v/>
      </c>
      <c r="E309" s="61" t="str">
        <f>IFERROR(IF(B309-B308&lt;=0,"",D309/SQRT(Таблица_pr[[#This Row],[Удельное сопротивление грунта, Ом·м]])),D309/SQRT(Таблица_pr[[#This Row],[Удельное сопротивление грунта, Ом·м]]))</f>
        <v/>
      </c>
      <c r="G309" s="189"/>
      <c r="H309" s="185"/>
      <c r="I309" s="183"/>
      <c r="J309" s="180" t="str">
        <f t="shared" si="26"/>
        <v/>
      </c>
      <c r="K309" s="61" t="str">
        <f>IFERROR(IF(H309-H308&lt;=0,"",J309/SQRT(Таблица_pr1[[#This Row],[Удельное сопротивление грунта, Ом·м]])),J309/SQRT(Таблица_pr1[[#This Row],[Удельное сопротивление грунта, Ом·м]]))</f>
        <v/>
      </c>
      <c r="M309" s="51"/>
      <c r="N309" s="52"/>
      <c r="O309" s="50"/>
      <c r="P309" s="61" t="str">
        <f t="shared" si="27"/>
        <v/>
      </c>
      <c r="Q309" s="61" t="str">
        <f>IFERROR(IF(N309-N308&lt;=0,"",P309/SQRT(Таблица_pr2[[#This Row],[Удельное сопротивление грунта, Ом·м]])),P309/SQRT(Таблица_pr2[[#This Row],[Удельное сопротивление грунта, Ом·м]]))</f>
        <v/>
      </c>
      <c r="S309" s="51"/>
      <c r="T309" s="52"/>
      <c r="U309" s="50"/>
      <c r="W309" s="61" t="str">
        <f>IFERROR(IF(T309-T308&lt;=0,"",V309/SQRT(Таблица_pr3[[#This Row],[Удельное сопротивление грунта, Ом·м]])),V309/SQRT(Таблица_pr3[[#This Row],[Удельное сопротивление грунта, Ом·м]]))</f>
        <v/>
      </c>
      <c r="Y309" s="51"/>
      <c r="Z309" s="52"/>
      <c r="AA309" s="50"/>
      <c r="AB309" s="61" t="str">
        <f t="shared" si="28"/>
        <v/>
      </c>
      <c r="AC309" s="61" t="str">
        <f>IFERROR(IF(Z309-Z308&lt;=0,"",AB309/SQRT(Таблица_pr4[[#This Row],[Удельное сопротивление грунта, Ом·м]])),AB309/SQRT(Таблица_pr4[[#This Row],[Удельное сопротивление грунта, Ом·м]]))</f>
        <v/>
      </c>
      <c r="AE309" s="51"/>
      <c r="AF309" s="52"/>
      <c r="AG309" s="50"/>
      <c r="AI309" s="61" t="str">
        <f>IFERROR(IF(AF309-AF308&lt;=0,"",AH309/SQRT(Таблица_pr5[[#This Row],[Удельное сопротивление грунта, Ом·м]])),AH309/SQRT(Таблица_pr5[[#This Row],[Удельное сопротивление грунта, Ом·м]]))</f>
        <v/>
      </c>
      <c r="AK309" s="51"/>
      <c r="AL309" s="52"/>
      <c r="AM309" s="50"/>
      <c r="AN309" s="61" t="str">
        <f t="shared" si="29"/>
        <v/>
      </c>
      <c r="AO309" s="61" t="str">
        <f>IFERROR(IF(AL309-AL308&lt;=0,"",AN309/SQRT(Таблица_pr6[[#This Row],[Удельное сопротивление грунта, Ом·м]])),AN309/SQRT(Таблица_pr6[[#This Row],[Удельное сопротивление грунта, Ом·м]]))</f>
        <v/>
      </c>
      <c r="AQ309" s="51"/>
      <c r="AR309" s="52"/>
      <c r="AS309" s="50"/>
      <c r="AU309" s="61" t="str">
        <f>IFERROR(IF(AR309-AR308&lt;=0,"",AT309/SQRT(Таблица_pr7[[#This Row],[Удельное сопротивление грунта, Ом·м]])),AT309/SQRT(Таблица_pr7[[#This Row],[Удельное сопротивление грунта, Ом·м]]))</f>
        <v/>
      </c>
      <c r="AW309" s="51"/>
      <c r="AX309" s="52"/>
      <c r="AY309" s="50"/>
      <c r="AZ309" s="61" t="str">
        <f t="shared" si="30"/>
        <v/>
      </c>
      <c r="BA309" s="61" t="str">
        <f>IFERROR(IF(AX309-AX308&lt;=0,"",AZ309/SQRT(Таблица_pr8[[#This Row],[Удельное сопротивление грунта, Ом·м]])),AZ309/SQRT(Таблица_pr8[[#This Row],[Удельное сопротивление грунта, Ом·м]]))</f>
        <v/>
      </c>
      <c r="BC309" s="51"/>
      <c r="BD309" s="52"/>
      <c r="BE309" s="50"/>
      <c r="BG309" s="61" t="str">
        <f>IFERROR(IF(BD309-AX328&lt;=0,"",BF309/SQRT(Таблица_pr9[[#This Row],[Удельное сопротивление грунта, Ом·м]])),BF309/SQRT(Таблица_pr9[[#This Row],[Удельное сопротивление грунта, Ом·м]]))</f>
        <v/>
      </c>
      <c r="BI309" s="51"/>
      <c r="BJ309" s="52"/>
      <c r="BK309" s="50"/>
      <c r="BM309" s="61" t="str">
        <f>IFERROR(IF(BJ309-BD338&lt;=0,"",BL309/SQRT(Таблица_pr10[[#This Row],[Удельное сопротивление грунта, Ом·м]])),BL309/SQRT(Таблица_pr10[[#This Row],[Удельное сопротивление грунта, Ом·м]]))</f>
        <v/>
      </c>
    </row>
    <row r="310" spans="1:65">
      <c r="A310" s="53"/>
      <c r="B310" s="52"/>
      <c r="C310" s="50"/>
      <c r="D310" s="61" t="str">
        <f t="shared" si="25"/>
        <v/>
      </c>
      <c r="E310" s="61" t="str">
        <f>IFERROR(IF(B310-B309&lt;=0,"",D310/SQRT(Таблица_pr[[#This Row],[Удельное сопротивление грунта, Ом·м]])),D310/SQRT(Таблица_pr[[#This Row],[Удельное сопротивление грунта, Ом·м]]))</f>
        <v/>
      </c>
      <c r="G310" s="188"/>
      <c r="H310" s="184"/>
      <c r="I310" s="182"/>
      <c r="J310" s="181" t="str">
        <f t="shared" si="26"/>
        <v/>
      </c>
      <c r="K310" s="61" t="str">
        <f>IFERROR(IF(H310-H309&lt;=0,"",J310/SQRT(Таблица_pr1[[#This Row],[Удельное сопротивление грунта, Ом·м]])),J310/SQRT(Таблица_pr1[[#This Row],[Удельное сопротивление грунта, Ом·м]]))</f>
        <v/>
      </c>
      <c r="M310" s="53"/>
      <c r="N310" s="52"/>
      <c r="O310" s="50"/>
      <c r="P310" s="61" t="str">
        <f t="shared" si="27"/>
        <v/>
      </c>
      <c r="Q310" s="61" t="str">
        <f>IFERROR(IF(N310-N309&lt;=0,"",P310/SQRT(Таблица_pr2[[#This Row],[Удельное сопротивление грунта, Ом·м]])),P310/SQRT(Таблица_pr2[[#This Row],[Удельное сопротивление грунта, Ом·м]]))</f>
        <v/>
      </c>
      <c r="S310" s="53"/>
      <c r="T310" s="52"/>
      <c r="U310" s="50"/>
      <c r="W310" s="61" t="str">
        <f>IFERROR(IF(T310-T309&lt;=0,"",V310/SQRT(Таблица_pr3[[#This Row],[Удельное сопротивление грунта, Ом·м]])),V310/SQRT(Таблица_pr3[[#This Row],[Удельное сопротивление грунта, Ом·м]]))</f>
        <v/>
      </c>
      <c r="Y310" s="53"/>
      <c r="Z310" s="52"/>
      <c r="AA310" s="50"/>
      <c r="AB310" s="61" t="str">
        <f t="shared" si="28"/>
        <v/>
      </c>
      <c r="AC310" s="61" t="str">
        <f>IFERROR(IF(Z310-Z309&lt;=0,"",AB310/SQRT(Таблица_pr4[[#This Row],[Удельное сопротивление грунта, Ом·м]])),AB310/SQRT(Таблица_pr4[[#This Row],[Удельное сопротивление грунта, Ом·м]]))</f>
        <v/>
      </c>
      <c r="AE310" s="53"/>
      <c r="AF310" s="52"/>
      <c r="AG310" s="50"/>
      <c r="AI310" s="61" t="str">
        <f>IFERROR(IF(AF310-AF309&lt;=0,"",AH310/SQRT(Таблица_pr5[[#This Row],[Удельное сопротивление грунта, Ом·м]])),AH310/SQRT(Таблица_pr5[[#This Row],[Удельное сопротивление грунта, Ом·м]]))</f>
        <v/>
      </c>
      <c r="AK310" s="53"/>
      <c r="AL310" s="52"/>
      <c r="AM310" s="50"/>
      <c r="AN310" s="61" t="str">
        <f t="shared" si="29"/>
        <v/>
      </c>
      <c r="AO310" s="61" t="str">
        <f>IFERROR(IF(AL310-AL309&lt;=0,"",AN310/SQRT(Таблица_pr6[[#This Row],[Удельное сопротивление грунта, Ом·м]])),AN310/SQRT(Таблица_pr6[[#This Row],[Удельное сопротивление грунта, Ом·м]]))</f>
        <v/>
      </c>
      <c r="AQ310" s="53"/>
      <c r="AR310" s="52"/>
      <c r="AS310" s="50"/>
      <c r="AU310" s="61" t="str">
        <f>IFERROR(IF(AR310-AR309&lt;=0,"",AT310/SQRT(Таблица_pr7[[#This Row],[Удельное сопротивление грунта, Ом·м]])),AT310/SQRT(Таблица_pr7[[#This Row],[Удельное сопротивление грунта, Ом·м]]))</f>
        <v/>
      </c>
      <c r="AW310" s="53"/>
      <c r="AX310" s="52"/>
      <c r="AY310" s="50"/>
      <c r="AZ310" s="61" t="str">
        <f t="shared" si="30"/>
        <v/>
      </c>
      <c r="BA310" s="61" t="str">
        <f>IFERROR(IF(AX310-AX309&lt;=0,"",AZ310/SQRT(Таблица_pr8[[#This Row],[Удельное сопротивление грунта, Ом·м]])),AZ310/SQRT(Таблица_pr8[[#This Row],[Удельное сопротивление грунта, Ом·м]]))</f>
        <v/>
      </c>
      <c r="BC310" s="53"/>
      <c r="BD310" s="52"/>
      <c r="BE310" s="50"/>
      <c r="BG310" s="61" t="str">
        <f>IFERROR(IF(BD310-AX329&lt;=0,"",BF310/SQRT(Таблица_pr9[[#This Row],[Удельное сопротивление грунта, Ом·м]])),BF310/SQRT(Таблица_pr9[[#This Row],[Удельное сопротивление грунта, Ом·м]]))</f>
        <v/>
      </c>
      <c r="BI310" s="53"/>
      <c r="BJ310" s="52"/>
      <c r="BK310" s="50"/>
      <c r="BM310" s="61" t="str">
        <f>IFERROR(IF(BJ310-BD339&lt;=0,"",BL310/SQRT(Таблица_pr10[[#This Row],[Удельное сопротивление грунта, Ом·м]])),BL310/SQRT(Таблица_pr10[[#This Row],[Удельное сопротивление грунта, Ом·м]]))</f>
        <v/>
      </c>
    </row>
    <row r="311" spans="1:65">
      <c r="A311" s="51"/>
      <c r="B311" s="52"/>
      <c r="C311" s="50"/>
      <c r="D311" s="61" t="str">
        <f t="shared" si="25"/>
        <v/>
      </c>
      <c r="E311" s="61" t="str">
        <f>IFERROR(IF(B311-B310&lt;=0,"",D311/SQRT(Таблица_pr[[#This Row],[Удельное сопротивление грунта, Ом·м]])),D311/SQRT(Таблица_pr[[#This Row],[Удельное сопротивление грунта, Ом·м]]))</f>
        <v/>
      </c>
      <c r="G311" s="189"/>
      <c r="H311" s="185"/>
      <c r="I311" s="183"/>
      <c r="J311" s="180" t="str">
        <f t="shared" si="26"/>
        <v/>
      </c>
      <c r="K311" s="61" t="str">
        <f>IFERROR(IF(H311-H310&lt;=0,"",J311/SQRT(Таблица_pr1[[#This Row],[Удельное сопротивление грунта, Ом·м]])),J311/SQRT(Таблица_pr1[[#This Row],[Удельное сопротивление грунта, Ом·м]]))</f>
        <v/>
      </c>
      <c r="M311" s="51"/>
      <c r="N311" s="52"/>
      <c r="O311" s="50"/>
      <c r="P311" s="61" t="str">
        <f t="shared" si="27"/>
        <v/>
      </c>
      <c r="Q311" s="61" t="str">
        <f>IFERROR(IF(N311-N310&lt;=0,"",P311/SQRT(Таблица_pr2[[#This Row],[Удельное сопротивление грунта, Ом·м]])),P311/SQRT(Таблица_pr2[[#This Row],[Удельное сопротивление грунта, Ом·м]]))</f>
        <v/>
      </c>
      <c r="S311" s="51"/>
      <c r="T311" s="52"/>
      <c r="U311" s="50"/>
      <c r="W311" s="61" t="str">
        <f>IFERROR(IF(T311-T310&lt;=0,"",V311/SQRT(Таблица_pr3[[#This Row],[Удельное сопротивление грунта, Ом·м]])),V311/SQRT(Таблица_pr3[[#This Row],[Удельное сопротивление грунта, Ом·м]]))</f>
        <v/>
      </c>
      <c r="Y311" s="51"/>
      <c r="Z311" s="52"/>
      <c r="AA311" s="50"/>
      <c r="AB311" s="61" t="str">
        <f t="shared" si="28"/>
        <v/>
      </c>
      <c r="AC311" s="61" t="str">
        <f>IFERROR(IF(Z311-Z310&lt;=0,"",AB311/SQRT(Таблица_pr4[[#This Row],[Удельное сопротивление грунта, Ом·м]])),AB311/SQRT(Таблица_pr4[[#This Row],[Удельное сопротивление грунта, Ом·м]]))</f>
        <v/>
      </c>
      <c r="AE311" s="51"/>
      <c r="AF311" s="52"/>
      <c r="AG311" s="50"/>
      <c r="AI311" s="61" t="str">
        <f>IFERROR(IF(AF311-AF310&lt;=0,"",AH311/SQRT(Таблица_pr5[[#This Row],[Удельное сопротивление грунта, Ом·м]])),AH311/SQRT(Таблица_pr5[[#This Row],[Удельное сопротивление грунта, Ом·м]]))</f>
        <v/>
      </c>
      <c r="AK311" s="51"/>
      <c r="AL311" s="52"/>
      <c r="AM311" s="50"/>
      <c r="AN311" s="61" t="str">
        <f t="shared" si="29"/>
        <v/>
      </c>
      <c r="AO311" s="61" t="str">
        <f>IFERROR(IF(AL311-AL310&lt;=0,"",AN311/SQRT(Таблица_pr6[[#This Row],[Удельное сопротивление грунта, Ом·м]])),AN311/SQRT(Таблица_pr6[[#This Row],[Удельное сопротивление грунта, Ом·м]]))</f>
        <v/>
      </c>
      <c r="AQ311" s="51"/>
      <c r="AR311" s="52"/>
      <c r="AS311" s="50"/>
      <c r="AU311" s="61" t="str">
        <f>IFERROR(IF(AR311-AR310&lt;=0,"",AT311/SQRT(Таблица_pr7[[#This Row],[Удельное сопротивление грунта, Ом·м]])),AT311/SQRT(Таблица_pr7[[#This Row],[Удельное сопротивление грунта, Ом·м]]))</f>
        <v/>
      </c>
      <c r="AW311" s="51"/>
      <c r="AX311" s="52"/>
      <c r="AY311" s="50"/>
      <c r="AZ311" s="61" t="str">
        <f t="shared" si="30"/>
        <v/>
      </c>
      <c r="BA311" s="61" t="str">
        <f>IFERROR(IF(AX311-AX310&lt;=0,"",AZ311/SQRT(Таблица_pr8[[#This Row],[Удельное сопротивление грунта, Ом·м]])),AZ311/SQRT(Таблица_pr8[[#This Row],[Удельное сопротивление грунта, Ом·м]]))</f>
        <v/>
      </c>
      <c r="BC311" s="51"/>
      <c r="BD311" s="52"/>
      <c r="BE311" s="50"/>
      <c r="BG311" s="61" t="str">
        <f>IFERROR(IF(BD311-AX330&lt;=0,"",BF311/SQRT(Таблица_pr9[[#This Row],[Удельное сопротивление грунта, Ом·м]])),BF311/SQRT(Таблица_pr9[[#This Row],[Удельное сопротивление грунта, Ом·м]]))</f>
        <v/>
      </c>
      <c r="BI311" s="51"/>
      <c r="BJ311" s="52"/>
      <c r="BK311" s="50"/>
      <c r="BM311" s="61" t="str">
        <f>IFERROR(IF(BJ311-BD340&lt;=0,"",BL311/SQRT(Таблица_pr10[[#This Row],[Удельное сопротивление грунта, Ом·м]])),BL311/SQRT(Таблица_pr10[[#This Row],[Удельное сопротивление грунта, Ом·м]]))</f>
        <v/>
      </c>
    </row>
    <row r="312" spans="1:65">
      <c r="A312" s="53"/>
      <c r="B312" s="52"/>
      <c r="C312" s="50"/>
      <c r="D312" s="61" t="str">
        <f t="shared" si="25"/>
        <v/>
      </c>
      <c r="E312" s="61" t="str">
        <f>IFERROR(IF(B312-B311&lt;=0,"",D312/SQRT(Таблица_pr[[#This Row],[Удельное сопротивление грунта, Ом·м]])),D312/SQRT(Таблица_pr[[#This Row],[Удельное сопротивление грунта, Ом·м]]))</f>
        <v/>
      </c>
      <c r="G312" s="188"/>
      <c r="H312" s="184"/>
      <c r="I312" s="182"/>
      <c r="J312" s="181" t="str">
        <f t="shared" si="26"/>
        <v/>
      </c>
      <c r="K312" s="61" t="str">
        <f>IFERROR(IF(H312-H311&lt;=0,"",J312/SQRT(Таблица_pr1[[#This Row],[Удельное сопротивление грунта, Ом·м]])),J312/SQRT(Таблица_pr1[[#This Row],[Удельное сопротивление грунта, Ом·м]]))</f>
        <v/>
      </c>
      <c r="M312" s="53"/>
      <c r="N312" s="52"/>
      <c r="O312" s="50"/>
      <c r="P312" s="61" t="str">
        <f t="shared" si="27"/>
        <v/>
      </c>
      <c r="Q312" s="61" t="str">
        <f>IFERROR(IF(N312-N311&lt;=0,"",P312/SQRT(Таблица_pr2[[#This Row],[Удельное сопротивление грунта, Ом·м]])),P312/SQRT(Таблица_pr2[[#This Row],[Удельное сопротивление грунта, Ом·м]]))</f>
        <v/>
      </c>
      <c r="S312" s="53"/>
      <c r="T312" s="52"/>
      <c r="U312" s="50"/>
      <c r="W312" s="61" t="str">
        <f>IFERROR(IF(T312-T311&lt;=0,"",V312/SQRT(Таблица_pr3[[#This Row],[Удельное сопротивление грунта, Ом·м]])),V312/SQRT(Таблица_pr3[[#This Row],[Удельное сопротивление грунта, Ом·м]]))</f>
        <v/>
      </c>
      <c r="Y312" s="53"/>
      <c r="Z312" s="52"/>
      <c r="AA312" s="50"/>
      <c r="AB312" s="61" t="str">
        <f t="shared" si="28"/>
        <v/>
      </c>
      <c r="AC312" s="61" t="str">
        <f>IFERROR(IF(Z312-Z311&lt;=0,"",AB312/SQRT(Таблица_pr4[[#This Row],[Удельное сопротивление грунта, Ом·м]])),AB312/SQRT(Таблица_pr4[[#This Row],[Удельное сопротивление грунта, Ом·м]]))</f>
        <v/>
      </c>
      <c r="AE312" s="53"/>
      <c r="AF312" s="52"/>
      <c r="AG312" s="50"/>
      <c r="AI312" s="61" t="str">
        <f>IFERROR(IF(AF312-AF311&lt;=0,"",AH312/SQRT(Таблица_pr5[[#This Row],[Удельное сопротивление грунта, Ом·м]])),AH312/SQRT(Таблица_pr5[[#This Row],[Удельное сопротивление грунта, Ом·м]]))</f>
        <v/>
      </c>
      <c r="AK312" s="53"/>
      <c r="AL312" s="52"/>
      <c r="AM312" s="50"/>
      <c r="AN312" s="61" t="str">
        <f t="shared" si="29"/>
        <v/>
      </c>
      <c r="AO312" s="61" t="str">
        <f>IFERROR(IF(AL312-AL311&lt;=0,"",AN312/SQRT(Таблица_pr6[[#This Row],[Удельное сопротивление грунта, Ом·м]])),AN312/SQRT(Таблица_pr6[[#This Row],[Удельное сопротивление грунта, Ом·м]]))</f>
        <v/>
      </c>
      <c r="AQ312" s="53"/>
      <c r="AR312" s="52"/>
      <c r="AS312" s="50"/>
      <c r="AU312" s="61" t="str">
        <f>IFERROR(IF(AR312-AR311&lt;=0,"",AT312/SQRT(Таблица_pr7[[#This Row],[Удельное сопротивление грунта, Ом·м]])),AT312/SQRT(Таблица_pr7[[#This Row],[Удельное сопротивление грунта, Ом·м]]))</f>
        <v/>
      </c>
      <c r="AW312" s="53"/>
      <c r="AX312" s="52"/>
      <c r="AY312" s="50"/>
      <c r="AZ312" s="61" t="str">
        <f t="shared" si="30"/>
        <v/>
      </c>
      <c r="BA312" s="61" t="str">
        <f>IFERROR(IF(AX312-AX311&lt;=0,"",AZ312/SQRT(Таблица_pr8[[#This Row],[Удельное сопротивление грунта, Ом·м]])),AZ312/SQRT(Таблица_pr8[[#This Row],[Удельное сопротивление грунта, Ом·м]]))</f>
        <v/>
      </c>
      <c r="BC312" s="53"/>
      <c r="BD312" s="52"/>
      <c r="BE312" s="50"/>
      <c r="BG312" s="61" t="str">
        <f>IFERROR(IF(BD312-AX331&lt;=0,"",BF312/SQRT(Таблица_pr9[[#This Row],[Удельное сопротивление грунта, Ом·м]])),BF312/SQRT(Таблица_pr9[[#This Row],[Удельное сопротивление грунта, Ом·м]]))</f>
        <v/>
      </c>
      <c r="BI312" s="53"/>
      <c r="BJ312" s="52"/>
      <c r="BK312" s="50"/>
      <c r="BM312" s="61" t="str">
        <f>IFERROR(IF(BJ312-BD341&lt;=0,"",BL312/SQRT(Таблица_pr10[[#This Row],[Удельное сопротивление грунта, Ом·м]])),BL312/SQRT(Таблица_pr10[[#This Row],[Удельное сопротивление грунта, Ом·м]]))</f>
        <v/>
      </c>
    </row>
    <row r="313" spans="1:65">
      <c r="A313" s="51"/>
      <c r="B313" s="52"/>
      <c r="C313" s="50"/>
      <c r="D313" s="61" t="str">
        <f t="shared" si="25"/>
        <v/>
      </c>
      <c r="E313" s="61" t="str">
        <f>IFERROR(IF(B313-B312&lt;=0,"",D313/SQRT(Таблица_pr[[#This Row],[Удельное сопротивление грунта, Ом·м]])),D313/SQRT(Таблица_pr[[#This Row],[Удельное сопротивление грунта, Ом·м]]))</f>
        <v/>
      </c>
      <c r="G313" s="189"/>
      <c r="H313" s="185"/>
      <c r="I313" s="183"/>
      <c r="J313" s="180" t="str">
        <f t="shared" si="26"/>
        <v/>
      </c>
      <c r="K313" s="61" t="str">
        <f>IFERROR(IF(H313-H312&lt;=0,"",J313/SQRT(Таблица_pr1[[#This Row],[Удельное сопротивление грунта, Ом·м]])),J313/SQRT(Таблица_pr1[[#This Row],[Удельное сопротивление грунта, Ом·м]]))</f>
        <v/>
      </c>
      <c r="M313" s="51"/>
      <c r="N313" s="52"/>
      <c r="O313" s="50"/>
      <c r="P313" s="61" t="str">
        <f t="shared" si="27"/>
        <v/>
      </c>
      <c r="Q313" s="61" t="str">
        <f>IFERROR(IF(N313-N312&lt;=0,"",P313/SQRT(Таблица_pr2[[#This Row],[Удельное сопротивление грунта, Ом·м]])),P313/SQRT(Таблица_pr2[[#This Row],[Удельное сопротивление грунта, Ом·м]]))</f>
        <v/>
      </c>
      <c r="S313" s="51"/>
      <c r="T313" s="52"/>
      <c r="U313" s="50"/>
      <c r="W313" s="61" t="str">
        <f>IFERROR(IF(T313-T312&lt;=0,"",V313/SQRT(Таблица_pr3[[#This Row],[Удельное сопротивление грунта, Ом·м]])),V313/SQRT(Таблица_pr3[[#This Row],[Удельное сопротивление грунта, Ом·м]]))</f>
        <v/>
      </c>
      <c r="Y313" s="51"/>
      <c r="Z313" s="52"/>
      <c r="AA313" s="50"/>
      <c r="AB313" s="61" t="str">
        <f t="shared" si="28"/>
        <v/>
      </c>
      <c r="AC313" s="61" t="str">
        <f>IFERROR(IF(Z313-Z312&lt;=0,"",AB313/SQRT(Таблица_pr4[[#This Row],[Удельное сопротивление грунта, Ом·м]])),AB313/SQRT(Таблица_pr4[[#This Row],[Удельное сопротивление грунта, Ом·м]]))</f>
        <v/>
      </c>
      <c r="AE313" s="51"/>
      <c r="AF313" s="52"/>
      <c r="AG313" s="50"/>
      <c r="AI313" s="61" t="str">
        <f>IFERROR(IF(AF313-AF312&lt;=0,"",AH313/SQRT(Таблица_pr5[[#This Row],[Удельное сопротивление грунта, Ом·м]])),AH313/SQRT(Таблица_pr5[[#This Row],[Удельное сопротивление грунта, Ом·м]]))</f>
        <v/>
      </c>
      <c r="AK313" s="51"/>
      <c r="AL313" s="52"/>
      <c r="AM313" s="50"/>
      <c r="AN313" s="61" t="str">
        <f t="shared" si="29"/>
        <v/>
      </c>
      <c r="AO313" s="61" t="str">
        <f>IFERROR(IF(AL313-AL312&lt;=0,"",AN313/SQRT(Таблица_pr6[[#This Row],[Удельное сопротивление грунта, Ом·м]])),AN313/SQRT(Таблица_pr6[[#This Row],[Удельное сопротивление грунта, Ом·м]]))</f>
        <v/>
      </c>
      <c r="AQ313" s="51"/>
      <c r="AR313" s="52"/>
      <c r="AS313" s="50"/>
      <c r="AU313" s="61" t="str">
        <f>IFERROR(IF(AR313-AR312&lt;=0,"",AT313/SQRT(Таблица_pr7[[#This Row],[Удельное сопротивление грунта, Ом·м]])),AT313/SQRT(Таблица_pr7[[#This Row],[Удельное сопротивление грунта, Ом·м]]))</f>
        <v/>
      </c>
      <c r="AW313" s="51"/>
      <c r="AX313" s="52"/>
      <c r="AY313" s="50"/>
      <c r="AZ313" s="61" t="str">
        <f t="shared" si="30"/>
        <v/>
      </c>
      <c r="BA313" s="61" t="str">
        <f>IFERROR(IF(AX313-AX312&lt;=0,"",AZ313/SQRT(Таблица_pr8[[#This Row],[Удельное сопротивление грунта, Ом·м]])),AZ313/SQRT(Таблица_pr8[[#This Row],[Удельное сопротивление грунта, Ом·м]]))</f>
        <v/>
      </c>
      <c r="BC313" s="51"/>
      <c r="BD313" s="52"/>
      <c r="BE313" s="50"/>
      <c r="BG313" s="61" t="str">
        <f>IFERROR(IF(BD313-AX332&lt;=0,"",BF313/SQRT(Таблица_pr9[[#This Row],[Удельное сопротивление грунта, Ом·м]])),BF313/SQRT(Таблица_pr9[[#This Row],[Удельное сопротивление грунта, Ом·м]]))</f>
        <v/>
      </c>
      <c r="BI313" s="51"/>
      <c r="BJ313" s="52"/>
      <c r="BK313" s="50"/>
      <c r="BM313" s="61" t="str">
        <f>IFERROR(IF(BJ313-BD342&lt;=0,"",BL313/SQRT(Таблица_pr10[[#This Row],[Удельное сопротивление грунта, Ом·м]])),BL313/SQRT(Таблица_pr10[[#This Row],[Удельное сопротивление грунта, Ом·м]]))</f>
        <v/>
      </c>
    </row>
    <row r="314" spans="1:65">
      <c r="A314" s="53"/>
      <c r="B314" s="52"/>
      <c r="C314" s="50"/>
      <c r="D314" s="61" t="str">
        <f t="shared" si="25"/>
        <v/>
      </c>
      <c r="E314" s="61" t="str">
        <f>IFERROR(IF(B314-B313&lt;=0,"",D314/SQRT(Таблица_pr[[#This Row],[Удельное сопротивление грунта, Ом·м]])),D314/SQRT(Таблица_pr[[#This Row],[Удельное сопротивление грунта, Ом·м]]))</f>
        <v/>
      </c>
      <c r="G314" s="188"/>
      <c r="H314" s="184"/>
      <c r="I314" s="182"/>
      <c r="J314" s="181" t="str">
        <f t="shared" si="26"/>
        <v/>
      </c>
      <c r="K314" s="61" t="str">
        <f>IFERROR(IF(H314-H313&lt;=0,"",J314/SQRT(Таблица_pr1[[#This Row],[Удельное сопротивление грунта, Ом·м]])),J314/SQRT(Таблица_pr1[[#This Row],[Удельное сопротивление грунта, Ом·м]]))</f>
        <v/>
      </c>
      <c r="M314" s="53"/>
      <c r="N314" s="52"/>
      <c r="O314" s="50"/>
      <c r="P314" s="61" t="str">
        <f t="shared" si="27"/>
        <v/>
      </c>
      <c r="Q314" s="61" t="str">
        <f>IFERROR(IF(N314-N313&lt;=0,"",P314/SQRT(Таблица_pr2[[#This Row],[Удельное сопротивление грунта, Ом·м]])),P314/SQRT(Таблица_pr2[[#This Row],[Удельное сопротивление грунта, Ом·м]]))</f>
        <v/>
      </c>
      <c r="S314" s="53"/>
      <c r="T314" s="52"/>
      <c r="U314" s="50"/>
      <c r="W314" s="61" t="str">
        <f>IFERROR(IF(T314-T313&lt;=0,"",V314/SQRT(Таблица_pr3[[#This Row],[Удельное сопротивление грунта, Ом·м]])),V314/SQRT(Таблица_pr3[[#This Row],[Удельное сопротивление грунта, Ом·м]]))</f>
        <v/>
      </c>
      <c r="Y314" s="53"/>
      <c r="Z314" s="52"/>
      <c r="AA314" s="50"/>
      <c r="AB314" s="61" t="str">
        <f t="shared" si="28"/>
        <v/>
      </c>
      <c r="AC314" s="61" t="str">
        <f>IFERROR(IF(Z314-Z313&lt;=0,"",AB314/SQRT(Таблица_pr4[[#This Row],[Удельное сопротивление грунта, Ом·м]])),AB314/SQRT(Таблица_pr4[[#This Row],[Удельное сопротивление грунта, Ом·м]]))</f>
        <v/>
      </c>
      <c r="AE314" s="53"/>
      <c r="AF314" s="52"/>
      <c r="AG314" s="50"/>
      <c r="AI314" s="61" t="str">
        <f>IFERROR(IF(AF314-AF313&lt;=0,"",AH314/SQRT(Таблица_pr5[[#This Row],[Удельное сопротивление грунта, Ом·м]])),AH314/SQRT(Таблица_pr5[[#This Row],[Удельное сопротивление грунта, Ом·м]]))</f>
        <v/>
      </c>
      <c r="AK314" s="53"/>
      <c r="AL314" s="52"/>
      <c r="AM314" s="50"/>
      <c r="AN314" s="61" t="str">
        <f t="shared" si="29"/>
        <v/>
      </c>
      <c r="AO314" s="61" t="str">
        <f>IFERROR(IF(AL314-AL313&lt;=0,"",AN314/SQRT(Таблица_pr6[[#This Row],[Удельное сопротивление грунта, Ом·м]])),AN314/SQRT(Таблица_pr6[[#This Row],[Удельное сопротивление грунта, Ом·м]]))</f>
        <v/>
      </c>
      <c r="AQ314" s="53"/>
      <c r="AR314" s="52"/>
      <c r="AS314" s="50"/>
      <c r="AU314" s="61" t="str">
        <f>IFERROR(IF(AR314-AR313&lt;=0,"",AT314/SQRT(Таблица_pr7[[#This Row],[Удельное сопротивление грунта, Ом·м]])),AT314/SQRT(Таблица_pr7[[#This Row],[Удельное сопротивление грунта, Ом·м]]))</f>
        <v/>
      </c>
      <c r="AW314" s="53"/>
      <c r="AX314" s="52"/>
      <c r="AY314" s="50"/>
      <c r="AZ314" s="61" t="str">
        <f t="shared" si="30"/>
        <v/>
      </c>
      <c r="BA314" s="61" t="str">
        <f>IFERROR(IF(AX314-AX313&lt;=0,"",AZ314/SQRT(Таблица_pr8[[#This Row],[Удельное сопротивление грунта, Ом·м]])),AZ314/SQRT(Таблица_pr8[[#This Row],[Удельное сопротивление грунта, Ом·м]]))</f>
        <v/>
      </c>
      <c r="BC314" s="53"/>
      <c r="BD314" s="52"/>
      <c r="BE314" s="50"/>
      <c r="BG314" s="61" t="str">
        <f>IFERROR(IF(BD314-AX333&lt;=0,"",BF314/SQRT(Таблица_pr9[[#This Row],[Удельное сопротивление грунта, Ом·м]])),BF314/SQRT(Таблица_pr9[[#This Row],[Удельное сопротивление грунта, Ом·м]]))</f>
        <v/>
      </c>
      <c r="BI314" s="53"/>
      <c r="BJ314" s="52"/>
      <c r="BK314" s="50"/>
      <c r="BM314" s="61" t="str">
        <f>IFERROR(IF(BJ314-BD343&lt;=0,"",BL314/SQRT(Таблица_pr10[[#This Row],[Удельное сопротивление грунта, Ом·м]])),BL314/SQRT(Таблица_pr10[[#This Row],[Удельное сопротивление грунта, Ом·м]]))</f>
        <v/>
      </c>
    </row>
    <row r="315" spans="1:65">
      <c r="A315" s="51"/>
      <c r="B315" s="52"/>
      <c r="C315" s="50"/>
      <c r="D315" s="61" t="str">
        <f t="shared" si="25"/>
        <v/>
      </c>
      <c r="E315" s="61" t="str">
        <f>IFERROR(IF(B315-B314&lt;=0,"",D315/SQRT(Таблица_pr[[#This Row],[Удельное сопротивление грунта, Ом·м]])),D315/SQRT(Таблица_pr[[#This Row],[Удельное сопротивление грунта, Ом·м]]))</f>
        <v/>
      </c>
      <c r="G315" s="189"/>
      <c r="H315" s="185"/>
      <c r="I315" s="183"/>
      <c r="J315" s="180" t="str">
        <f t="shared" si="26"/>
        <v/>
      </c>
      <c r="K315" s="61" t="str">
        <f>IFERROR(IF(H315-H314&lt;=0,"",J315/SQRT(Таблица_pr1[[#This Row],[Удельное сопротивление грунта, Ом·м]])),J315/SQRT(Таблица_pr1[[#This Row],[Удельное сопротивление грунта, Ом·м]]))</f>
        <v/>
      </c>
      <c r="M315" s="51"/>
      <c r="N315" s="52"/>
      <c r="O315" s="50"/>
      <c r="P315" s="61" t="str">
        <f t="shared" si="27"/>
        <v/>
      </c>
      <c r="Q315" s="61" t="str">
        <f>IFERROR(IF(N315-N314&lt;=0,"",P315/SQRT(Таблица_pr2[[#This Row],[Удельное сопротивление грунта, Ом·м]])),P315/SQRT(Таблица_pr2[[#This Row],[Удельное сопротивление грунта, Ом·м]]))</f>
        <v/>
      </c>
      <c r="S315" s="51"/>
      <c r="T315" s="52"/>
      <c r="U315" s="50"/>
      <c r="W315" s="61" t="str">
        <f>IFERROR(IF(T315-T314&lt;=0,"",V315/SQRT(Таблица_pr3[[#This Row],[Удельное сопротивление грунта, Ом·м]])),V315/SQRT(Таблица_pr3[[#This Row],[Удельное сопротивление грунта, Ом·м]]))</f>
        <v/>
      </c>
      <c r="Y315" s="51"/>
      <c r="Z315" s="52"/>
      <c r="AA315" s="50"/>
      <c r="AB315" s="61" t="str">
        <f t="shared" si="28"/>
        <v/>
      </c>
      <c r="AC315" s="61" t="str">
        <f>IFERROR(IF(Z315-Z314&lt;=0,"",AB315/SQRT(Таблица_pr4[[#This Row],[Удельное сопротивление грунта, Ом·м]])),AB315/SQRT(Таблица_pr4[[#This Row],[Удельное сопротивление грунта, Ом·м]]))</f>
        <v/>
      </c>
      <c r="AE315" s="51"/>
      <c r="AF315" s="52"/>
      <c r="AG315" s="50"/>
      <c r="AI315" s="61" t="str">
        <f>IFERROR(IF(AF315-AF314&lt;=0,"",AH315/SQRT(Таблица_pr5[[#This Row],[Удельное сопротивление грунта, Ом·м]])),AH315/SQRT(Таблица_pr5[[#This Row],[Удельное сопротивление грунта, Ом·м]]))</f>
        <v/>
      </c>
      <c r="AK315" s="51"/>
      <c r="AL315" s="52"/>
      <c r="AM315" s="50"/>
      <c r="AN315" s="61" t="str">
        <f t="shared" si="29"/>
        <v/>
      </c>
      <c r="AO315" s="61" t="str">
        <f>IFERROR(IF(AL315-AL314&lt;=0,"",AN315/SQRT(Таблица_pr6[[#This Row],[Удельное сопротивление грунта, Ом·м]])),AN315/SQRT(Таблица_pr6[[#This Row],[Удельное сопротивление грунта, Ом·м]]))</f>
        <v/>
      </c>
      <c r="AQ315" s="51"/>
      <c r="AR315" s="52"/>
      <c r="AS315" s="50"/>
      <c r="AU315" s="61" t="str">
        <f>IFERROR(IF(AR315-AR314&lt;=0,"",AT315/SQRT(Таблица_pr7[[#This Row],[Удельное сопротивление грунта, Ом·м]])),AT315/SQRT(Таблица_pr7[[#This Row],[Удельное сопротивление грунта, Ом·м]]))</f>
        <v/>
      </c>
      <c r="AW315" s="51"/>
      <c r="AX315" s="52"/>
      <c r="AY315" s="50"/>
      <c r="AZ315" s="61" t="str">
        <f t="shared" si="30"/>
        <v/>
      </c>
      <c r="BA315" s="61" t="str">
        <f>IFERROR(IF(AX315-AX314&lt;=0,"",AZ315/SQRT(Таблица_pr8[[#This Row],[Удельное сопротивление грунта, Ом·м]])),AZ315/SQRT(Таблица_pr8[[#This Row],[Удельное сопротивление грунта, Ом·м]]))</f>
        <v/>
      </c>
      <c r="BC315" s="51"/>
      <c r="BD315" s="52"/>
      <c r="BE315" s="50"/>
      <c r="BG315" s="61" t="str">
        <f>IFERROR(IF(BD315-AX334&lt;=0,"",BF315/SQRT(Таблица_pr9[[#This Row],[Удельное сопротивление грунта, Ом·м]])),BF315/SQRT(Таблица_pr9[[#This Row],[Удельное сопротивление грунта, Ом·м]]))</f>
        <v/>
      </c>
      <c r="BI315" s="51"/>
      <c r="BJ315" s="52"/>
      <c r="BK315" s="50"/>
      <c r="BM315" s="61" t="str">
        <f>IFERROR(IF(BJ315-BD344&lt;=0,"",BL315/SQRT(Таблица_pr10[[#This Row],[Удельное сопротивление грунта, Ом·м]])),BL315/SQRT(Таблица_pr10[[#This Row],[Удельное сопротивление грунта, Ом·м]]))</f>
        <v/>
      </c>
    </row>
    <row r="316" spans="1:65">
      <c r="A316" s="53"/>
      <c r="B316" s="52"/>
      <c r="C316" s="50"/>
      <c r="D316" s="61" t="str">
        <f t="shared" si="25"/>
        <v/>
      </c>
      <c r="E316" s="61" t="str">
        <f>IFERROR(IF(B316-B315&lt;=0,"",D316/SQRT(Таблица_pr[[#This Row],[Удельное сопротивление грунта, Ом·м]])),D316/SQRT(Таблица_pr[[#This Row],[Удельное сопротивление грунта, Ом·м]]))</f>
        <v/>
      </c>
      <c r="G316" s="188"/>
      <c r="H316" s="184"/>
      <c r="I316" s="182"/>
      <c r="J316" s="181" t="str">
        <f t="shared" si="26"/>
        <v/>
      </c>
      <c r="K316" s="61" t="str">
        <f>IFERROR(IF(H316-H315&lt;=0,"",J316/SQRT(Таблица_pr1[[#This Row],[Удельное сопротивление грунта, Ом·м]])),J316/SQRT(Таблица_pr1[[#This Row],[Удельное сопротивление грунта, Ом·м]]))</f>
        <v/>
      </c>
      <c r="M316" s="53"/>
      <c r="N316" s="52"/>
      <c r="O316" s="50"/>
      <c r="P316" s="61" t="str">
        <f t="shared" si="27"/>
        <v/>
      </c>
      <c r="Q316" s="61" t="str">
        <f>IFERROR(IF(N316-N315&lt;=0,"",P316/SQRT(Таблица_pr2[[#This Row],[Удельное сопротивление грунта, Ом·м]])),P316/SQRT(Таблица_pr2[[#This Row],[Удельное сопротивление грунта, Ом·м]]))</f>
        <v/>
      </c>
      <c r="S316" s="53"/>
      <c r="T316" s="52"/>
      <c r="U316" s="50"/>
      <c r="W316" s="61" t="str">
        <f>IFERROR(IF(T316-T315&lt;=0,"",V316/SQRT(Таблица_pr3[[#This Row],[Удельное сопротивление грунта, Ом·м]])),V316/SQRT(Таблица_pr3[[#This Row],[Удельное сопротивление грунта, Ом·м]]))</f>
        <v/>
      </c>
      <c r="Y316" s="53"/>
      <c r="Z316" s="52"/>
      <c r="AA316" s="50"/>
      <c r="AB316" s="61" t="str">
        <f t="shared" si="28"/>
        <v/>
      </c>
      <c r="AC316" s="61" t="str">
        <f>IFERROR(IF(Z316-Z315&lt;=0,"",AB316/SQRT(Таблица_pr4[[#This Row],[Удельное сопротивление грунта, Ом·м]])),AB316/SQRT(Таблица_pr4[[#This Row],[Удельное сопротивление грунта, Ом·м]]))</f>
        <v/>
      </c>
      <c r="AE316" s="53"/>
      <c r="AF316" s="52"/>
      <c r="AG316" s="50"/>
      <c r="AI316" s="61" t="str">
        <f>IFERROR(IF(AF316-AF315&lt;=0,"",AH316/SQRT(Таблица_pr5[[#This Row],[Удельное сопротивление грунта, Ом·м]])),AH316/SQRT(Таблица_pr5[[#This Row],[Удельное сопротивление грунта, Ом·м]]))</f>
        <v/>
      </c>
      <c r="AK316" s="53"/>
      <c r="AL316" s="52"/>
      <c r="AM316" s="50"/>
      <c r="AN316" s="61" t="str">
        <f t="shared" si="29"/>
        <v/>
      </c>
      <c r="AO316" s="61" t="str">
        <f>IFERROR(IF(AL316-AL315&lt;=0,"",AN316/SQRT(Таблица_pr6[[#This Row],[Удельное сопротивление грунта, Ом·м]])),AN316/SQRT(Таблица_pr6[[#This Row],[Удельное сопротивление грунта, Ом·м]]))</f>
        <v/>
      </c>
      <c r="AQ316" s="53"/>
      <c r="AR316" s="52"/>
      <c r="AS316" s="50"/>
      <c r="AU316" s="61" t="str">
        <f>IFERROR(IF(AR316-AR315&lt;=0,"",AT316/SQRT(Таблица_pr7[[#This Row],[Удельное сопротивление грунта, Ом·м]])),AT316/SQRT(Таблица_pr7[[#This Row],[Удельное сопротивление грунта, Ом·м]]))</f>
        <v/>
      </c>
      <c r="AW316" s="53"/>
      <c r="AX316" s="52"/>
      <c r="AY316" s="50"/>
      <c r="AZ316" s="61" t="str">
        <f t="shared" si="30"/>
        <v/>
      </c>
      <c r="BA316" s="61" t="str">
        <f>IFERROR(IF(AX316-AX315&lt;=0,"",AZ316/SQRT(Таблица_pr8[[#This Row],[Удельное сопротивление грунта, Ом·м]])),AZ316/SQRT(Таблица_pr8[[#This Row],[Удельное сопротивление грунта, Ом·м]]))</f>
        <v/>
      </c>
      <c r="BC316" s="53"/>
      <c r="BD316" s="52"/>
      <c r="BE316" s="50"/>
      <c r="BG316" s="61" t="str">
        <f>IFERROR(IF(BD316-AX335&lt;=0,"",BF316/SQRT(Таблица_pr9[[#This Row],[Удельное сопротивление грунта, Ом·м]])),BF316/SQRT(Таблица_pr9[[#This Row],[Удельное сопротивление грунта, Ом·м]]))</f>
        <v/>
      </c>
      <c r="BI316" s="53"/>
      <c r="BJ316" s="52"/>
      <c r="BK316" s="50"/>
      <c r="BM316" s="61" t="str">
        <f>IFERROR(IF(BJ316-BD345&lt;=0,"",BL316/SQRT(Таблица_pr10[[#This Row],[Удельное сопротивление грунта, Ом·м]])),BL316/SQRT(Таблица_pr10[[#This Row],[Удельное сопротивление грунта, Ом·м]]))</f>
        <v/>
      </c>
    </row>
    <row r="317" spans="1:65">
      <c r="A317" s="51"/>
      <c r="B317" s="52"/>
      <c r="C317" s="50"/>
      <c r="D317" s="61" t="str">
        <f t="shared" si="25"/>
        <v/>
      </c>
      <c r="E317" s="61" t="str">
        <f>IFERROR(IF(B317-B316&lt;=0,"",D317/SQRT(Таблица_pr[[#This Row],[Удельное сопротивление грунта, Ом·м]])),D317/SQRT(Таблица_pr[[#This Row],[Удельное сопротивление грунта, Ом·м]]))</f>
        <v/>
      </c>
      <c r="G317" s="189"/>
      <c r="H317" s="185"/>
      <c r="I317" s="183"/>
      <c r="J317" s="180" t="str">
        <f t="shared" si="26"/>
        <v/>
      </c>
      <c r="K317" s="61" t="str">
        <f>IFERROR(IF(H317-H316&lt;=0,"",J317/SQRT(Таблица_pr1[[#This Row],[Удельное сопротивление грунта, Ом·м]])),J317/SQRT(Таблица_pr1[[#This Row],[Удельное сопротивление грунта, Ом·м]]))</f>
        <v/>
      </c>
      <c r="M317" s="51"/>
      <c r="N317" s="52"/>
      <c r="O317" s="50"/>
      <c r="P317" s="61" t="str">
        <f t="shared" si="27"/>
        <v/>
      </c>
      <c r="Q317" s="61" t="str">
        <f>IFERROR(IF(N317-N316&lt;=0,"",P317/SQRT(Таблица_pr2[[#This Row],[Удельное сопротивление грунта, Ом·м]])),P317/SQRT(Таблица_pr2[[#This Row],[Удельное сопротивление грунта, Ом·м]]))</f>
        <v/>
      </c>
      <c r="S317" s="51"/>
      <c r="T317" s="52"/>
      <c r="U317" s="50"/>
      <c r="W317" s="61" t="str">
        <f>IFERROR(IF(T317-T316&lt;=0,"",V317/SQRT(Таблица_pr3[[#This Row],[Удельное сопротивление грунта, Ом·м]])),V317/SQRT(Таблица_pr3[[#This Row],[Удельное сопротивление грунта, Ом·м]]))</f>
        <v/>
      </c>
      <c r="Y317" s="51"/>
      <c r="Z317" s="52"/>
      <c r="AA317" s="50"/>
      <c r="AB317" s="61" t="str">
        <f t="shared" si="28"/>
        <v/>
      </c>
      <c r="AC317" s="61" t="str">
        <f>IFERROR(IF(Z317-Z316&lt;=0,"",AB317/SQRT(Таблица_pr4[[#This Row],[Удельное сопротивление грунта, Ом·м]])),AB317/SQRT(Таблица_pr4[[#This Row],[Удельное сопротивление грунта, Ом·м]]))</f>
        <v/>
      </c>
      <c r="AE317" s="51"/>
      <c r="AF317" s="52"/>
      <c r="AG317" s="50"/>
      <c r="AI317" s="61" t="str">
        <f>IFERROR(IF(AF317-AF316&lt;=0,"",AH317/SQRT(Таблица_pr5[[#This Row],[Удельное сопротивление грунта, Ом·м]])),AH317/SQRT(Таблица_pr5[[#This Row],[Удельное сопротивление грунта, Ом·м]]))</f>
        <v/>
      </c>
      <c r="AK317" s="51"/>
      <c r="AL317" s="52"/>
      <c r="AM317" s="50"/>
      <c r="AN317" s="61" t="str">
        <f t="shared" si="29"/>
        <v/>
      </c>
      <c r="AO317" s="61" t="str">
        <f>IFERROR(IF(AL317-AL316&lt;=0,"",AN317/SQRT(Таблица_pr6[[#This Row],[Удельное сопротивление грунта, Ом·м]])),AN317/SQRT(Таблица_pr6[[#This Row],[Удельное сопротивление грунта, Ом·м]]))</f>
        <v/>
      </c>
      <c r="AQ317" s="51"/>
      <c r="AR317" s="52"/>
      <c r="AS317" s="50"/>
      <c r="AU317" s="61" t="str">
        <f>IFERROR(IF(AR317-AR316&lt;=0,"",AT317/SQRT(Таблица_pr7[[#This Row],[Удельное сопротивление грунта, Ом·м]])),AT317/SQRT(Таблица_pr7[[#This Row],[Удельное сопротивление грунта, Ом·м]]))</f>
        <v/>
      </c>
      <c r="AW317" s="51"/>
      <c r="AX317" s="52"/>
      <c r="AY317" s="50"/>
      <c r="AZ317" s="61" t="str">
        <f t="shared" si="30"/>
        <v/>
      </c>
      <c r="BA317" s="61" t="str">
        <f>IFERROR(IF(AX317-AX316&lt;=0,"",AZ317/SQRT(Таблица_pr8[[#This Row],[Удельное сопротивление грунта, Ом·м]])),AZ317/SQRT(Таблица_pr8[[#This Row],[Удельное сопротивление грунта, Ом·м]]))</f>
        <v/>
      </c>
      <c r="BC317" s="51"/>
      <c r="BD317" s="52"/>
      <c r="BE317" s="50"/>
      <c r="BG317" s="61" t="str">
        <f>IFERROR(IF(BD317-AX336&lt;=0,"",BF317/SQRT(Таблица_pr9[[#This Row],[Удельное сопротивление грунта, Ом·м]])),BF317/SQRT(Таблица_pr9[[#This Row],[Удельное сопротивление грунта, Ом·м]]))</f>
        <v/>
      </c>
      <c r="BI317" s="51"/>
      <c r="BJ317" s="52"/>
      <c r="BK317" s="50"/>
      <c r="BM317" s="61" t="str">
        <f>IFERROR(IF(BJ317-BD346&lt;=0,"",BL317/SQRT(Таблица_pr10[[#This Row],[Удельное сопротивление грунта, Ом·м]])),BL317/SQRT(Таблица_pr10[[#This Row],[Удельное сопротивление грунта, Ом·м]]))</f>
        <v/>
      </c>
    </row>
    <row r="318" spans="1:65">
      <c r="A318" s="53"/>
      <c r="B318" s="52"/>
      <c r="C318" s="50"/>
      <c r="D318" s="61" t="str">
        <f t="shared" si="25"/>
        <v/>
      </c>
      <c r="E318" s="61" t="str">
        <f>IFERROR(IF(B318-B317&lt;=0,"",D318/SQRT(Таблица_pr[[#This Row],[Удельное сопротивление грунта, Ом·м]])),D318/SQRT(Таблица_pr[[#This Row],[Удельное сопротивление грунта, Ом·м]]))</f>
        <v/>
      </c>
      <c r="G318" s="188"/>
      <c r="H318" s="184"/>
      <c r="I318" s="182"/>
      <c r="J318" s="181" t="str">
        <f t="shared" si="26"/>
        <v/>
      </c>
      <c r="K318" s="61" t="str">
        <f>IFERROR(IF(H318-H317&lt;=0,"",J318/SQRT(Таблица_pr1[[#This Row],[Удельное сопротивление грунта, Ом·м]])),J318/SQRT(Таблица_pr1[[#This Row],[Удельное сопротивление грунта, Ом·м]]))</f>
        <v/>
      </c>
      <c r="M318" s="53"/>
      <c r="N318" s="52"/>
      <c r="O318" s="50"/>
      <c r="P318" s="61" t="str">
        <f t="shared" si="27"/>
        <v/>
      </c>
      <c r="Q318" s="61" t="str">
        <f>IFERROR(IF(N318-N317&lt;=0,"",P318/SQRT(Таблица_pr2[[#This Row],[Удельное сопротивление грунта, Ом·м]])),P318/SQRT(Таблица_pr2[[#This Row],[Удельное сопротивление грунта, Ом·м]]))</f>
        <v/>
      </c>
      <c r="S318" s="53"/>
      <c r="T318" s="52"/>
      <c r="U318" s="50"/>
      <c r="W318" s="61" t="str">
        <f>IFERROR(IF(T318-T317&lt;=0,"",V318/SQRT(Таблица_pr3[[#This Row],[Удельное сопротивление грунта, Ом·м]])),V318/SQRT(Таблица_pr3[[#This Row],[Удельное сопротивление грунта, Ом·м]]))</f>
        <v/>
      </c>
      <c r="Y318" s="53"/>
      <c r="Z318" s="52"/>
      <c r="AA318" s="50"/>
      <c r="AB318" s="61" t="str">
        <f t="shared" si="28"/>
        <v/>
      </c>
      <c r="AC318" s="61" t="str">
        <f>IFERROR(IF(Z318-Z317&lt;=0,"",AB318/SQRT(Таблица_pr4[[#This Row],[Удельное сопротивление грунта, Ом·м]])),AB318/SQRT(Таблица_pr4[[#This Row],[Удельное сопротивление грунта, Ом·м]]))</f>
        <v/>
      </c>
      <c r="AE318" s="53"/>
      <c r="AF318" s="52"/>
      <c r="AG318" s="50"/>
      <c r="AI318" s="61" t="str">
        <f>IFERROR(IF(AF318-AF317&lt;=0,"",AH318/SQRT(Таблица_pr5[[#This Row],[Удельное сопротивление грунта, Ом·м]])),AH318/SQRT(Таблица_pr5[[#This Row],[Удельное сопротивление грунта, Ом·м]]))</f>
        <v/>
      </c>
      <c r="AK318" s="53"/>
      <c r="AL318" s="52"/>
      <c r="AM318" s="50"/>
      <c r="AN318" s="61" t="str">
        <f t="shared" si="29"/>
        <v/>
      </c>
      <c r="AO318" s="61" t="str">
        <f>IFERROR(IF(AL318-AL317&lt;=0,"",AN318/SQRT(Таблица_pr6[[#This Row],[Удельное сопротивление грунта, Ом·м]])),AN318/SQRT(Таблица_pr6[[#This Row],[Удельное сопротивление грунта, Ом·м]]))</f>
        <v/>
      </c>
      <c r="AQ318" s="53"/>
      <c r="AR318" s="52"/>
      <c r="AS318" s="50"/>
      <c r="AU318" s="61" t="str">
        <f>IFERROR(IF(AR318-AR317&lt;=0,"",AT318/SQRT(Таблица_pr7[[#This Row],[Удельное сопротивление грунта, Ом·м]])),AT318/SQRT(Таблица_pr7[[#This Row],[Удельное сопротивление грунта, Ом·м]]))</f>
        <v/>
      </c>
      <c r="AW318" s="53"/>
      <c r="AX318" s="52"/>
      <c r="AY318" s="50"/>
      <c r="AZ318" s="61" t="str">
        <f t="shared" si="30"/>
        <v/>
      </c>
      <c r="BA318" s="61" t="str">
        <f>IFERROR(IF(AX318-AX317&lt;=0,"",AZ318/SQRT(Таблица_pr8[[#This Row],[Удельное сопротивление грунта, Ом·м]])),AZ318/SQRT(Таблица_pr8[[#This Row],[Удельное сопротивление грунта, Ом·м]]))</f>
        <v/>
      </c>
      <c r="BC318" s="53"/>
      <c r="BD318" s="52"/>
      <c r="BE318" s="50"/>
      <c r="BG318" s="61" t="str">
        <f>IFERROR(IF(BD318-AX337&lt;=0,"",BF318/SQRT(Таблица_pr9[[#This Row],[Удельное сопротивление грунта, Ом·м]])),BF318/SQRT(Таблица_pr9[[#This Row],[Удельное сопротивление грунта, Ом·м]]))</f>
        <v/>
      </c>
      <c r="BI318" s="53"/>
      <c r="BJ318" s="52"/>
      <c r="BK318" s="50"/>
      <c r="BM318" s="61" t="str">
        <f>IFERROR(IF(BJ318-BD347&lt;=0,"",BL318/SQRT(Таблица_pr10[[#This Row],[Удельное сопротивление грунта, Ом·м]])),BL318/SQRT(Таблица_pr10[[#This Row],[Удельное сопротивление грунта, Ом·м]]))</f>
        <v/>
      </c>
    </row>
    <row r="319" spans="1:65">
      <c r="A319" s="51"/>
      <c r="B319" s="52"/>
      <c r="C319" s="50"/>
      <c r="D319" s="61" t="str">
        <f t="shared" si="25"/>
        <v/>
      </c>
      <c r="E319" s="61" t="str">
        <f>IFERROR(IF(B319-B318&lt;=0,"",D319/SQRT(Таблица_pr[[#This Row],[Удельное сопротивление грунта, Ом·м]])),D319/SQRT(Таблица_pr[[#This Row],[Удельное сопротивление грунта, Ом·м]]))</f>
        <v/>
      </c>
      <c r="G319" s="189"/>
      <c r="H319" s="185"/>
      <c r="I319" s="183"/>
      <c r="J319" s="180" t="str">
        <f t="shared" si="26"/>
        <v/>
      </c>
      <c r="K319" s="61" t="str">
        <f>IFERROR(IF(H319-H318&lt;=0,"",J319/SQRT(Таблица_pr1[[#This Row],[Удельное сопротивление грунта, Ом·м]])),J319/SQRT(Таблица_pr1[[#This Row],[Удельное сопротивление грунта, Ом·м]]))</f>
        <v/>
      </c>
      <c r="M319" s="51"/>
      <c r="N319" s="52"/>
      <c r="O319" s="50"/>
      <c r="P319" s="61" t="str">
        <f t="shared" si="27"/>
        <v/>
      </c>
      <c r="Q319" s="61" t="str">
        <f>IFERROR(IF(N319-N318&lt;=0,"",P319/SQRT(Таблица_pr2[[#This Row],[Удельное сопротивление грунта, Ом·м]])),P319/SQRT(Таблица_pr2[[#This Row],[Удельное сопротивление грунта, Ом·м]]))</f>
        <v/>
      </c>
      <c r="S319" s="51"/>
      <c r="T319" s="52"/>
      <c r="U319" s="50"/>
      <c r="W319" s="61" t="str">
        <f>IFERROR(IF(T319-T318&lt;=0,"",V319/SQRT(Таблица_pr3[[#This Row],[Удельное сопротивление грунта, Ом·м]])),V319/SQRT(Таблица_pr3[[#This Row],[Удельное сопротивление грунта, Ом·м]]))</f>
        <v/>
      </c>
      <c r="Y319" s="51"/>
      <c r="Z319" s="52"/>
      <c r="AA319" s="50"/>
      <c r="AB319" s="61" t="str">
        <f t="shared" si="28"/>
        <v/>
      </c>
      <c r="AC319" s="61" t="str">
        <f>IFERROR(IF(Z319-Z318&lt;=0,"",AB319/SQRT(Таблица_pr4[[#This Row],[Удельное сопротивление грунта, Ом·м]])),AB319/SQRT(Таблица_pr4[[#This Row],[Удельное сопротивление грунта, Ом·м]]))</f>
        <v/>
      </c>
      <c r="AE319" s="51"/>
      <c r="AF319" s="52"/>
      <c r="AG319" s="50"/>
      <c r="AI319" s="61" t="str">
        <f>IFERROR(IF(AF319-AF318&lt;=0,"",AH319/SQRT(Таблица_pr5[[#This Row],[Удельное сопротивление грунта, Ом·м]])),AH319/SQRT(Таблица_pr5[[#This Row],[Удельное сопротивление грунта, Ом·м]]))</f>
        <v/>
      </c>
      <c r="AK319" s="51"/>
      <c r="AL319" s="52"/>
      <c r="AM319" s="50"/>
      <c r="AN319" s="61" t="str">
        <f t="shared" si="29"/>
        <v/>
      </c>
      <c r="AO319" s="61" t="str">
        <f>IFERROR(IF(AL319-AL318&lt;=0,"",AN319/SQRT(Таблица_pr6[[#This Row],[Удельное сопротивление грунта, Ом·м]])),AN319/SQRT(Таблица_pr6[[#This Row],[Удельное сопротивление грунта, Ом·м]]))</f>
        <v/>
      </c>
      <c r="AQ319" s="51"/>
      <c r="AR319" s="52"/>
      <c r="AS319" s="50"/>
      <c r="AU319" s="61" t="str">
        <f>IFERROR(IF(AR319-AR318&lt;=0,"",AT319/SQRT(Таблица_pr7[[#This Row],[Удельное сопротивление грунта, Ом·м]])),AT319/SQRT(Таблица_pr7[[#This Row],[Удельное сопротивление грунта, Ом·м]]))</f>
        <v/>
      </c>
      <c r="AW319" s="51"/>
      <c r="AX319" s="52"/>
      <c r="AY319" s="50"/>
      <c r="AZ319" s="61" t="str">
        <f t="shared" si="30"/>
        <v/>
      </c>
      <c r="BA319" s="61" t="str">
        <f>IFERROR(IF(AX319-AX318&lt;=0,"",AZ319/SQRT(Таблица_pr8[[#This Row],[Удельное сопротивление грунта, Ом·м]])),AZ319/SQRT(Таблица_pr8[[#This Row],[Удельное сопротивление грунта, Ом·м]]))</f>
        <v/>
      </c>
      <c r="BC319" s="51"/>
      <c r="BD319" s="52"/>
      <c r="BE319" s="50"/>
      <c r="BG319" s="61" t="str">
        <f>IFERROR(IF(BD319-AX338&lt;=0,"",BF319/SQRT(Таблица_pr9[[#This Row],[Удельное сопротивление грунта, Ом·м]])),BF319/SQRT(Таблица_pr9[[#This Row],[Удельное сопротивление грунта, Ом·м]]))</f>
        <v/>
      </c>
      <c r="BI319" s="51"/>
      <c r="BJ319" s="52"/>
      <c r="BK319" s="50"/>
      <c r="BM319" s="61" t="str">
        <f>IFERROR(IF(BJ319-BD348&lt;=0,"",BL319/SQRT(Таблица_pr10[[#This Row],[Удельное сопротивление грунта, Ом·м]])),BL319/SQRT(Таблица_pr10[[#This Row],[Удельное сопротивление грунта, Ом·м]]))</f>
        <v/>
      </c>
    </row>
    <row r="320" spans="1:65">
      <c r="A320" s="53"/>
      <c r="B320" s="52"/>
      <c r="C320" s="50"/>
      <c r="D320" s="61" t="str">
        <f t="shared" si="25"/>
        <v/>
      </c>
      <c r="E320" s="61" t="str">
        <f>IFERROR(IF(B320-B319&lt;=0,"",D320/SQRT(Таблица_pr[[#This Row],[Удельное сопротивление грунта, Ом·м]])),D320/SQRT(Таблица_pr[[#This Row],[Удельное сопротивление грунта, Ом·м]]))</f>
        <v/>
      </c>
      <c r="G320" s="188"/>
      <c r="H320" s="184"/>
      <c r="I320" s="182"/>
      <c r="J320" s="181" t="str">
        <f t="shared" si="26"/>
        <v/>
      </c>
      <c r="K320" s="61" t="str">
        <f>IFERROR(IF(H320-H319&lt;=0,"",J320/SQRT(Таблица_pr1[[#This Row],[Удельное сопротивление грунта, Ом·м]])),J320/SQRT(Таблица_pr1[[#This Row],[Удельное сопротивление грунта, Ом·м]]))</f>
        <v/>
      </c>
      <c r="M320" s="53"/>
      <c r="N320" s="52"/>
      <c r="O320" s="50"/>
      <c r="P320" s="61" t="str">
        <f t="shared" si="27"/>
        <v/>
      </c>
      <c r="Q320" s="61" t="str">
        <f>IFERROR(IF(N320-N319&lt;=0,"",P320/SQRT(Таблица_pr2[[#This Row],[Удельное сопротивление грунта, Ом·м]])),P320/SQRT(Таблица_pr2[[#This Row],[Удельное сопротивление грунта, Ом·м]]))</f>
        <v/>
      </c>
      <c r="S320" s="53"/>
      <c r="T320" s="52"/>
      <c r="U320" s="50"/>
      <c r="V320" s="61" t="str">
        <f t="shared" ref="V320:V383" si="31">IFERROR(IF(T320-T319&lt;=0,"",(T320-T319)*1000),100)</f>
        <v/>
      </c>
      <c r="W320" s="61" t="str">
        <f>IFERROR(IF(T320-T319&lt;=0,"",V320/SQRT(Таблица_pr3[[#This Row],[Удельное сопротивление грунта, Ом·м]])),V320/SQRT(Таблица_pr3[[#This Row],[Удельное сопротивление грунта, Ом·м]]))</f>
        <v/>
      </c>
      <c r="Y320" s="53"/>
      <c r="Z320" s="52"/>
      <c r="AA320" s="50"/>
      <c r="AB320" s="61" t="str">
        <f t="shared" si="28"/>
        <v/>
      </c>
      <c r="AC320" s="61" t="str">
        <f>IFERROR(IF(Z320-Z319&lt;=0,"",AB320/SQRT(Таблица_pr4[[#This Row],[Удельное сопротивление грунта, Ом·м]])),AB320/SQRT(Таблица_pr4[[#This Row],[Удельное сопротивление грунта, Ом·м]]))</f>
        <v/>
      </c>
      <c r="AE320" s="53"/>
      <c r="AF320" s="52"/>
      <c r="AG320" s="50"/>
      <c r="AH320" s="61" t="str">
        <f t="shared" ref="AH320:AH383" si="32">IFERROR(IF(AF320-AF319&lt;=0,"",(AF320-AF319)*1000),100)</f>
        <v/>
      </c>
      <c r="AI320" s="61" t="str">
        <f>IFERROR(IF(AF320-AF319&lt;=0,"",AH320/SQRT(Таблица_pr5[[#This Row],[Удельное сопротивление грунта, Ом·м]])),AH320/SQRT(Таблица_pr5[[#This Row],[Удельное сопротивление грунта, Ом·м]]))</f>
        <v/>
      </c>
      <c r="AK320" s="53"/>
      <c r="AL320" s="52"/>
      <c r="AM320" s="50"/>
      <c r="AN320" s="61" t="str">
        <f t="shared" si="29"/>
        <v/>
      </c>
      <c r="AO320" s="61" t="str">
        <f>IFERROR(IF(AL320-AL319&lt;=0,"",AN320/SQRT(Таблица_pr6[[#This Row],[Удельное сопротивление грунта, Ом·м]])),AN320/SQRT(Таблица_pr6[[#This Row],[Удельное сопротивление грунта, Ом·м]]))</f>
        <v/>
      </c>
      <c r="AQ320" s="53"/>
      <c r="AR320" s="52"/>
      <c r="AS320" s="50"/>
      <c r="AT320" s="61" t="str">
        <f t="shared" ref="AT320:AT383" si="33">IFERROR(IF(AR320-AR319&lt;=0,"",(AR320-AR319)*1000),100)</f>
        <v/>
      </c>
      <c r="AU320" s="61" t="str">
        <f>IFERROR(IF(AR320-AR319&lt;=0,"",AT320/SQRT(Таблица_pr7[[#This Row],[Удельное сопротивление грунта, Ом·м]])),AT320/SQRT(Таблица_pr7[[#This Row],[Удельное сопротивление грунта, Ом·м]]))</f>
        <v/>
      </c>
      <c r="AW320" s="53"/>
      <c r="AX320" s="52"/>
      <c r="AY320" s="50"/>
      <c r="AZ320" s="61" t="str">
        <f t="shared" si="30"/>
        <v/>
      </c>
      <c r="BA320" s="61" t="str">
        <f>IFERROR(IF(AX320-AX319&lt;=0,"",AZ320/SQRT(Таблица_pr8[[#This Row],[Удельное сопротивление грунта, Ом·м]])),AZ320/SQRT(Таблица_pr8[[#This Row],[Удельное сопротивление грунта, Ом·м]]))</f>
        <v/>
      </c>
      <c r="BC320" s="53"/>
      <c r="BD320" s="52"/>
      <c r="BE320" s="50"/>
      <c r="BG320" s="61" t="str">
        <f>IFERROR(IF(BD320-AX339&lt;=0,"",BF320/SQRT(Таблица_pr9[[#This Row],[Удельное сопротивление грунта, Ом·м]])),BF320/SQRT(Таблица_pr9[[#This Row],[Удельное сопротивление грунта, Ом·м]]))</f>
        <v/>
      </c>
      <c r="BI320" s="53"/>
      <c r="BJ320" s="52"/>
      <c r="BK320" s="50"/>
      <c r="BM320" s="61" t="str">
        <f>IFERROR(IF(BJ320-BD349&lt;=0,"",BL320/SQRT(Таблица_pr10[[#This Row],[Удельное сопротивление грунта, Ом·м]])),BL320/SQRT(Таблица_pr10[[#This Row],[Удельное сопротивление грунта, Ом·м]]))</f>
        <v/>
      </c>
    </row>
    <row r="321" spans="1:65">
      <c r="A321" s="51"/>
      <c r="B321" s="52"/>
      <c r="C321" s="50"/>
      <c r="D321" s="61" t="str">
        <f t="shared" si="25"/>
        <v/>
      </c>
      <c r="E321" s="61" t="str">
        <f>IFERROR(IF(B321-B320&lt;=0,"",D321/SQRT(Таблица_pr[[#This Row],[Удельное сопротивление грунта, Ом·м]])),D321/SQRT(Таблица_pr[[#This Row],[Удельное сопротивление грунта, Ом·м]]))</f>
        <v/>
      </c>
      <c r="G321" s="189"/>
      <c r="H321" s="185"/>
      <c r="I321" s="183"/>
      <c r="J321" s="180" t="str">
        <f t="shared" si="26"/>
        <v/>
      </c>
      <c r="K321" s="61" t="str">
        <f>IFERROR(IF(H321-H320&lt;=0,"",J321/SQRT(Таблица_pr1[[#This Row],[Удельное сопротивление грунта, Ом·м]])),J321/SQRT(Таблица_pr1[[#This Row],[Удельное сопротивление грунта, Ом·м]]))</f>
        <v/>
      </c>
      <c r="M321" s="51"/>
      <c r="N321" s="52"/>
      <c r="O321" s="50"/>
      <c r="P321" s="61" t="str">
        <f t="shared" si="27"/>
        <v/>
      </c>
      <c r="Q321" s="61" t="str">
        <f>IFERROR(IF(N321-N320&lt;=0,"",P321/SQRT(Таблица_pr2[[#This Row],[Удельное сопротивление грунта, Ом·м]])),P321/SQRT(Таблица_pr2[[#This Row],[Удельное сопротивление грунта, Ом·м]]))</f>
        <v/>
      </c>
      <c r="S321" s="51"/>
      <c r="T321" s="52"/>
      <c r="U321" s="50"/>
      <c r="V321" s="61" t="str">
        <f t="shared" si="31"/>
        <v/>
      </c>
      <c r="W321" s="61" t="str">
        <f>IFERROR(IF(T321-T320&lt;=0,"",V321/SQRT(Таблица_pr3[[#This Row],[Удельное сопротивление грунта, Ом·м]])),V321/SQRT(Таблица_pr3[[#This Row],[Удельное сопротивление грунта, Ом·м]]))</f>
        <v/>
      </c>
      <c r="Y321" s="51"/>
      <c r="Z321" s="52"/>
      <c r="AA321" s="50"/>
      <c r="AB321" s="61" t="str">
        <f t="shared" si="28"/>
        <v/>
      </c>
      <c r="AC321" s="61" t="str">
        <f>IFERROR(IF(Z321-Z320&lt;=0,"",AB321/SQRT(Таблица_pr4[[#This Row],[Удельное сопротивление грунта, Ом·м]])),AB321/SQRT(Таблица_pr4[[#This Row],[Удельное сопротивление грунта, Ом·м]]))</f>
        <v/>
      </c>
      <c r="AE321" s="51"/>
      <c r="AF321" s="52"/>
      <c r="AG321" s="50"/>
      <c r="AH321" s="61" t="str">
        <f t="shared" si="32"/>
        <v/>
      </c>
      <c r="AI321" s="61" t="str">
        <f>IFERROR(IF(AF321-AF320&lt;=0,"",AH321/SQRT(Таблица_pr5[[#This Row],[Удельное сопротивление грунта, Ом·м]])),AH321/SQRT(Таблица_pr5[[#This Row],[Удельное сопротивление грунта, Ом·м]]))</f>
        <v/>
      </c>
      <c r="AK321" s="51"/>
      <c r="AL321" s="52"/>
      <c r="AM321" s="50"/>
      <c r="AN321" s="61" t="str">
        <f t="shared" si="29"/>
        <v/>
      </c>
      <c r="AO321" s="61" t="str">
        <f>IFERROR(IF(AL321-AL320&lt;=0,"",AN321/SQRT(Таблица_pr6[[#This Row],[Удельное сопротивление грунта, Ом·м]])),AN321/SQRT(Таблица_pr6[[#This Row],[Удельное сопротивление грунта, Ом·м]]))</f>
        <v/>
      </c>
      <c r="AQ321" s="51"/>
      <c r="AR321" s="52"/>
      <c r="AS321" s="50"/>
      <c r="AT321" s="61" t="str">
        <f t="shared" si="33"/>
        <v/>
      </c>
      <c r="AU321" s="61" t="str">
        <f>IFERROR(IF(AR321-AR320&lt;=0,"",AT321/SQRT(Таблица_pr7[[#This Row],[Удельное сопротивление грунта, Ом·м]])),AT321/SQRT(Таблица_pr7[[#This Row],[Удельное сопротивление грунта, Ом·м]]))</f>
        <v/>
      </c>
      <c r="AW321" s="51"/>
      <c r="AX321" s="52"/>
      <c r="AY321" s="50"/>
      <c r="AZ321" s="61" t="str">
        <f t="shared" si="30"/>
        <v/>
      </c>
      <c r="BA321" s="61" t="str">
        <f>IFERROR(IF(AX321-AX320&lt;=0,"",AZ321/SQRT(Таблица_pr8[[#This Row],[Удельное сопротивление грунта, Ом·м]])),AZ321/SQRT(Таблица_pr8[[#This Row],[Удельное сопротивление грунта, Ом·м]]))</f>
        <v/>
      </c>
      <c r="BC321" s="51"/>
      <c r="BD321" s="52"/>
      <c r="BE321" s="50"/>
      <c r="BG321" s="61" t="str">
        <f>IFERROR(IF(BD321-AX340&lt;=0,"",BF321/SQRT(Таблица_pr9[[#This Row],[Удельное сопротивление грунта, Ом·м]])),BF321/SQRT(Таблица_pr9[[#This Row],[Удельное сопротивление грунта, Ом·м]]))</f>
        <v/>
      </c>
      <c r="BI321" s="51"/>
      <c r="BJ321" s="52"/>
      <c r="BK321" s="50"/>
      <c r="BM321" s="61" t="str">
        <f>IFERROR(IF(BJ321-BD350&lt;=0,"",BL321/SQRT(Таблица_pr10[[#This Row],[Удельное сопротивление грунта, Ом·м]])),BL321/SQRT(Таблица_pr10[[#This Row],[Удельное сопротивление грунта, Ом·м]]))</f>
        <v/>
      </c>
    </row>
    <row r="322" spans="1:65">
      <c r="A322" s="53"/>
      <c r="B322" s="52"/>
      <c r="C322" s="50"/>
      <c r="D322" s="61" t="str">
        <f t="shared" si="25"/>
        <v/>
      </c>
      <c r="E322" s="61" t="str">
        <f>IFERROR(IF(B322-B321&lt;=0,"",D322/SQRT(Таблица_pr[[#This Row],[Удельное сопротивление грунта, Ом·м]])),D322/SQRT(Таблица_pr[[#This Row],[Удельное сопротивление грунта, Ом·м]]))</f>
        <v/>
      </c>
      <c r="G322" s="188"/>
      <c r="H322" s="184"/>
      <c r="I322" s="182"/>
      <c r="J322" s="181" t="str">
        <f t="shared" si="26"/>
        <v/>
      </c>
      <c r="K322" s="61" t="str">
        <f>IFERROR(IF(H322-H321&lt;=0,"",J322/SQRT(Таблица_pr1[[#This Row],[Удельное сопротивление грунта, Ом·м]])),J322/SQRT(Таблица_pr1[[#This Row],[Удельное сопротивление грунта, Ом·м]]))</f>
        <v/>
      </c>
      <c r="M322" s="53"/>
      <c r="N322" s="52"/>
      <c r="O322" s="50"/>
      <c r="P322" s="61" t="str">
        <f t="shared" si="27"/>
        <v/>
      </c>
      <c r="Q322" s="61" t="str">
        <f>IFERROR(IF(N322-N321&lt;=0,"",P322/SQRT(Таблица_pr2[[#This Row],[Удельное сопротивление грунта, Ом·м]])),P322/SQRT(Таблица_pr2[[#This Row],[Удельное сопротивление грунта, Ом·м]]))</f>
        <v/>
      </c>
      <c r="S322" s="53"/>
      <c r="T322" s="52"/>
      <c r="U322" s="50"/>
      <c r="V322" s="61" t="str">
        <f t="shared" si="31"/>
        <v/>
      </c>
      <c r="W322" s="61" t="str">
        <f>IFERROR(IF(T322-T321&lt;=0,"",V322/SQRT(Таблица_pr3[[#This Row],[Удельное сопротивление грунта, Ом·м]])),V322/SQRT(Таблица_pr3[[#This Row],[Удельное сопротивление грунта, Ом·м]]))</f>
        <v/>
      </c>
      <c r="Y322" s="53"/>
      <c r="Z322" s="52"/>
      <c r="AA322" s="50"/>
      <c r="AB322" s="61" t="str">
        <f t="shared" si="28"/>
        <v/>
      </c>
      <c r="AC322" s="61" t="str">
        <f>IFERROR(IF(Z322-Z321&lt;=0,"",AB322/SQRT(Таблица_pr4[[#This Row],[Удельное сопротивление грунта, Ом·м]])),AB322/SQRT(Таблица_pr4[[#This Row],[Удельное сопротивление грунта, Ом·м]]))</f>
        <v/>
      </c>
      <c r="AE322" s="53"/>
      <c r="AF322" s="52"/>
      <c r="AG322" s="50"/>
      <c r="AH322" s="61" t="str">
        <f t="shared" si="32"/>
        <v/>
      </c>
      <c r="AI322" s="61" t="str">
        <f>IFERROR(IF(AF322-AF321&lt;=0,"",AH322/SQRT(Таблица_pr5[[#This Row],[Удельное сопротивление грунта, Ом·м]])),AH322/SQRT(Таблица_pr5[[#This Row],[Удельное сопротивление грунта, Ом·м]]))</f>
        <v/>
      </c>
      <c r="AK322" s="53"/>
      <c r="AL322" s="52"/>
      <c r="AM322" s="50"/>
      <c r="AN322" s="61" t="str">
        <f t="shared" si="29"/>
        <v/>
      </c>
      <c r="AO322" s="61" t="str">
        <f>IFERROR(IF(AL322-AL321&lt;=0,"",AN322/SQRT(Таблица_pr6[[#This Row],[Удельное сопротивление грунта, Ом·м]])),AN322/SQRT(Таблица_pr6[[#This Row],[Удельное сопротивление грунта, Ом·м]]))</f>
        <v/>
      </c>
      <c r="AQ322" s="53"/>
      <c r="AR322" s="52"/>
      <c r="AS322" s="50"/>
      <c r="AT322" s="61" t="str">
        <f t="shared" si="33"/>
        <v/>
      </c>
      <c r="AU322" s="61" t="str">
        <f>IFERROR(IF(AR322-AR321&lt;=0,"",AT322/SQRT(Таблица_pr7[[#This Row],[Удельное сопротивление грунта, Ом·м]])),AT322/SQRT(Таблица_pr7[[#This Row],[Удельное сопротивление грунта, Ом·м]]))</f>
        <v/>
      </c>
      <c r="AW322" s="53"/>
      <c r="AX322" s="52"/>
      <c r="AY322" s="50"/>
      <c r="AZ322" s="61" t="str">
        <f t="shared" si="30"/>
        <v/>
      </c>
      <c r="BA322" s="61" t="str">
        <f>IFERROR(IF(AX322-AX321&lt;=0,"",AZ322/SQRT(Таблица_pr8[[#This Row],[Удельное сопротивление грунта, Ом·м]])),AZ322/SQRT(Таблица_pr8[[#This Row],[Удельное сопротивление грунта, Ом·м]]))</f>
        <v/>
      </c>
      <c r="BC322" s="53"/>
      <c r="BD322" s="52"/>
      <c r="BE322" s="50"/>
      <c r="BG322" s="61" t="str">
        <f>IFERROR(IF(BD322-AX341&lt;=0,"",BF322/SQRT(Таблица_pr9[[#This Row],[Удельное сопротивление грунта, Ом·м]])),BF322/SQRT(Таблица_pr9[[#This Row],[Удельное сопротивление грунта, Ом·м]]))</f>
        <v/>
      </c>
      <c r="BI322" s="53"/>
      <c r="BJ322" s="52"/>
      <c r="BK322" s="50"/>
      <c r="BM322" s="61" t="str">
        <f>IFERROR(IF(BJ322-BD351&lt;=0,"",BL322/SQRT(Таблица_pr10[[#This Row],[Удельное сопротивление грунта, Ом·м]])),BL322/SQRT(Таблица_pr10[[#This Row],[Удельное сопротивление грунта, Ом·м]]))</f>
        <v/>
      </c>
    </row>
    <row r="323" spans="1:65">
      <c r="A323" s="51"/>
      <c r="B323" s="52"/>
      <c r="C323" s="50"/>
      <c r="D323" s="61" t="str">
        <f t="shared" si="25"/>
        <v/>
      </c>
      <c r="E323" s="61" t="str">
        <f>IFERROR(IF(B323-B322&lt;=0,"",D323/SQRT(Таблица_pr[[#This Row],[Удельное сопротивление грунта, Ом·м]])),D323/SQRT(Таблица_pr[[#This Row],[Удельное сопротивление грунта, Ом·м]]))</f>
        <v/>
      </c>
      <c r="G323" s="189"/>
      <c r="H323" s="185"/>
      <c r="I323" s="183"/>
      <c r="J323" s="180" t="str">
        <f t="shared" si="26"/>
        <v/>
      </c>
      <c r="K323" s="61" t="str">
        <f>IFERROR(IF(H323-H322&lt;=0,"",J323/SQRT(Таблица_pr1[[#This Row],[Удельное сопротивление грунта, Ом·м]])),J323/SQRT(Таблица_pr1[[#This Row],[Удельное сопротивление грунта, Ом·м]]))</f>
        <v/>
      </c>
      <c r="M323" s="51"/>
      <c r="N323" s="52"/>
      <c r="O323" s="50"/>
      <c r="P323" s="61" t="str">
        <f t="shared" si="27"/>
        <v/>
      </c>
      <c r="Q323" s="61" t="str">
        <f>IFERROR(IF(N323-N322&lt;=0,"",P323/SQRT(Таблица_pr2[[#This Row],[Удельное сопротивление грунта, Ом·м]])),P323/SQRT(Таблица_pr2[[#This Row],[Удельное сопротивление грунта, Ом·м]]))</f>
        <v/>
      </c>
      <c r="S323" s="51"/>
      <c r="T323" s="52"/>
      <c r="U323" s="50"/>
      <c r="V323" s="61" t="str">
        <f t="shared" si="31"/>
        <v/>
      </c>
      <c r="W323" s="61" t="str">
        <f>IFERROR(IF(T323-T322&lt;=0,"",V323/SQRT(Таблица_pr3[[#This Row],[Удельное сопротивление грунта, Ом·м]])),V323/SQRT(Таблица_pr3[[#This Row],[Удельное сопротивление грунта, Ом·м]]))</f>
        <v/>
      </c>
      <c r="Y323" s="51"/>
      <c r="Z323" s="52"/>
      <c r="AA323" s="50"/>
      <c r="AB323" s="61" t="str">
        <f t="shared" si="28"/>
        <v/>
      </c>
      <c r="AC323" s="61" t="str">
        <f>IFERROR(IF(Z323-Z322&lt;=0,"",AB323/SQRT(Таблица_pr4[[#This Row],[Удельное сопротивление грунта, Ом·м]])),AB323/SQRT(Таблица_pr4[[#This Row],[Удельное сопротивление грунта, Ом·м]]))</f>
        <v/>
      </c>
      <c r="AE323" s="51"/>
      <c r="AF323" s="52"/>
      <c r="AG323" s="50"/>
      <c r="AH323" s="61" t="str">
        <f t="shared" si="32"/>
        <v/>
      </c>
      <c r="AI323" s="61" t="str">
        <f>IFERROR(IF(AF323-AF322&lt;=0,"",AH323/SQRT(Таблица_pr5[[#This Row],[Удельное сопротивление грунта, Ом·м]])),AH323/SQRT(Таблица_pr5[[#This Row],[Удельное сопротивление грунта, Ом·м]]))</f>
        <v/>
      </c>
      <c r="AK323" s="51"/>
      <c r="AL323" s="52"/>
      <c r="AM323" s="50"/>
      <c r="AN323" s="61" t="str">
        <f t="shared" si="29"/>
        <v/>
      </c>
      <c r="AO323" s="61" t="str">
        <f>IFERROR(IF(AL323-AL322&lt;=0,"",AN323/SQRT(Таблица_pr6[[#This Row],[Удельное сопротивление грунта, Ом·м]])),AN323/SQRT(Таблица_pr6[[#This Row],[Удельное сопротивление грунта, Ом·м]]))</f>
        <v/>
      </c>
      <c r="AQ323" s="51"/>
      <c r="AR323" s="52"/>
      <c r="AS323" s="50"/>
      <c r="AT323" s="61" t="str">
        <f t="shared" si="33"/>
        <v/>
      </c>
      <c r="AU323" s="61" t="str">
        <f>IFERROR(IF(AR323-AR322&lt;=0,"",AT323/SQRT(Таблица_pr7[[#This Row],[Удельное сопротивление грунта, Ом·м]])),AT323/SQRT(Таблица_pr7[[#This Row],[Удельное сопротивление грунта, Ом·м]]))</f>
        <v/>
      </c>
      <c r="AW323" s="51"/>
      <c r="AX323" s="52"/>
      <c r="AY323" s="50"/>
      <c r="AZ323" s="61" t="str">
        <f t="shared" si="30"/>
        <v/>
      </c>
      <c r="BA323" s="61" t="str">
        <f>IFERROR(IF(AX323-AX322&lt;=0,"",AZ323/SQRT(Таблица_pr8[[#This Row],[Удельное сопротивление грунта, Ом·м]])),AZ323/SQRT(Таблица_pr8[[#This Row],[Удельное сопротивление грунта, Ом·м]]))</f>
        <v/>
      </c>
      <c r="BC323" s="51"/>
      <c r="BD323" s="52"/>
      <c r="BE323" s="50"/>
      <c r="BG323" s="61" t="str">
        <f>IFERROR(IF(BD323-AX342&lt;=0,"",BF323/SQRT(Таблица_pr9[[#This Row],[Удельное сопротивление грунта, Ом·м]])),BF323/SQRT(Таблица_pr9[[#This Row],[Удельное сопротивление грунта, Ом·м]]))</f>
        <v/>
      </c>
      <c r="BI323" s="51"/>
      <c r="BJ323" s="52"/>
      <c r="BK323" s="50"/>
      <c r="BM323" s="61" t="str">
        <f>IFERROR(IF(BJ323-BD352&lt;=0,"",BL323/SQRT(Таблица_pr10[[#This Row],[Удельное сопротивление грунта, Ом·м]])),BL323/SQRT(Таблица_pr10[[#This Row],[Удельное сопротивление грунта, Ом·м]]))</f>
        <v/>
      </c>
    </row>
    <row r="324" spans="1:65">
      <c r="A324" s="53"/>
      <c r="B324" s="52"/>
      <c r="C324" s="50"/>
      <c r="D324" s="61" t="str">
        <f t="shared" si="25"/>
        <v/>
      </c>
      <c r="E324" s="61" t="str">
        <f>IFERROR(IF(B324-B323&lt;=0,"",D324/SQRT(Таблица_pr[[#This Row],[Удельное сопротивление грунта, Ом·м]])),D324/SQRT(Таблица_pr[[#This Row],[Удельное сопротивление грунта, Ом·м]]))</f>
        <v/>
      </c>
      <c r="G324" s="188"/>
      <c r="H324" s="184"/>
      <c r="I324" s="182"/>
      <c r="J324" s="181" t="str">
        <f t="shared" si="26"/>
        <v/>
      </c>
      <c r="K324" s="61" t="str">
        <f>IFERROR(IF(H324-H323&lt;=0,"",J324/SQRT(Таблица_pr1[[#This Row],[Удельное сопротивление грунта, Ом·м]])),J324/SQRT(Таблица_pr1[[#This Row],[Удельное сопротивление грунта, Ом·м]]))</f>
        <v/>
      </c>
      <c r="M324" s="53"/>
      <c r="N324" s="52"/>
      <c r="O324" s="50"/>
      <c r="P324" s="61" t="str">
        <f t="shared" si="27"/>
        <v/>
      </c>
      <c r="Q324" s="61" t="str">
        <f>IFERROR(IF(N324-N323&lt;=0,"",P324/SQRT(Таблица_pr2[[#This Row],[Удельное сопротивление грунта, Ом·м]])),P324/SQRT(Таблица_pr2[[#This Row],[Удельное сопротивление грунта, Ом·м]]))</f>
        <v/>
      </c>
      <c r="S324" s="53"/>
      <c r="T324" s="52"/>
      <c r="U324" s="50"/>
      <c r="V324" s="61" t="str">
        <f t="shared" si="31"/>
        <v/>
      </c>
      <c r="W324" s="61" t="str">
        <f>IFERROR(IF(T324-T323&lt;=0,"",V324/SQRT(Таблица_pr3[[#This Row],[Удельное сопротивление грунта, Ом·м]])),V324/SQRT(Таблица_pr3[[#This Row],[Удельное сопротивление грунта, Ом·м]]))</f>
        <v/>
      </c>
      <c r="Y324" s="53"/>
      <c r="Z324" s="52"/>
      <c r="AA324" s="50"/>
      <c r="AB324" s="61" t="str">
        <f t="shared" si="28"/>
        <v/>
      </c>
      <c r="AC324" s="61" t="str">
        <f>IFERROR(IF(Z324-Z323&lt;=0,"",AB324/SQRT(Таблица_pr4[[#This Row],[Удельное сопротивление грунта, Ом·м]])),AB324/SQRT(Таблица_pr4[[#This Row],[Удельное сопротивление грунта, Ом·м]]))</f>
        <v/>
      </c>
      <c r="AE324" s="53"/>
      <c r="AF324" s="52"/>
      <c r="AG324" s="50"/>
      <c r="AH324" s="61" t="str">
        <f t="shared" si="32"/>
        <v/>
      </c>
      <c r="AI324" s="61" t="str">
        <f>IFERROR(IF(AF324-AF323&lt;=0,"",AH324/SQRT(Таблица_pr5[[#This Row],[Удельное сопротивление грунта, Ом·м]])),AH324/SQRT(Таблица_pr5[[#This Row],[Удельное сопротивление грунта, Ом·м]]))</f>
        <v/>
      </c>
      <c r="AK324" s="53"/>
      <c r="AL324" s="52"/>
      <c r="AM324" s="50"/>
      <c r="AN324" s="61" t="str">
        <f t="shared" si="29"/>
        <v/>
      </c>
      <c r="AO324" s="61" t="str">
        <f>IFERROR(IF(AL324-AL323&lt;=0,"",AN324/SQRT(Таблица_pr6[[#This Row],[Удельное сопротивление грунта, Ом·м]])),AN324/SQRT(Таблица_pr6[[#This Row],[Удельное сопротивление грунта, Ом·м]]))</f>
        <v/>
      </c>
      <c r="AQ324" s="53"/>
      <c r="AR324" s="52"/>
      <c r="AS324" s="50"/>
      <c r="AT324" s="61" t="str">
        <f t="shared" si="33"/>
        <v/>
      </c>
      <c r="AU324" s="61" t="str">
        <f>IFERROR(IF(AR324-AR323&lt;=0,"",AT324/SQRT(Таблица_pr7[[#This Row],[Удельное сопротивление грунта, Ом·м]])),AT324/SQRT(Таблица_pr7[[#This Row],[Удельное сопротивление грунта, Ом·м]]))</f>
        <v/>
      </c>
      <c r="AW324" s="53"/>
      <c r="AX324" s="52"/>
      <c r="AY324" s="50"/>
      <c r="AZ324" s="61" t="str">
        <f t="shared" si="30"/>
        <v/>
      </c>
      <c r="BA324" s="61" t="str">
        <f>IFERROR(IF(AX324-AX323&lt;=0,"",AZ324/SQRT(Таблица_pr8[[#This Row],[Удельное сопротивление грунта, Ом·м]])),AZ324/SQRT(Таблица_pr8[[#This Row],[Удельное сопротивление грунта, Ом·м]]))</f>
        <v/>
      </c>
      <c r="BC324" s="53"/>
      <c r="BD324" s="52"/>
      <c r="BE324" s="50"/>
      <c r="BG324" s="61" t="str">
        <f>IFERROR(IF(BD324-AX343&lt;=0,"",BF324/SQRT(Таблица_pr9[[#This Row],[Удельное сопротивление грунта, Ом·м]])),BF324/SQRT(Таблица_pr9[[#This Row],[Удельное сопротивление грунта, Ом·м]]))</f>
        <v/>
      </c>
      <c r="BI324" s="53"/>
      <c r="BJ324" s="52"/>
      <c r="BK324" s="50"/>
      <c r="BM324" s="61" t="str">
        <f>IFERROR(IF(BJ324-BD353&lt;=0,"",BL324/SQRT(Таблица_pr10[[#This Row],[Удельное сопротивление грунта, Ом·м]])),BL324/SQRT(Таблица_pr10[[#This Row],[Удельное сопротивление грунта, Ом·м]]))</f>
        <v/>
      </c>
    </row>
    <row r="325" spans="1:65">
      <c r="A325" s="51"/>
      <c r="B325" s="52"/>
      <c r="C325" s="50"/>
      <c r="D325" s="61" t="str">
        <f t="shared" si="25"/>
        <v/>
      </c>
      <c r="E325" s="61" t="str">
        <f>IFERROR(IF(B325-B324&lt;=0,"",D325/SQRT(Таблица_pr[[#This Row],[Удельное сопротивление грунта, Ом·м]])),D325/SQRT(Таблица_pr[[#This Row],[Удельное сопротивление грунта, Ом·м]]))</f>
        <v/>
      </c>
      <c r="G325" s="189"/>
      <c r="H325" s="185"/>
      <c r="I325" s="183"/>
      <c r="J325" s="180" t="str">
        <f t="shared" si="26"/>
        <v/>
      </c>
      <c r="K325" s="61" t="str">
        <f>IFERROR(IF(H325-H324&lt;=0,"",J325/SQRT(Таблица_pr1[[#This Row],[Удельное сопротивление грунта, Ом·м]])),J325/SQRT(Таблица_pr1[[#This Row],[Удельное сопротивление грунта, Ом·м]]))</f>
        <v/>
      </c>
      <c r="M325" s="51"/>
      <c r="N325" s="52"/>
      <c r="O325" s="50"/>
      <c r="P325" s="61" t="str">
        <f t="shared" si="27"/>
        <v/>
      </c>
      <c r="Q325" s="61" t="str">
        <f>IFERROR(IF(N325-N324&lt;=0,"",P325/SQRT(Таблица_pr2[[#This Row],[Удельное сопротивление грунта, Ом·м]])),P325/SQRT(Таблица_pr2[[#This Row],[Удельное сопротивление грунта, Ом·м]]))</f>
        <v/>
      </c>
      <c r="S325" s="51"/>
      <c r="T325" s="52"/>
      <c r="U325" s="50"/>
      <c r="V325" s="61" t="str">
        <f t="shared" si="31"/>
        <v/>
      </c>
      <c r="W325" s="61" t="str">
        <f>IFERROR(IF(T325-T324&lt;=0,"",V325/SQRT(Таблица_pr3[[#This Row],[Удельное сопротивление грунта, Ом·м]])),V325/SQRT(Таблица_pr3[[#This Row],[Удельное сопротивление грунта, Ом·м]]))</f>
        <v/>
      </c>
      <c r="Y325" s="51"/>
      <c r="Z325" s="52"/>
      <c r="AA325" s="50"/>
      <c r="AB325" s="61" t="str">
        <f t="shared" si="28"/>
        <v/>
      </c>
      <c r="AC325" s="61" t="str">
        <f>IFERROR(IF(Z325-Z324&lt;=0,"",AB325/SQRT(Таблица_pr4[[#This Row],[Удельное сопротивление грунта, Ом·м]])),AB325/SQRT(Таблица_pr4[[#This Row],[Удельное сопротивление грунта, Ом·м]]))</f>
        <v/>
      </c>
      <c r="AE325" s="51"/>
      <c r="AF325" s="52"/>
      <c r="AG325" s="50"/>
      <c r="AH325" s="61" t="str">
        <f t="shared" si="32"/>
        <v/>
      </c>
      <c r="AI325" s="61" t="str">
        <f>IFERROR(IF(AF325-AF324&lt;=0,"",AH325/SQRT(Таблица_pr5[[#This Row],[Удельное сопротивление грунта, Ом·м]])),AH325/SQRT(Таблица_pr5[[#This Row],[Удельное сопротивление грунта, Ом·м]]))</f>
        <v/>
      </c>
      <c r="AK325" s="51"/>
      <c r="AL325" s="52"/>
      <c r="AM325" s="50"/>
      <c r="AN325" s="61" t="str">
        <f t="shared" si="29"/>
        <v/>
      </c>
      <c r="AO325" s="61" t="str">
        <f>IFERROR(IF(AL325-AL324&lt;=0,"",AN325/SQRT(Таблица_pr6[[#This Row],[Удельное сопротивление грунта, Ом·м]])),AN325/SQRT(Таблица_pr6[[#This Row],[Удельное сопротивление грунта, Ом·м]]))</f>
        <v/>
      </c>
      <c r="AQ325" s="51"/>
      <c r="AR325" s="52"/>
      <c r="AS325" s="50"/>
      <c r="AT325" s="61" t="str">
        <f t="shared" si="33"/>
        <v/>
      </c>
      <c r="AU325" s="61" t="str">
        <f>IFERROR(IF(AR325-AR324&lt;=0,"",AT325/SQRT(Таблица_pr7[[#This Row],[Удельное сопротивление грунта, Ом·м]])),AT325/SQRT(Таблица_pr7[[#This Row],[Удельное сопротивление грунта, Ом·м]]))</f>
        <v/>
      </c>
      <c r="AW325" s="51"/>
      <c r="AX325" s="52"/>
      <c r="AY325" s="50"/>
      <c r="AZ325" s="61" t="str">
        <f t="shared" si="30"/>
        <v/>
      </c>
      <c r="BA325" s="61" t="str">
        <f>IFERROR(IF(AX325-AX324&lt;=0,"",AZ325/SQRT(Таблица_pr8[[#This Row],[Удельное сопротивление грунта, Ом·м]])),AZ325/SQRT(Таблица_pr8[[#This Row],[Удельное сопротивление грунта, Ом·м]]))</f>
        <v/>
      </c>
      <c r="BC325" s="51"/>
      <c r="BD325" s="52"/>
      <c r="BE325" s="50"/>
      <c r="BG325" s="61" t="str">
        <f>IFERROR(IF(BD325-AX344&lt;=0,"",BF325/SQRT(Таблица_pr9[[#This Row],[Удельное сопротивление грунта, Ом·м]])),BF325/SQRT(Таблица_pr9[[#This Row],[Удельное сопротивление грунта, Ом·м]]))</f>
        <v/>
      </c>
      <c r="BI325" s="51"/>
      <c r="BJ325" s="52"/>
      <c r="BK325" s="50"/>
      <c r="BM325" s="61" t="str">
        <f>IFERROR(IF(BJ325-BD354&lt;=0,"",BL325/SQRT(Таблица_pr10[[#This Row],[Удельное сопротивление грунта, Ом·м]])),BL325/SQRT(Таблица_pr10[[#This Row],[Удельное сопротивление грунта, Ом·м]]))</f>
        <v/>
      </c>
    </row>
    <row r="326" spans="1:65">
      <c r="A326" s="53"/>
      <c r="B326" s="52"/>
      <c r="C326" s="50"/>
      <c r="D326" s="61" t="str">
        <f t="shared" ref="D326:D389" si="34">IFERROR(IF(B326-B325&lt;=0,"",(B326-B325)*1000),100)</f>
        <v/>
      </c>
      <c r="E326" s="61" t="str">
        <f>IFERROR(IF(B326-B325&lt;=0,"",D326/SQRT(Таблица_pr[[#This Row],[Удельное сопротивление грунта, Ом·м]])),D326/SQRT(Таблица_pr[[#This Row],[Удельное сопротивление грунта, Ом·м]]))</f>
        <v/>
      </c>
      <c r="G326" s="188"/>
      <c r="H326" s="184"/>
      <c r="I326" s="182"/>
      <c r="J326" s="181" t="str">
        <f t="shared" ref="J326:J389" si="35">IFERROR(IF(H326-H325&lt;=0,"",(H326-H325)*1000),100)</f>
        <v/>
      </c>
      <c r="K326" s="61" t="str">
        <f>IFERROR(IF(H326-H325&lt;=0,"",J326/SQRT(Таблица_pr1[[#This Row],[Удельное сопротивление грунта, Ом·м]])),J326/SQRT(Таблица_pr1[[#This Row],[Удельное сопротивление грунта, Ом·м]]))</f>
        <v/>
      </c>
      <c r="M326" s="53"/>
      <c r="N326" s="52"/>
      <c r="O326" s="50"/>
      <c r="P326" s="61" t="str">
        <f t="shared" ref="P326:P389" si="36">IFERROR(IF(N326-N325&lt;=0,"",(N326-N325)*1000),100)</f>
        <v/>
      </c>
      <c r="Q326" s="61" t="str">
        <f>IFERROR(IF(N326-N325&lt;=0,"",P326/SQRT(Таблица_pr2[[#This Row],[Удельное сопротивление грунта, Ом·м]])),P326/SQRT(Таблица_pr2[[#This Row],[Удельное сопротивление грунта, Ом·м]]))</f>
        <v/>
      </c>
      <c r="S326" s="53"/>
      <c r="T326" s="52"/>
      <c r="U326" s="50"/>
      <c r="V326" s="61" t="str">
        <f t="shared" si="31"/>
        <v/>
      </c>
      <c r="W326" s="61" t="str">
        <f>IFERROR(IF(T326-T325&lt;=0,"",V326/SQRT(Таблица_pr3[[#This Row],[Удельное сопротивление грунта, Ом·м]])),V326/SQRT(Таблица_pr3[[#This Row],[Удельное сопротивление грунта, Ом·м]]))</f>
        <v/>
      </c>
      <c r="Y326" s="53"/>
      <c r="Z326" s="52"/>
      <c r="AA326" s="50"/>
      <c r="AB326" s="61" t="str">
        <f t="shared" si="28"/>
        <v/>
      </c>
      <c r="AC326" s="61" t="str">
        <f>IFERROR(IF(Z326-Z325&lt;=0,"",AB326/SQRT(Таблица_pr4[[#This Row],[Удельное сопротивление грунта, Ом·м]])),AB326/SQRT(Таблица_pr4[[#This Row],[Удельное сопротивление грунта, Ом·м]]))</f>
        <v/>
      </c>
      <c r="AE326" s="53"/>
      <c r="AF326" s="52"/>
      <c r="AG326" s="50"/>
      <c r="AH326" s="61" t="str">
        <f t="shared" si="32"/>
        <v/>
      </c>
      <c r="AI326" s="61" t="str">
        <f>IFERROR(IF(AF326-AF325&lt;=0,"",AH326/SQRT(Таблица_pr5[[#This Row],[Удельное сопротивление грунта, Ом·м]])),AH326/SQRT(Таблица_pr5[[#This Row],[Удельное сопротивление грунта, Ом·м]]))</f>
        <v/>
      </c>
      <c r="AK326" s="53"/>
      <c r="AL326" s="52"/>
      <c r="AM326" s="50"/>
      <c r="AN326" s="61" t="str">
        <f t="shared" si="29"/>
        <v/>
      </c>
      <c r="AO326" s="61" t="str">
        <f>IFERROR(IF(AL326-AL325&lt;=0,"",AN326/SQRT(Таблица_pr6[[#This Row],[Удельное сопротивление грунта, Ом·м]])),AN326/SQRT(Таблица_pr6[[#This Row],[Удельное сопротивление грунта, Ом·м]]))</f>
        <v/>
      </c>
      <c r="AQ326" s="53"/>
      <c r="AR326" s="52"/>
      <c r="AS326" s="50"/>
      <c r="AT326" s="61" t="str">
        <f t="shared" si="33"/>
        <v/>
      </c>
      <c r="AU326" s="61" t="str">
        <f>IFERROR(IF(AR326-AR325&lt;=0,"",AT326/SQRT(Таблица_pr7[[#This Row],[Удельное сопротивление грунта, Ом·м]])),AT326/SQRT(Таблица_pr7[[#This Row],[Удельное сопротивление грунта, Ом·м]]))</f>
        <v/>
      </c>
      <c r="AW326" s="53"/>
      <c r="AX326" s="52"/>
      <c r="AY326" s="50"/>
      <c r="AZ326" s="61" t="str">
        <f t="shared" si="30"/>
        <v/>
      </c>
      <c r="BA326" s="61" t="str">
        <f>IFERROR(IF(AX326-AX325&lt;=0,"",AZ326/SQRT(Таблица_pr8[[#This Row],[Удельное сопротивление грунта, Ом·м]])),AZ326/SQRT(Таблица_pr8[[#This Row],[Удельное сопротивление грунта, Ом·м]]))</f>
        <v/>
      </c>
      <c r="BC326" s="53"/>
      <c r="BD326" s="52"/>
      <c r="BE326" s="50"/>
      <c r="BG326" s="61" t="str">
        <f>IFERROR(IF(BD326-AX345&lt;=0,"",BF326/SQRT(Таблица_pr9[[#This Row],[Удельное сопротивление грунта, Ом·м]])),BF326/SQRT(Таблица_pr9[[#This Row],[Удельное сопротивление грунта, Ом·м]]))</f>
        <v/>
      </c>
      <c r="BI326" s="53"/>
      <c r="BJ326" s="52"/>
      <c r="BK326" s="50"/>
      <c r="BM326" s="61" t="str">
        <f>IFERROR(IF(BJ326-BD355&lt;=0,"",BL326/SQRT(Таблица_pr10[[#This Row],[Удельное сопротивление грунта, Ом·м]])),BL326/SQRT(Таблица_pr10[[#This Row],[Удельное сопротивление грунта, Ом·м]]))</f>
        <v/>
      </c>
    </row>
    <row r="327" spans="1:65">
      <c r="A327" s="51"/>
      <c r="B327" s="52"/>
      <c r="C327" s="50"/>
      <c r="D327" s="61" t="str">
        <f t="shared" si="34"/>
        <v/>
      </c>
      <c r="E327" s="61" t="str">
        <f>IFERROR(IF(B327-B326&lt;=0,"",D327/SQRT(Таблица_pr[[#This Row],[Удельное сопротивление грунта, Ом·м]])),D327/SQRT(Таблица_pr[[#This Row],[Удельное сопротивление грунта, Ом·м]]))</f>
        <v/>
      </c>
      <c r="G327" s="189"/>
      <c r="H327" s="185"/>
      <c r="I327" s="183"/>
      <c r="J327" s="180" t="str">
        <f t="shared" si="35"/>
        <v/>
      </c>
      <c r="K327" s="61" t="str">
        <f>IFERROR(IF(H327-H326&lt;=0,"",J327/SQRT(Таблица_pr1[[#This Row],[Удельное сопротивление грунта, Ом·м]])),J327/SQRT(Таблица_pr1[[#This Row],[Удельное сопротивление грунта, Ом·м]]))</f>
        <v/>
      </c>
      <c r="M327" s="51"/>
      <c r="N327" s="52"/>
      <c r="O327" s="50"/>
      <c r="P327" s="61" t="str">
        <f t="shared" si="36"/>
        <v/>
      </c>
      <c r="Q327" s="61" t="str">
        <f>IFERROR(IF(N327-N326&lt;=0,"",P327/SQRT(Таблица_pr2[[#This Row],[Удельное сопротивление грунта, Ом·м]])),P327/SQRT(Таблица_pr2[[#This Row],[Удельное сопротивление грунта, Ом·м]]))</f>
        <v/>
      </c>
      <c r="S327" s="51"/>
      <c r="T327" s="52"/>
      <c r="U327" s="50"/>
      <c r="V327" s="61" t="str">
        <f t="shared" si="31"/>
        <v/>
      </c>
      <c r="W327" s="61" t="str">
        <f>IFERROR(IF(T327-T326&lt;=0,"",V327/SQRT(Таблица_pr3[[#This Row],[Удельное сопротивление грунта, Ом·м]])),V327/SQRT(Таблица_pr3[[#This Row],[Удельное сопротивление грунта, Ом·м]]))</f>
        <v/>
      </c>
      <c r="Y327" s="51"/>
      <c r="Z327" s="52"/>
      <c r="AA327" s="50"/>
      <c r="AB327" s="61" t="str">
        <f t="shared" ref="AB327:AB390" si="37">IFERROR(IF(Z327-Z326&lt;=0,"",(Z327-Z326)*1000),100)</f>
        <v/>
      </c>
      <c r="AC327" s="61" t="str">
        <f>IFERROR(IF(Z327-Z326&lt;=0,"",AB327/SQRT(Таблица_pr4[[#This Row],[Удельное сопротивление грунта, Ом·м]])),AB327/SQRT(Таблица_pr4[[#This Row],[Удельное сопротивление грунта, Ом·м]]))</f>
        <v/>
      </c>
      <c r="AE327" s="51"/>
      <c r="AF327" s="52"/>
      <c r="AG327" s="50"/>
      <c r="AH327" s="61" t="str">
        <f t="shared" si="32"/>
        <v/>
      </c>
      <c r="AI327" s="61" t="str">
        <f>IFERROR(IF(AF327-AF326&lt;=0,"",AH327/SQRT(Таблица_pr5[[#This Row],[Удельное сопротивление грунта, Ом·м]])),AH327/SQRT(Таблица_pr5[[#This Row],[Удельное сопротивление грунта, Ом·м]]))</f>
        <v/>
      </c>
      <c r="AK327" s="51"/>
      <c r="AL327" s="52"/>
      <c r="AM327" s="50"/>
      <c r="AN327" s="61" t="str">
        <f t="shared" ref="AN327:AN390" si="38">IFERROR(IF(AL327-AL326&lt;=0,"",(AL327-AL326)*1000),100)</f>
        <v/>
      </c>
      <c r="AO327" s="61" t="str">
        <f>IFERROR(IF(AL327-AL326&lt;=0,"",AN327/SQRT(Таблица_pr6[[#This Row],[Удельное сопротивление грунта, Ом·м]])),AN327/SQRT(Таблица_pr6[[#This Row],[Удельное сопротивление грунта, Ом·м]]))</f>
        <v/>
      </c>
      <c r="AQ327" s="51"/>
      <c r="AR327" s="52"/>
      <c r="AS327" s="50"/>
      <c r="AT327" s="61" t="str">
        <f t="shared" si="33"/>
        <v/>
      </c>
      <c r="AU327" s="61" t="str">
        <f>IFERROR(IF(AR327-AR326&lt;=0,"",AT327/SQRT(Таблица_pr7[[#This Row],[Удельное сопротивление грунта, Ом·м]])),AT327/SQRT(Таблица_pr7[[#This Row],[Удельное сопротивление грунта, Ом·м]]))</f>
        <v/>
      </c>
      <c r="AW327" s="51"/>
      <c r="AX327" s="52"/>
      <c r="AY327" s="50"/>
      <c r="AZ327" s="61" t="str">
        <f t="shared" ref="AZ327:AZ390" si="39">IFERROR(IF(AX327-AX326&lt;=0,"",(AX327-AX326)*1000),100)</f>
        <v/>
      </c>
      <c r="BA327" s="61" t="str">
        <f>IFERROR(IF(AX327-AX326&lt;=0,"",AZ327/SQRT(Таблица_pr8[[#This Row],[Удельное сопротивление грунта, Ом·м]])),AZ327/SQRT(Таблица_pr8[[#This Row],[Удельное сопротивление грунта, Ом·м]]))</f>
        <v/>
      </c>
      <c r="BC327" s="51"/>
      <c r="BD327" s="52"/>
      <c r="BE327" s="50"/>
      <c r="BG327" s="61" t="str">
        <f>IFERROR(IF(BD327-AX346&lt;=0,"",BF327/SQRT(Таблица_pr9[[#This Row],[Удельное сопротивление грунта, Ом·м]])),BF327/SQRT(Таблица_pr9[[#This Row],[Удельное сопротивление грунта, Ом·м]]))</f>
        <v/>
      </c>
      <c r="BI327" s="51"/>
      <c r="BJ327" s="52"/>
      <c r="BK327" s="50"/>
      <c r="BM327" s="61" t="str">
        <f>IFERROR(IF(BJ327-BD356&lt;=0,"",BL327/SQRT(Таблица_pr10[[#This Row],[Удельное сопротивление грунта, Ом·м]])),BL327/SQRT(Таблица_pr10[[#This Row],[Удельное сопротивление грунта, Ом·м]]))</f>
        <v/>
      </c>
    </row>
    <row r="328" spans="1:65">
      <c r="A328" s="53"/>
      <c r="B328" s="52"/>
      <c r="C328" s="50"/>
      <c r="D328" s="61" t="str">
        <f t="shared" si="34"/>
        <v/>
      </c>
      <c r="E328" s="61" t="str">
        <f>IFERROR(IF(B328-B327&lt;=0,"",D328/SQRT(Таблица_pr[[#This Row],[Удельное сопротивление грунта, Ом·м]])),D328/SQRT(Таблица_pr[[#This Row],[Удельное сопротивление грунта, Ом·м]]))</f>
        <v/>
      </c>
      <c r="G328" s="188"/>
      <c r="H328" s="184"/>
      <c r="I328" s="182"/>
      <c r="J328" s="181" t="str">
        <f t="shared" si="35"/>
        <v/>
      </c>
      <c r="K328" s="61" t="str">
        <f>IFERROR(IF(H328-H327&lt;=0,"",J328/SQRT(Таблица_pr1[[#This Row],[Удельное сопротивление грунта, Ом·м]])),J328/SQRT(Таблица_pr1[[#This Row],[Удельное сопротивление грунта, Ом·м]]))</f>
        <v/>
      </c>
      <c r="M328" s="53"/>
      <c r="N328" s="52"/>
      <c r="O328" s="50"/>
      <c r="P328" s="61" t="str">
        <f t="shared" si="36"/>
        <v/>
      </c>
      <c r="Q328" s="61" t="str">
        <f>IFERROR(IF(N328-N327&lt;=0,"",P328/SQRT(Таблица_pr2[[#This Row],[Удельное сопротивление грунта, Ом·м]])),P328/SQRT(Таблица_pr2[[#This Row],[Удельное сопротивление грунта, Ом·м]]))</f>
        <v/>
      </c>
      <c r="S328" s="53"/>
      <c r="T328" s="52"/>
      <c r="U328" s="50"/>
      <c r="V328" s="61" t="str">
        <f t="shared" si="31"/>
        <v/>
      </c>
      <c r="W328" s="61" t="str">
        <f>IFERROR(IF(T328-T327&lt;=0,"",V328/SQRT(Таблица_pr3[[#This Row],[Удельное сопротивление грунта, Ом·м]])),V328/SQRT(Таблица_pr3[[#This Row],[Удельное сопротивление грунта, Ом·м]]))</f>
        <v/>
      </c>
      <c r="Y328" s="53"/>
      <c r="Z328" s="52"/>
      <c r="AA328" s="50"/>
      <c r="AB328" s="61" t="str">
        <f t="shared" si="37"/>
        <v/>
      </c>
      <c r="AC328" s="61" t="str">
        <f>IFERROR(IF(Z328-Z327&lt;=0,"",AB328/SQRT(Таблица_pr4[[#This Row],[Удельное сопротивление грунта, Ом·м]])),AB328/SQRT(Таблица_pr4[[#This Row],[Удельное сопротивление грунта, Ом·м]]))</f>
        <v/>
      </c>
      <c r="AE328" s="53"/>
      <c r="AF328" s="52"/>
      <c r="AG328" s="50"/>
      <c r="AH328" s="61" t="str">
        <f t="shared" si="32"/>
        <v/>
      </c>
      <c r="AI328" s="61" t="str">
        <f>IFERROR(IF(AF328-AF327&lt;=0,"",AH328/SQRT(Таблица_pr5[[#This Row],[Удельное сопротивление грунта, Ом·м]])),AH328/SQRT(Таблица_pr5[[#This Row],[Удельное сопротивление грунта, Ом·м]]))</f>
        <v/>
      </c>
      <c r="AK328" s="53"/>
      <c r="AL328" s="52"/>
      <c r="AM328" s="50"/>
      <c r="AN328" s="61" t="str">
        <f t="shared" si="38"/>
        <v/>
      </c>
      <c r="AO328" s="61" t="str">
        <f>IFERROR(IF(AL328-AL327&lt;=0,"",AN328/SQRT(Таблица_pr6[[#This Row],[Удельное сопротивление грунта, Ом·м]])),AN328/SQRT(Таблица_pr6[[#This Row],[Удельное сопротивление грунта, Ом·м]]))</f>
        <v/>
      </c>
      <c r="AQ328" s="53"/>
      <c r="AR328" s="52"/>
      <c r="AS328" s="50"/>
      <c r="AT328" s="61" t="str">
        <f t="shared" si="33"/>
        <v/>
      </c>
      <c r="AU328" s="61" t="str">
        <f>IFERROR(IF(AR328-AR327&lt;=0,"",AT328/SQRT(Таблица_pr7[[#This Row],[Удельное сопротивление грунта, Ом·м]])),AT328/SQRT(Таблица_pr7[[#This Row],[Удельное сопротивление грунта, Ом·м]]))</f>
        <v/>
      </c>
      <c r="AW328" s="53"/>
      <c r="AX328" s="52"/>
      <c r="AY328" s="50"/>
      <c r="AZ328" s="61" t="str">
        <f t="shared" si="39"/>
        <v/>
      </c>
      <c r="BA328" s="61" t="str">
        <f>IFERROR(IF(AX328-AX327&lt;=0,"",AZ328/SQRT(Таблица_pr8[[#This Row],[Удельное сопротивление грунта, Ом·м]])),AZ328/SQRT(Таблица_pr8[[#This Row],[Удельное сопротивление грунта, Ом·м]]))</f>
        <v/>
      </c>
      <c r="BC328" s="53"/>
      <c r="BD328" s="52"/>
      <c r="BE328" s="50"/>
      <c r="BG328" s="61" t="str">
        <f>IFERROR(IF(BD328-AX347&lt;=0,"",BF328/SQRT(Таблица_pr9[[#This Row],[Удельное сопротивление грунта, Ом·м]])),BF328/SQRT(Таблица_pr9[[#This Row],[Удельное сопротивление грунта, Ом·м]]))</f>
        <v/>
      </c>
      <c r="BI328" s="53"/>
      <c r="BJ328" s="52"/>
      <c r="BK328" s="50"/>
      <c r="BM328" s="61" t="str">
        <f>IFERROR(IF(BJ328-BD357&lt;=0,"",BL328/SQRT(Таблица_pr10[[#This Row],[Удельное сопротивление грунта, Ом·м]])),BL328/SQRT(Таблица_pr10[[#This Row],[Удельное сопротивление грунта, Ом·м]]))</f>
        <v/>
      </c>
    </row>
    <row r="329" spans="1:65">
      <c r="A329" s="51"/>
      <c r="B329" s="52"/>
      <c r="C329" s="50"/>
      <c r="D329" s="61" t="str">
        <f t="shared" si="34"/>
        <v/>
      </c>
      <c r="E329" s="61" t="str">
        <f>IFERROR(IF(B329-B328&lt;=0,"",D329/SQRT(Таблица_pr[[#This Row],[Удельное сопротивление грунта, Ом·м]])),D329/SQRT(Таблица_pr[[#This Row],[Удельное сопротивление грунта, Ом·м]]))</f>
        <v/>
      </c>
      <c r="G329" s="189"/>
      <c r="H329" s="185"/>
      <c r="I329" s="183"/>
      <c r="J329" s="180" t="str">
        <f t="shared" si="35"/>
        <v/>
      </c>
      <c r="K329" s="61" t="str">
        <f>IFERROR(IF(H329-H328&lt;=0,"",J329/SQRT(Таблица_pr1[[#This Row],[Удельное сопротивление грунта, Ом·м]])),J329/SQRT(Таблица_pr1[[#This Row],[Удельное сопротивление грунта, Ом·м]]))</f>
        <v/>
      </c>
      <c r="M329" s="51"/>
      <c r="N329" s="52"/>
      <c r="O329" s="50"/>
      <c r="P329" s="61" t="str">
        <f t="shared" si="36"/>
        <v/>
      </c>
      <c r="Q329" s="61" t="str">
        <f>IFERROR(IF(N329-N328&lt;=0,"",P329/SQRT(Таблица_pr2[[#This Row],[Удельное сопротивление грунта, Ом·м]])),P329/SQRT(Таблица_pr2[[#This Row],[Удельное сопротивление грунта, Ом·м]]))</f>
        <v/>
      </c>
      <c r="S329" s="51"/>
      <c r="T329" s="52"/>
      <c r="U329" s="50"/>
      <c r="V329" s="61" t="str">
        <f t="shared" si="31"/>
        <v/>
      </c>
      <c r="W329" s="61" t="str">
        <f>IFERROR(IF(T329-T328&lt;=0,"",V329/SQRT(Таблица_pr3[[#This Row],[Удельное сопротивление грунта, Ом·м]])),V329/SQRT(Таблица_pr3[[#This Row],[Удельное сопротивление грунта, Ом·м]]))</f>
        <v/>
      </c>
      <c r="Y329" s="51"/>
      <c r="Z329" s="52"/>
      <c r="AA329" s="50"/>
      <c r="AB329" s="61" t="str">
        <f t="shared" si="37"/>
        <v/>
      </c>
      <c r="AC329" s="61" t="str">
        <f>IFERROR(IF(Z329-Z328&lt;=0,"",AB329/SQRT(Таблица_pr4[[#This Row],[Удельное сопротивление грунта, Ом·м]])),AB329/SQRT(Таблица_pr4[[#This Row],[Удельное сопротивление грунта, Ом·м]]))</f>
        <v/>
      </c>
      <c r="AE329" s="51"/>
      <c r="AF329" s="52"/>
      <c r="AG329" s="50"/>
      <c r="AH329" s="61" t="str">
        <f t="shared" si="32"/>
        <v/>
      </c>
      <c r="AI329" s="61" t="str">
        <f>IFERROR(IF(AF329-AF328&lt;=0,"",AH329/SQRT(Таблица_pr5[[#This Row],[Удельное сопротивление грунта, Ом·м]])),AH329/SQRT(Таблица_pr5[[#This Row],[Удельное сопротивление грунта, Ом·м]]))</f>
        <v/>
      </c>
      <c r="AK329" s="51"/>
      <c r="AL329" s="52"/>
      <c r="AM329" s="50"/>
      <c r="AN329" s="61" t="str">
        <f t="shared" si="38"/>
        <v/>
      </c>
      <c r="AO329" s="61" t="str">
        <f>IFERROR(IF(AL329-AL328&lt;=0,"",AN329/SQRT(Таблица_pr6[[#This Row],[Удельное сопротивление грунта, Ом·м]])),AN329/SQRT(Таблица_pr6[[#This Row],[Удельное сопротивление грунта, Ом·м]]))</f>
        <v/>
      </c>
      <c r="AQ329" s="51"/>
      <c r="AR329" s="52"/>
      <c r="AS329" s="50"/>
      <c r="AT329" s="61" t="str">
        <f t="shared" si="33"/>
        <v/>
      </c>
      <c r="AU329" s="61" t="str">
        <f>IFERROR(IF(AR329-AR328&lt;=0,"",AT329/SQRT(Таблица_pr7[[#This Row],[Удельное сопротивление грунта, Ом·м]])),AT329/SQRT(Таблица_pr7[[#This Row],[Удельное сопротивление грунта, Ом·м]]))</f>
        <v/>
      </c>
      <c r="AW329" s="51"/>
      <c r="AX329" s="52"/>
      <c r="AY329" s="50"/>
      <c r="AZ329" s="61" t="str">
        <f t="shared" si="39"/>
        <v/>
      </c>
      <c r="BA329" s="61" t="str">
        <f>IFERROR(IF(AX329-AX328&lt;=0,"",AZ329/SQRT(Таблица_pr8[[#This Row],[Удельное сопротивление грунта, Ом·м]])),AZ329/SQRT(Таблица_pr8[[#This Row],[Удельное сопротивление грунта, Ом·м]]))</f>
        <v/>
      </c>
      <c r="BC329" s="51"/>
      <c r="BD329" s="52"/>
      <c r="BE329" s="50"/>
      <c r="BG329" s="61" t="str">
        <f>IFERROR(IF(BD329-AX348&lt;=0,"",BF329/SQRT(Таблица_pr9[[#This Row],[Удельное сопротивление грунта, Ом·м]])),BF329/SQRT(Таблица_pr9[[#This Row],[Удельное сопротивление грунта, Ом·м]]))</f>
        <v/>
      </c>
      <c r="BI329" s="51"/>
      <c r="BJ329" s="52"/>
      <c r="BK329" s="50"/>
      <c r="BM329" s="61" t="str">
        <f>IFERROR(IF(BJ329-BD358&lt;=0,"",BL329/SQRT(Таблица_pr10[[#This Row],[Удельное сопротивление грунта, Ом·м]])),BL329/SQRT(Таблица_pr10[[#This Row],[Удельное сопротивление грунта, Ом·м]]))</f>
        <v/>
      </c>
    </row>
    <row r="330" spans="1:65">
      <c r="A330" s="53"/>
      <c r="B330" s="52"/>
      <c r="C330" s="50"/>
      <c r="D330" s="61" t="str">
        <f t="shared" si="34"/>
        <v/>
      </c>
      <c r="E330" s="61" t="str">
        <f>IFERROR(IF(B330-B329&lt;=0,"",D330/SQRT(Таблица_pr[[#This Row],[Удельное сопротивление грунта, Ом·м]])),D330/SQRT(Таблица_pr[[#This Row],[Удельное сопротивление грунта, Ом·м]]))</f>
        <v/>
      </c>
      <c r="G330" s="188"/>
      <c r="H330" s="184"/>
      <c r="I330" s="182"/>
      <c r="J330" s="181" t="str">
        <f t="shared" si="35"/>
        <v/>
      </c>
      <c r="K330" s="61" t="str">
        <f>IFERROR(IF(H330-H329&lt;=0,"",J330/SQRT(Таблица_pr1[[#This Row],[Удельное сопротивление грунта, Ом·м]])),J330/SQRT(Таблица_pr1[[#This Row],[Удельное сопротивление грунта, Ом·м]]))</f>
        <v/>
      </c>
      <c r="M330" s="53"/>
      <c r="N330" s="52"/>
      <c r="O330" s="50"/>
      <c r="P330" s="61" t="str">
        <f t="shared" si="36"/>
        <v/>
      </c>
      <c r="Q330" s="61" t="str">
        <f>IFERROR(IF(N330-N329&lt;=0,"",P330/SQRT(Таблица_pr2[[#This Row],[Удельное сопротивление грунта, Ом·м]])),P330/SQRT(Таблица_pr2[[#This Row],[Удельное сопротивление грунта, Ом·м]]))</f>
        <v/>
      </c>
      <c r="S330" s="53"/>
      <c r="T330" s="52"/>
      <c r="U330" s="50"/>
      <c r="V330" s="61" t="str">
        <f t="shared" si="31"/>
        <v/>
      </c>
      <c r="W330" s="61" t="str">
        <f>IFERROR(IF(T330-T329&lt;=0,"",V330/SQRT(Таблица_pr3[[#This Row],[Удельное сопротивление грунта, Ом·м]])),V330/SQRT(Таблица_pr3[[#This Row],[Удельное сопротивление грунта, Ом·м]]))</f>
        <v/>
      </c>
      <c r="Y330" s="53"/>
      <c r="Z330" s="52"/>
      <c r="AA330" s="50"/>
      <c r="AB330" s="61" t="str">
        <f t="shared" si="37"/>
        <v/>
      </c>
      <c r="AC330" s="61" t="str">
        <f>IFERROR(IF(Z330-Z329&lt;=0,"",AB330/SQRT(Таблица_pr4[[#This Row],[Удельное сопротивление грунта, Ом·м]])),AB330/SQRT(Таблица_pr4[[#This Row],[Удельное сопротивление грунта, Ом·м]]))</f>
        <v/>
      </c>
      <c r="AE330" s="53"/>
      <c r="AF330" s="52"/>
      <c r="AG330" s="50"/>
      <c r="AH330" s="61" t="str">
        <f t="shared" si="32"/>
        <v/>
      </c>
      <c r="AI330" s="61" t="str">
        <f>IFERROR(IF(AF330-AF329&lt;=0,"",AH330/SQRT(Таблица_pr5[[#This Row],[Удельное сопротивление грунта, Ом·м]])),AH330/SQRT(Таблица_pr5[[#This Row],[Удельное сопротивление грунта, Ом·м]]))</f>
        <v/>
      </c>
      <c r="AK330" s="53"/>
      <c r="AL330" s="52"/>
      <c r="AM330" s="50"/>
      <c r="AN330" s="61" t="str">
        <f t="shared" si="38"/>
        <v/>
      </c>
      <c r="AO330" s="61" t="str">
        <f>IFERROR(IF(AL330-AL329&lt;=0,"",AN330/SQRT(Таблица_pr6[[#This Row],[Удельное сопротивление грунта, Ом·м]])),AN330/SQRT(Таблица_pr6[[#This Row],[Удельное сопротивление грунта, Ом·м]]))</f>
        <v/>
      </c>
      <c r="AQ330" s="53"/>
      <c r="AR330" s="52"/>
      <c r="AS330" s="50"/>
      <c r="AT330" s="61" t="str">
        <f t="shared" si="33"/>
        <v/>
      </c>
      <c r="AU330" s="61" t="str">
        <f>IFERROR(IF(AR330-AR329&lt;=0,"",AT330/SQRT(Таблица_pr7[[#This Row],[Удельное сопротивление грунта, Ом·м]])),AT330/SQRT(Таблица_pr7[[#This Row],[Удельное сопротивление грунта, Ом·м]]))</f>
        <v/>
      </c>
      <c r="AW330" s="53"/>
      <c r="AX330" s="52"/>
      <c r="AY330" s="50"/>
      <c r="AZ330" s="61" t="str">
        <f t="shared" si="39"/>
        <v/>
      </c>
      <c r="BA330" s="61" t="str">
        <f>IFERROR(IF(AX330-AX329&lt;=0,"",AZ330/SQRT(Таблица_pr8[[#This Row],[Удельное сопротивление грунта, Ом·м]])),AZ330/SQRT(Таблица_pr8[[#This Row],[Удельное сопротивление грунта, Ом·м]]))</f>
        <v/>
      </c>
      <c r="BC330" s="53"/>
      <c r="BD330" s="52"/>
      <c r="BE330" s="50"/>
      <c r="BG330" s="61" t="str">
        <f>IFERROR(IF(BD330-AX349&lt;=0,"",BF330/SQRT(Таблица_pr9[[#This Row],[Удельное сопротивление грунта, Ом·м]])),BF330/SQRT(Таблица_pr9[[#This Row],[Удельное сопротивление грунта, Ом·м]]))</f>
        <v/>
      </c>
      <c r="BI330" s="53"/>
      <c r="BJ330" s="52"/>
      <c r="BK330" s="50"/>
      <c r="BM330" s="61" t="str">
        <f>IFERROR(IF(BJ330-BD359&lt;=0,"",BL330/SQRT(Таблица_pr10[[#This Row],[Удельное сопротивление грунта, Ом·м]])),BL330/SQRT(Таблица_pr10[[#This Row],[Удельное сопротивление грунта, Ом·м]]))</f>
        <v/>
      </c>
    </row>
    <row r="331" spans="1:65">
      <c r="A331" s="51"/>
      <c r="B331" s="52"/>
      <c r="C331" s="50"/>
      <c r="D331" s="61" t="str">
        <f t="shared" si="34"/>
        <v/>
      </c>
      <c r="E331" s="61" t="str">
        <f>IFERROR(IF(B331-B330&lt;=0,"",D331/SQRT(Таблица_pr[[#This Row],[Удельное сопротивление грунта, Ом·м]])),D331/SQRT(Таблица_pr[[#This Row],[Удельное сопротивление грунта, Ом·м]]))</f>
        <v/>
      </c>
      <c r="G331" s="189"/>
      <c r="H331" s="185"/>
      <c r="I331" s="183"/>
      <c r="J331" s="180" t="str">
        <f t="shared" si="35"/>
        <v/>
      </c>
      <c r="K331" s="61" t="str">
        <f>IFERROR(IF(H331-H330&lt;=0,"",J331/SQRT(Таблица_pr1[[#This Row],[Удельное сопротивление грунта, Ом·м]])),J331/SQRT(Таблица_pr1[[#This Row],[Удельное сопротивление грунта, Ом·м]]))</f>
        <v/>
      </c>
      <c r="M331" s="51"/>
      <c r="N331" s="52"/>
      <c r="O331" s="50"/>
      <c r="P331" s="61" t="str">
        <f t="shared" si="36"/>
        <v/>
      </c>
      <c r="Q331" s="61" t="str">
        <f>IFERROR(IF(N331-N330&lt;=0,"",P331/SQRT(Таблица_pr2[[#This Row],[Удельное сопротивление грунта, Ом·м]])),P331/SQRT(Таблица_pr2[[#This Row],[Удельное сопротивление грунта, Ом·м]]))</f>
        <v/>
      </c>
      <c r="S331" s="51"/>
      <c r="T331" s="52"/>
      <c r="U331" s="50"/>
      <c r="V331" s="61" t="str">
        <f t="shared" si="31"/>
        <v/>
      </c>
      <c r="W331" s="61" t="str">
        <f>IFERROR(IF(T331-T330&lt;=0,"",V331/SQRT(Таблица_pr3[[#This Row],[Удельное сопротивление грунта, Ом·м]])),V331/SQRT(Таблица_pr3[[#This Row],[Удельное сопротивление грунта, Ом·м]]))</f>
        <v/>
      </c>
      <c r="Y331" s="51"/>
      <c r="Z331" s="52"/>
      <c r="AA331" s="50"/>
      <c r="AB331" s="61" t="str">
        <f t="shared" si="37"/>
        <v/>
      </c>
      <c r="AC331" s="61" t="str">
        <f>IFERROR(IF(Z331-Z330&lt;=0,"",AB331/SQRT(Таблица_pr4[[#This Row],[Удельное сопротивление грунта, Ом·м]])),AB331/SQRT(Таблица_pr4[[#This Row],[Удельное сопротивление грунта, Ом·м]]))</f>
        <v/>
      </c>
      <c r="AE331" s="51"/>
      <c r="AF331" s="52"/>
      <c r="AG331" s="50"/>
      <c r="AH331" s="61" t="str">
        <f t="shared" si="32"/>
        <v/>
      </c>
      <c r="AI331" s="61" t="str">
        <f>IFERROR(IF(AF331-AF330&lt;=0,"",AH331/SQRT(Таблица_pr5[[#This Row],[Удельное сопротивление грунта, Ом·м]])),AH331/SQRT(Таблица_pr5[[#This Row],[Удельное сопротивление грунта, Ом·м]]))</f>
        <v/>
      </c>
      <c r="AK331" s="51"/>
      <c r="AL331" s="52"/>
      <c r="AM331" s="50"/>
      <c r="AN331" s="61" t="str">
        <f t="shared" si="38"/>
        <v/>
      </c>
      <c r="AO331" s="61" t="str">
        <f>IFERROR(IF(AL331-AL330&lt;=0,"",AN331/SQRT(Таблица_pr6[[#This Row],[Удельное сопротивление грунта, Ом·м]])),AN331/SQRT(Таблица_pr6[[#This Row],[Удельное сопротивление грунта, Ом·м]]))</f>
        <v/>
      </c>
      <c r="AQ331" s="51"/>
      <c r="AR331" s="52"/>
      <c r="AS331" s="50"/>
      <c r="AT331" s="61" t="str">
        <f t="shared" si="33"/>
        <v/>
      </c>
      <c r="AU331" s="61" t="str">
        <f>IFERROR(IF(AR331-AR330&lt;=0,"",AT331/SQRT(Таблица_pr7[[#This Row],[Удельное сопротивление грунта, Ом·м]])),AT331/SQRT(Таблица_pr7[[#This Row],[Удельное сопротивление грунта, Ом·м]]))</f>
        <v/>
      </c>
      <c r="AW331" s="51"/>
      <c r="AX331" s="52"/>
      <c r="AY331" s="50"/>
      <c r="AZ331" s="61" t="str">
        <f t="shared" si="39"/>
        <v/>
      </c>
      <c r="BA331" s="61" t="str">
        <f>IFERROR(IF(AX331-AX330&lt;=0,"",AZ331/SQRT(Таблица_pr8[[#This Row],[Удельное сопротивление грунта, Ом·м]])),AZ331/SQRT(Таблица_pr8[[#This Row],[Удельное сопротивление грунта, Ом·м]]))</f>
        <v/>
      </c>
      <c r="BC331" s="51"/>
      <c r="BD331" s="52"/>
      <c r="BE331" s="50"/>
      <c r="BG331" s="61" t="str">
        <f>IFERROR(IF(BD331-AX350&lt;=0,"",BF331/SQRT(Таблица_pr9[[#This Row],[Удельное сопротивление грунта, Ом·м]])),BF331/SQRT(Таблица_pr9[[#This Row],[Удельное сопротивление грунта, Ом·м]]))</f>
        <v/>
      </c>
      <c r="BI331" s="51"/>
      <c r="BJ331" s="52"/>
      <c r="BK331" s="50"/>
      <c r="BM331" s="61" t="str">
        <f>IFERROR(IF(BJ331-BD360&lt;=0,"",BL331/SQRT(Таблица_pr10[[#This Row],[Удельное сопротивление грунта, Ом·м]])),BL331/SQRT(Таблица_pr10[[#This Row],[Удельное сопротивление грунта, Ом·м]]))</f>
        <v/>
      </c>
    </row>
    <row r="332" spans="1:65">
      <c r="A332" s="53"/>
      <c r="B332" s="52"/>
      <c r="C332" s="50"/>
      <c r="D332" s="61" t="str">
        <f t="shared" si="34"/>
        <v/>
      </c>
      <c r="E332" s="61" t="str">
        <f>IFERROR(IF(B332-B331&lt;=0,"",D332/SQRT(Таблица_pr[[#This Row],[Удельное сопротивление грунта, Ом·м]])),D332/SQRT(Таблица_pr[[#This Row],[Удельное сопротивление грунта, Ом·м]]))</f>
        <v/>
      </c>
      <c r="G332" s="188"/>
      <c r="H332" s="184"/>
      <c r="I332" s="182"/>
      <c r="J332" s="181" t="str">
        <f t="shared" si="35"/>
        <v/>
      </c>
      <c r="K332" s="61" t="str">
        <f>IFERROR(IF(H332-H331&lt;=0,"",J332/SQRT(Таблица_pr1[[#This Row],[Удельное сопротивление грунта, Ом·м]])),J332/SQRT(Таблица_pr1[[#This Row],[Удельное сопротивление грунта, Ом·м]]))</f>
        <v/>
      </c>
      <c r="M332" s="53"/>
      <c r="N332" s="52"/>
      <c r="O332" s="50"/>
      <c r="P332" s="61" t="str">
        <f t="shared" si="36"/>
        <v/>
      </c>
      <c r="Q332" s="61" t="str">
        <f>IFERROR(IF(N332-N331&lt;=0,"",P332/SQRT(Таблица_pr2[[#This Row],[Удельное сопротивление грунта, Ом·м]])),P332/SQRT(Таблица_pr2[[#This Row],[Удельное сопротивление грунта, Ом·м]]))</f>
        <v/>
      </c>
      <c r="S332" s="53"/>
      <c r="T332" s="52"/>
      <c r="U332" s="50"/>
      <c r="V332" s="61" t="str">
        <f t="shared" si="31"/>
        <v/>
      </c>
      <c r="W332" s="61" t="str">
        <f>IFERROR(IF(T332-T331&lt;=0,"",V332/SQRT(Таблица_pr3[[#This Row],[Удельное сопротивление грунта, Ом·м]])),V332/SQRT(Таблица_pr3[[#This Row],[Удельное сопротивление грунта, Ом·м]]))</f>
        <v/>
      </c>
      <c r="Y332" s="53"/>
      <c r="Z332" s="52"/>
      <c r="AA332" s="50"/>
      <c r="AB332" s="61" t="str">
        <f t="shared" si="37"/>
        <v/>
      </c>
      <c r="AC332" s="61" t="str">
        <f>IFERROR(IF(Z332-Z331&lt;=0,"",AB332/SQRT(Таблица_pr4[[#This Row],[Удельное сопротивление грунта, Ом·м]])),AB332/SQRT(Таблица_pr4[[#This Row],[Удельное сопротивление грунта, Ом·м]]))</f>
        <v/>
      </c>
      <c r="AE332" s="53"/>
      <c r="AF332" s="52"/>
      <c r="AG332" s="50"/>
      <c r="AH332" s="61" t="str">
        <f t="shared" si="32"/>
        <v/>
      </c>
      <c r="AI332" s="61" t="str">
        <f>IFERROR(IF(AF332-AF331&lt;=0,"",AH332/SQRT(Таблица_pr5[[#This Row],[Удельное сопротивление грунта, Ом·м]])),AH332/SQRT(Таблица_pr5[[#This Row],[Удельное сопротивление грунта, Ом·м]]))</f>
        <v/>
      </c>
      <c r="AK332" s="53"/>
      <c r="AL332" s="52"/>
      <c r="AM332" s="50"/>
      <c r="AN332" s="61" t="str">
        <f t="shared" si="38"/>
        <v/>
      </c>
      <c r="AO332" s="61" t="str">
        <f>IFERROR(IF(AL332-AL331&lt;=0,"",AN332/SQRT(Таблица_pr6[[#This Row],[Удельное сопротивление грунта, Ом·м]])),AN332/SQRT(Таблица_pr6[[#This Row],[Удельное сопротивление грунта, Ом·м]]))</f>
        <v/>
      </c>
      <c r="AQ332" s="53"/>
      <c r="AR332" s="52"/>
      <c r="AS332" s="50"/>
      <c r="AT332" s="61" t="str">
        <f t="shared" si="33"/>
        <v/>
      </c>
      <c r="AU332" s="61" t="str">
        <f>IFERROR(IF(AR332-AR331&lt;=0,"",AT332/SQRT(Таблица_pr7[[#This Row],[Удельное сопротивление грунта, Ом·м]])),AT332/SQRT(Таблица_pr7[[#This Row],[Удельное сопротивление грунта, Ом·м]]))</f>
        <v/>
      </c>
      <c r="AW332" s="53"/>
      <c r="AX332" s="52"/>
      <c r="AY332" s="50"/>
      <c r="AZ332" s="61" t="str">
        <f t="shared" si="39"/>
        <v/>
      </c>
      <c r="BA332" s="61" t="str">
        <f>IFERROR(IF(AX332-AX331&lt;=0,"",AZ332/SQRT(Таблица_pr8[[#This Row],[Удельное сопротивление грунта, Ом·м]])),AZ332/SQRT(Таблица_pr8[[#This Row],[Удельное сопротивление грунта, Ом·м]]))</f>
        <v/>
      </c>
      <c r="BC332" s="53"/>
      <c r="BD332" s="52"/>
      <c r="BE332" s="50"/>
      <c r="BG332" s="61" t="str">
        <f>IFERROR(IF(BD332-AX351&lt;=0,"",BF332/SQRT(Таблица_pr9[[#This Row],[Удельное сопротивление грунта, Ом·м]])),BF332/SQRT(Таблица_pr9[[#This Row],[Удельное сопротивление грунта, Ом·м]]))</f>
        <v/>
      </c>
      <c r="BI332" s="53"/>
      <c r="BJ332" s="52"/>
      <c r="BK332" s="50"/>
      <c r="BM332" s="61" t="str">
        <f>IFERROR(IF(BJ332-BD361&lt;=0,"",BL332/SQRT(Таблица_pr10[[#This Row],[Удельное сопротивление грунта, Ом·м]])),BL332/SQRT(Таблица_pr10[[#This Row],[Удельное сопротивление грунта, Ом·м]]))</f>
        <v/>
      </c>
    </row>
    <row r="333" spans="1:65">
      <c r="A333" s="51"/>
      <c r="B333" s="52"/>
      <c r="C333" s="50"/>
      <c r="D333" s="61" t="str">
        <f t="shared" si="34"/>
        <v/>
      </c>
      <c r="E333" s="61" t="str">
        <f>IFERROR(IF(B333-B332&lt;=0,"",D333/SQRT(Таблица_pr[[#This Row],[Удельное сопротивление грунта, Ом·м]])),D333/SQRT(Таблица_pr[[#This Row],[Удельное сопротивление грунта, Ом·м]]))</f>
        <v/>
      </c>
      <c r="G333" s="189"/>
      <c r="H333" s="185"/>
      <c r="I333" s="183"/>
      <c r="J333" s="180" t="str">
        <f t="shared" si="35"/>
        <v/>
      </c>
      <c r="K333" s="61" t="str">
        <f>IFERROR(IF(H333-H332&lt;=0,"",J333/SQRT(Таблица_pr1[[#This Row],[Удельное сопротивление грунта, Ом·м]])),J333/SQRT(Таблица_pr1[[#This Row],[Удельное сопротивление грунта, Ом·м]]))</f>
        <v/>
      </c>
      <c r="M333" s="51"/>
      <c r="N333" s="52"/>
      <c r="O333" s="50"/>
      <c r="P333" s="61" t="str">
        <f t="shared" si="36"/>
        <v/>
      </c>
      <c r="Q333" s="61" t="str">
        <f>IFERROR(IF(N333-N332&lt;=0,"",P333/SQRT(Таблица_pr2[[#This Row],[Удельное сопротивление грунта, Ом·м]])),P333/SQRT(Таблица_pr2[[#This Row],[Удельное сопротивление грунта, Ом·м]]))</f>
        <v/>
      </c>
      <c r="S333" s="51"/>
      <c r="T333" s="52"/>
      <c r="U333" s="50"/>
      <c r="V333" s="61" t="str">
        <f t="shared" si="31"/>
        <v/>
      </c>
      <c r="W333" s="61" t="str">
        <f>IFERROR(IF(T333-T332&lt;=0,"",V333/SQRT(Таблица_pr3[[#This Row],[Удельное сопротивление грунта, Ом·м]])),V333/SQRT(Таблица_pr3[[#This Row],[Удельное сопротивление грунта, Ом·м]]))</f>
        <v/>
      </c>
      <c r="Y333" s="51"/>
      <c r="Z333" s="52"/>
      <c r="AA333" s="50"/>
      <c r="AB333" s="61" t="str">
        <f t="shared" si="37"/>
        <v/>
      </c>
      <c r="AC333" s="61" t="str">
        <f>IFERROR(IF(Z333-Z332&lt;=0,"",AB333/SQRT(Таблица_pr4[[#This Row],[Удельное сопротивление грунта, Ом·м]])),AB333/SQRT(Таблица_pr4[[#This Row],[Удельное сопротивление грунта, Ом·м]]))</f>
        <v/>
      </c>
      <c r="AE333" s="51"/>
      <c r="AF333" s="52"/>
      <c r="AG333" s="50"/>
      <c r="AH333" s="61" t="str">
        <f t="shared" si="32"/>
        <v/>
      </c>
      <c r="AI333" s="61" t="str">
        <f>IFERROR(IF(AF333-AF332&lt;=0,"",AH333/SQRT(Таблица_pr5[[#This Row],[Удельное сопротивление грунта, Ом·м]])),AH333/SQRT(Таблица_pr5[[#This Row],[Удельное сопротивление грунта, Ом·м]]))</f>
        <v/>
      </c>
      <c r="AK333" s="51"/>
      <c r="AL333" s="52"/>
      <c r="AM333" s="50"/>
      <c r="AN333" s="61" t="str">
        <f t="shared" si="38"/>
        <v/>
      </c>
      <c r="AO333" s="61" t="str">
        <f>IFERROR(IF(AL333-AL332&lt;=0,"",AN333/SQRT(Таблица_pr6[[#This Row],[Удельное сопротивление грунта, Ом·м]])),AN333/SQRT(Таблица_pr6[[#This Row],[Удельное сопротивление грунта, Ом·м]]))</f>
        <v/>
      </c>
      <c r="AQ333" s="51"/>
      <c r="AR333" s="52"/>
      <c r="AS333" s="50"/>
      <c r="AT333" s="61" t="str">
        <f t="shared" si="33"/>
        <v/>
      </c>
      <c r="AU333" s="61" t="str">
        <f>IFERROR(IF(AR333-AR332&lt;=0,"",AT333/SQRT(Таблица_pr7[[#This Row],[Удельное сопротивление грунта, Ом·м]])),AT333/SQRT(Таблица_pr7[[#This Row],[Удельное сопротивление грунта, Ом·м]]))</f>
        <v/>
      </c>
      <c r="AW333" s="51"/>
      <c r="AX333" s="52"/>
      <c r="AY333" s="50"/>
      <c r="AZ333" s="61" t="str">
        <f t="shared" si="39"/>
        <v/>
      </c>
      <c r="BA333" s="61" t="str">
        <f>IFERROR(IF(AX333-AX332&lt;=0,"",AZ333/SQRT(Таблица_pr8[[#This Row],[Удельное сопротивление грунта, Ом·м]])),AZ333/SQRT(Таблица_pr8[[#This Row],[Удельное сопротивление грунта, Ом·м]]))</f>
        <v/>
      </c>
      <c r="BC333" s="51"/>
      <c r="BD333" s="52"/>
      <c r="BE333" s="50"/>
      <c r="BG333" s="61" t="str">
        <f>IFERROR(IF(BD333-AX352&lt;=0,"",BF333/SQRT(Таблица_pr9[[#This Row],[Удельное сопротивление грунта, Ом·м]])),BF333/SQRT(Таблица_pr9[[#This Row],[Удельное сопротивление грунта, Ом·м]]))</f>
        <v/>
      </c>
      <c r="BI333" s="51"/>
      <c r="BJ333" s="52"/>
      <c r="BK333" s="50"/>
      <c r="BM333" s="61" t="str">
        <f>IFERROR(IF(BJ333-BD362&lt;=0,"",BL333/SQRT(Таблица_pr10[[#This Row],[Удельное сопротивление грунта, Ом·м]])),BL333/SQRT(Таблица_pr10[[#This Row],[Удельное сопротивление грунта, Ом·м]]))</f>
        <v/>
      </c>
    </row>
    <row r="334" spans="1:65">
      <c r="A334" s="53"/>
      <c r="B334" s="52"/>
      <c r="C334" s="50"/>
      <c r="D334" s="61" t="str">
        <f t="shared" si="34"/>
        <v/>
      </c>
      <c r="E334" s="61" t="str">
        <f>IFERROR(IF(B334-B333&lt;=0,"",D334/SQRT(Таблица_pr[[#This Row],[Удельное сопротивление грунта, Ом·м]])),D334/SQRT(Таблица_pr[[#This Row],[Удельное сопротивление грунта, Ом·м]]))</f>
        <v/>
      </c>
      <c r="G334" s="188"/>
      <c r="H334" s="184"/>
      <c r="I334" s="182"/>
      <c r="J334" s="181" t="str">
        <f t="shared" si="35"/>
        <v/>
      </c>
      <c r="K334" s="61" t="str">
        <f>IFERROR(IF(H334-H333&lt;=0,"",J334/SQRT(Таблица_pr1[[#This Row],[Удельное сопротивление грунта, Ом·м]])),J334/SQRT(Таблица_pr1[[#This Row],[Удельное сопротивление грунта, Ом·м]]))</f>
        <v/>
      </c>
      <c r="M334" s="53"/>
      <c r="N334" s="52"/>
      <c r="O334" s="50"/>
      <c r="P334" s="61" t="str">
        <f t="shared" si="36"/>
        <v/>
      </c>
      <c r="Q334" s="61" t="str">
        <f>IFERROR(IF(N334-N333&lt;=0,"",P334/SQRT(Таблица_pr2[[#This Row],[Удельное сопротивление грунта, Ом·м]])),P334/SQRT(Таблица_pr2[[#This Row],[Удельное сопротивление грунта, Ом·м]]))</f>
        <v/>
      </c>
      <c r="S334" s="53"/>
      <c r="T334" s="52"/>
      <c r="U334" s="50"/>
      <c r="V334" s="61" t="str">
        <f t="shared" si="31"/>
        <v/>
      </c>
      <c r="W334" s="61" t="str">
        <f>IFERROR(IF(T334-T333&lt;=0,"",V334/SQRT(Таблица_pr3[[#This Row],[Удельное сопротивление грунта, Ом·м]])),V334/SQRT(Таблица_pr3[[#This Row],[Удельное сопротивление грунта, Ом·м]]))</f>
        <v/>
      </c>
      <c r="Y334" s="53"/>
      <c r="Z334" s="52"/>
      <c r="AA334" s="50"/>
      <c r="AB334" s="61" t="str">
        <f t="shared" si="37"/>
        <v/>
      </c>
      <c r="AC334" s="61" t="str">
        <f>IFERROR(IF(Z334-Z333&lt;=0,"",AB334/SQRT(Таблица_pr4[[#This Row],[Удельное сопротивление грунта, Ом·м]])),AB334/SQRT(Таблица_pr4[[#This Row],[Удельное сопротивление грунта, Ом·м]]))</f>
        <v/>
      </c>
      <c r="AE334" s="53"/>
      <c r="AF334" s="52"/>
      <c r="AG334" s="50"/>
      <c r="AH334" s="61" t="str">
        <f t="shared" si="32"/>
        <v/>
      </c>
      <c r="AI334" s="61" t="str">
        <f>IFERROR(IF(AF334-AF333&lt;=0,"",AH334/SQRT(Таблица_pr5[[#This Row],[Удельное сопротивление грунта, Ом·м]])),AH334/SQRT(Таблица_pr5[[#This Row],[Удельное сопротивление грунта, Ом·м]]))</f>
        <v/>
      </c>
      <c r="AK334" s="53"/>
      <c r="AL334" s="52"/>
      <c r="AM334" s="50"/>
      <c r="AN334" s="61" t="str">
        <f t="shared" si="38"/>
        <v/>
      </c>
      <c r="AO334" s="61" t="str">
        <f>IFERROR(IF(AL334-AL333&lt;=0,"",AN334/SQRT(Таблица_pr6[[#This Row],[Удельное сопротивление грунта, Ом·м]])),AN334/SQRT(Таблица_pr6[[#This Row],[Удельное сопротивление грунта, Ом·м]]))</f>
        <v/>
      </c>
      <c r="AQ334" s="53"/>
      <c r="AR334" s="52"/>
      <c r="AS334" s="50"/>
      <c r="AT334" s="61" t="str">
        <f t="shared" si="33"/>
        <v/>
      </c>
      <c r="AU334" s="61" t="str">
        <f>IFERROR(IF(AR334-AR333&lt;=0,"",AT334/SQRT(Таблица_pr7[[#This Row],[Удельное сопротивление грунта, Ом·м]])),AT334/SQRT(Таблица_pr7[[#This Row],[Удельное сопротивление грунта, Ом·м]]))</f>
        <v/>
      </c>
      <c r="AW334" s="53"/>
      <c r="AX334" s="52"/>
      <c r="AY334" s="50"/>
      <c r="AZ334" s="61" t="str">
        <f t="shared" si="39"/>
        <v/>
      </c>
      <c r="BA334" s="61" t="str">
        <f>IFERROR(IF(AX334-AX333&lt;=0,"",AZ334/SQRT(Таблица_pr8[[#This Row],[Удельное сопротивление грунта, Ом·м]])),AZ334/SQRT(Таблица_pr8[[#This Row],[Удельное сопротивление грунта, Ом·м]]))</f>
        <v/>
      </c>
      <c r="BC334" s="53"/>
      <c r="BD334" s="52"/>
      <c r="BE334" s="50"/>
      <c r="BG334" s="61" t="str">
        <f>IFERROR(IF(BD334-AX353&lt;=0,"",BF334/SQRT(Таблица_pr9[[#This Row],[Удельное сопротивление грунта, Ом·м]])),BF334/SQRT(Таблица_pr9[[#This Row],[Удельное сопротивление грунта, Ом·м]]))</f>
        <v/>
      </c>
      <c r="BI334" s="53"/>
      <c r="BJ334" s="52"/>
      <c r="BK334" s="50"/>
      <c r="BM334" s="61" t="str">
        <f>IFERROR(IF(BJ334-BD363&lt;=0,"",BL334/SQRT(Таблица_pr10[[#This Row],[Удельное сопротивление грунта, Ом·м]])),BL334/SQRT(Таблица_pr10[[#This Row],[Удельное сопротивление грунта, Ом·м]]))</f>
        <v/>
      </c>
    </row>
    <row r="335" spans="1:65">
      <c r="A335" s="51"/>
      <c r="B335" s="52"/>
      <c r="C335" s="50"/>
      <c r="D335" s="61" t="str">
        <f t="shared" si="34"/>
        <v/>
      </c>
      <c r="E335" s="61" t="str">
        <f>IFERROR(IF(B335-B334&lt;=0,"",D335/SQRT(Таблица_pr[[#This Row],[Удельное сопротивление грунта, Ом·м]])),D335/SQRT(Таблица_pr[[#This Row],[Удельное сопротивление грунта, Ом·м]]))</f>
        <v/>
      </c>
      <c r="G335" s="189"/>
      <c r="H335" s="185"/>
      <c r="I335" s="183"/>
      <c r="J335" s="180" t="str">
        <f t="shared" si="35"/>
        <v/>
      </c>
      <c r="K335" s="61" t="str">
        <f>IFERROR(IF(H335-H334&lt;=0,"",J335/SQRT(Таблица_pr1[[#This Row],[Удельное сопротивление грунта, Ом·м]])),J335/SQRT(Таблица_pr1[[#This Row],[Удельное сопротивление грунта, Ом·м]]))</f>
        <v/>
      </c>
      <c r="M335" s="51"/>
      <c r="N335" s="52"/>
      <c r="O335" s="50"/>
      <c r="P335" s="61" t="str">
        <f t="shared" si="36"/>
        <v/>
      </c>
      <c r="Q335" s="61" t="str">
        <f>IFERROR(IF(N335-N334&lt;=0,"",P335/SQRT(Таблица_pr2[[#This Row],[Удельное сопротивление грунта, Ом·м]])),P335/SQRT(Таблица_pr2[[#This Row],[Удельное сопротивление грунта, Ом·м]]))</f>
        <v/>
      </c>
      <c r="S335" s="51"/>
      <c r="T335" s="52"/>
      <c r="U335" s="50"/>
      <c r="V335" s="61" t="str">
        <f t="shared" si="31"/>
        <v/>
      </c>
      <c r="W335" s="61" t="str">
        <f>IFERROR(IF(T335-T334&lt;=0,"",V335/SQRT(Таблица_pr3[[#This Row],[Удельное сопротивление грунта, Ом·м]])),V335/SQRT(Таблица_pr3[[#This Row],[Удельное сопротивление грунта, Ом·м]]))</f>
        <v/>
      </c>
      <c r="Y335" s="51"/>
      <c r="Z335" s="52"/>
      <c r="AA335" s="50"/>
      <c r="AB335" s="61" t="str">
        <f t="shared" si="37"/>
        <v/>
      </c>
      <c r="AC335" s="61" t="str">
        <f>IFERROR(IF(Z335-Z334&lt;=0,"",AB335/SQRT(Таблица_pr4[[#This Row],[Удельное сопротивление грунта, Ом·м]])),AB335/SQRT(Таблица_pr4[[#This Row],[Удельное сопротивление грунта, Ом·м]]))</f>
        <v/>
      </c>
      <c r="AE335" s="51"/>
      <c r="AF335" s="52"/>
      <c r="AG335" s="50"/>
      <c r="AH335" s="61" t="str">
        <f t="shared" si="32"/>
        <v/>
      </c>
      <c r="AI335" s="61" t="str">
        <f>IFERROR(IF(AF335-AF334&lt;=0,"",AH335/SQRT(Таблица_pr5[[#This Row],[Удельное сопротивление грунта, Ом·м]])),AH335/SQRT(Таблица_pr5[[#This Row],[Удельное сопротивление грунта, Ом·м]]))</f>
        <v/>
      </c>
      <c r="AK335" s="51"/>
      <c r="AL335" s="52"/>
      <c r="AM335" s="50"/>
      <c r="AN335" s="61" t="str">
        <f t="shared" si="38"/>
        <v/>
      </c>
      <c r="AO335" s="61" t="str">
        <f>IFERROR(IF(AL335-AL334&lt;=0,"",AN335/SQRT(Таблица_pr6[[#This Row],[Удельное сопротивление грунта, Ом·м]])),AN335/SQRT(Таблица_pr6[[#This Row],[Удельное сопротивление грунта, Ом·м]]))</f>
        <v/>
      </c>
      <c r="AQ335" s="51"/>
      <c r="AR335" s="52"/>
      <c r="AS335" s="50"/>
      <c r="AT335" s="61" t="str">
        <f t="shared" si="33"/>
        <v/>
      </c>
      <c r="AU335" s="61" t="str">
        <f>IFERROR(IF(AR335-AR334&lt;=0,"",AT335/SQRT(Таблица_pr7[[#This Row],[Удельное сопротивление грунта, Ом·м]])),AT335/SQRT(Таблица_pr7[[#This Row],[Удельное сопротивление грунта, Ом·м]]))</f>
        <v/>
      </c>
      <c r="AW335" s="51"/>
      <c r="AX335" s="52"/>
      <c r="AY335" s="50"/>
      <c r="AZ335" s="61" t="str">
        <f t="shared" si="39"/>
        <v/>
      </c>
      <c r="BA335" s="61" t="str">
        <f>IFERROR(IF(AX335-AX334&lt;=0,"",AZ335/SQRT(Таблица_pr8[[#This Row],[Удельное сопротивление грунта, Ом·м]])),AZ335/SQRT(Таблица_pr8[[#This Row],[Удельное сопротивление грунта, Ом·м]]))</f>
        <v/>
      </c>
      <c r="BC335" s="51"/>
      <c r="BD335" s="52"/>
      <c r="BE335" s="50"/>
      <c r="BG335" s="61" t="str">
        <f>IFERROR(IF(BD335-AX354&lt;=0,"",BF335/SQRT(Таблица_pr9[[#This Row],[Удельное сопротивление грунта, Ом·м]])),BF335/SQRT(Таблица_pr9[[#This Row],[Удельное сопротивление грунта, Ом·м]]))</f>
        <v/>
      </c>
      <c r="BI335" s="51"/>
      <c r="BJ335" s="52"/>
      <c r="BK335" s="50"/>
      <c r="BM335" s="61" t="str">
        <f>IFERROR(IF(BJ335-BD364&lt;=0,"",BL335/SQRT(Таблица_pr10[[#This Row],[Удельное сопротивление грунта, Ом·м]])),BL335/SQRT(Таблица_pr10[[#This Row],[Удельное сопротивление грунта, Ом·м]]))</f>
        <v/>
      </c>
    </row>
    <row r="336" spans="1:65">
      <c r="A336" s="53"/>
      <c r="B336" s="52"/>
      <c r="C336" s="50"/>
      <c r="D336" s="61" t="str">
        <f t="shared" si="34"/>
        <v/>
      </c>
      <c r="E336" s="61" t="str">
        <f>IFERROR(IF(B336-B335&lt;=0,"",D336/SQRT(Таблица_pr[[#This Row],[Удельное сопротивление грунта, Ом·м]])),D336/SQRT(Таблица_pr[[#This Row],[Удельное сопротивление грунта, Ом·м]]))</f>
        <v/>
      </c>
      <c r="G336" s="188"/>
      <c r="H336" s="184"/>
      <c r="I336" s="182"/>
      <c r="J336" s="181" t="str">
        <f t="shared" si="35"/>
        <v/>
      </c>
      <c r="K336" s="61" t="str">
        <f>IFERROR(IF(H336-H335&lt;=0,"",J336/SQRT(Таблица_pr1[[#This Row],[Удельное сопротивление грунта, Ом·м]])),J336/SQRT(Таблица_pr1[[#This Row],[Удельное сопротивление грунта, Ом·м]]))</f>
        <v/>
      </c>
      <c r="M336" s="53"/>
      <c r="N336" s="52"/>
      <c r="O336" s="50"/>
      <c r="P336" s="61" t="str">
        <f t="shared" si="36"/>
        <v/>
      </c>
      <c r="Q336" s="61" t="str">
        <f>IFERROR(IF(N336-N335&lt;=0,"",P336/SQRT(Таблица_pr2[[#This Row],[Удельное сопротивление грунта, Ом·м]])),P336/SQRT(Таблица_pr2[[#This Row],[Удельное сопротивление грунта, Ом·м]]))</f>
        <v/>
      </c>
      <c r="S336" s="53"/>
      <c r="T336" s="52"/>
      <c r="U336" s="50"/>
      <c r="V336" s="61" t="str">
        <f t="shared" si="31"/>
        <v/>
      </c>
      <c r="W336" s="61" t="str">
        <f>IFERROR(IF(T336-T335&lt;=0,"",V336/SQRT(Таблица_pr3[[#This Row],[Удельное сопротивление грунта, Ом·м]])),V336/SQRT(Таблица_pr3[[#This Row],[Удельное сопротивление грунта, Ом·м]]))</f>
        <v/>
      </c>
      <c r="Y336" s="53"/>
      <c r="Z336" s="52"/>
      <c r="AA336" s="50"/>
      <c r="AB336" s="61" t="str">
        <f t="shared" si="37"/>
        <v/>
      </c>
      <c r="AC336" s="61" t="str">
        <f>IFERROR(IF(Z336-Z335&lt;=0,"",AB336/SQRT(Таблица_pr4[[#This Row],[Удельное сопротивление грунта, Ом·м]])),AB336/SQRT(Таблица_pr4[[#This Row],[Удельное сопротивление грунта, Ом·м]]))</f>
        <v/>
      </c>
      <c r="AE336" s="53"/>
      <c r="AF336" s="52"/>
      <c r="AG336" s="50"/>
      <c r="AH336" s="61" t="str">
        <f t="shared" si="32"/>
        <v/>
      </c>
      <c r="AI336" s="61" t="str">
        <f>IFERROR(IF(AF336-AF335&lt;=0,"",AH336/SQRT(Таблица_pr5[[#This Row],[Удельное сопротивление грунта, Ом·м]])),AH336/SQRT(Таблица_pr5[[#This Row],[Удельное сопротивление грунта, Ом·м]]))</f>
        <v/>
      </c>
      <c r="AK336" s="53"/>
      <c r="AL336" s="52"/>
      <c r="AM336" s="50"/>
      <c r="AN336" s="61" t="str">
        <f t="shared" si="38"/>
        <v/>
      </c>
      <c r="AO336" s="61" t="str">
        <f>IFERROR(IF(AL336-AL335&lt;=0,"",AN336/SQRT(Таблица_pr6[[#This Row],[Удельное сопротивление грунта, Ом·м]])),AN336/SQRT(Таблица_pr6[[#This Row],[Удельное сопротивление грунта, Ом·м]]))</f>
        <v/>
      </c>
      <c r="AQ336" s="53"/>
      <c r="AR336" s="52"/>
      <c r="AS336" s="50"/>
      <c r="AT336" s="61" t="str">
        <f t="shared" si="33"/>
        <v/>
      </c>
      <c r="AU336" s="61" t="str">
        <f>IFERROR(IF(AR336-AR335&lt;=0,"",AT336/SQRT(Таблица_pr7[[#This Row],[Удельное сопротивление грунта, Ом·м]])),AT336/SQRT(Таблица_pr7[[#This Row],[Удельное сопротивление грунта, Ом·м]]))</f>
        <v/>
      </c>
      <c r="AW336" s="53"/>
      <c r="AX336" s="52"/>
      <c r="AY336" s="50"/>
      <c r="AZ336" s="61" t="str">
        <f t="shared" si="39"/>
        <v/>
      </c>
      <c r="BA336" s="61" t="str">
        <f>IFERROR(IF(AX336-AX335&lt;=0,"",AZ336/SQRT(Таблица_pr8[[#This Row],[Удельное сопротивление грунта, Ом·м]])),AZ336/SQRT(Таблица_pr8[[#This Row],[Удельное сопротивление грунта, Ом·м]]))</f>
        <v/>
      </c>
      <c r="BC336" s="53"/>
      <c r="BD336" s="52"/>
      <c r="BE336" s="50"/>
      <c r="BG336" s="61" t="str">
        <f>IFERROR(IF(BD336-AX355&lt;=0,"",BF336/SQRT(Таблица_pr9[[#This Row],[Удельное сопротивление грунта, Ом·м]])),BF336/SQRT(Таблица_pr9[[#This Row],[Удельное сопротивление грунта, Ом·м]]))</f>
        <v/>
      </c>
      <c r="BI336" s="53"/>
      <c r="BJ336" s="52"/>
      <c r="BK336" s="50"/>
      <c r="BM336" s="61" t="str">
        <f>IFERROR(IF(BJ336-BD365&lt;=0,"",BL336/SQRT(Таблица_pr10[[#This Row],[Удельное сопротивление грунта, Ом·м]])),BL336/SQRT(Таблица_pr10[[#This Row],[Удельное сопротивление грунта, Ом·м]]))</f>
        <v/>
      </c>
    </row>
    <row r="337" spans="1:65">
      <c r="A337" s="51"/>
      <c r="B337" s="52"/>
      <c r="C337" s="50"/>
      <c r="D337" s="61" t="str">
        <f t="shared" si="34"/>
        <v/>
      </c>
      <c r="E337" s="61" t="str">
        <f>IFERROR(IF(B337-B336&lt;=0,"",D337/SQRT(Таблица_pr[[#This Row],[Удельное сопротивление грунта, Ом·м]])),D337/SQRT(Таблица_pr[[#This Row],[Удельное сопротивление грунта, Ом·м]]))</f>
        <v/>
      </c>
      <c r="G337" s="189"/>
      <c r="H337" s="185"/>
      <c r="I337" s="183"/>
      <c r="J337" s="180" t="str">
        <f t="shared" si="35"/>
        <v/>
      </c>
      <c r="K337" s="61" t="str">
        <f>IFERROR(IF(H337-H336&lt;=0,"",J337/SQRT(Таблица_pr1[[#This Row],[Удельное сопротивление грунта, Ом·м]])),J337/SQRT(Таблица_pr1[[#This Row],[Удельное сопротивление грунта, Ом·м]]))</f>
        <v/>
      </c>
      <c r="M337" s="51"/>
      <c r="N337" s="52"/>
      <c r="O337" s="50"/>
      <c r="P337" s="61" t="str">
        <f t="shared" si="36"/>
        <v/>
      </c>
      <c r="Q337" s="61" t="str">
        <f>IFERROR(IF(N337-N336&lt;=0,"",P337/SQRT(Таблица_pr2[[#This Row],[Удельное сопротивление грунта, Ом·м]])),P337/SQRT(Таблица_pr2[[#This Row],[Удельное сопротивление грунта, Ом·м]]))</f>
        <v/>
      </c>
      <c r="S337" s="51"/>
      <c r="T337" s="52"/>
      <c r="U337" s="50"/>
      <c r="V337" s="61" t="str">
        <f t="shared" si="31"/>
        <v/>
      </c>
      <c r="W337" s="61" t="str">
        <f>IFERROR(IF(T337-T336&lt;=0,"",V337/SQRT(Таблица_pr3[[#This Row],[Удельное сопротивление грунта, Ом·м]])),V337/SQRT(Таблица_pr3[[#This Row],[Удельное сопротивление грунта, Ом·м]]))</f>
        <v/>
      </c>
      <c r="Y337" s="51"/>
      <c r="Z337" s="52"/>
      <c r="AA337" s="50"/>
      <c r="AB337" s="61" t="str">
        <f t="shared" si="37"/>
        <v/>
      </c>
      <c r="AC337" s="61" t="str">
        <f>IFERROR(IF(Z337-Z336&lt;=0,"",AB337/SQRT(Таблица_pr4[[#This Row],[Удельное сопротивление грунта, Ом·м]])),AB337/SQRT(Таблица_pr4[[#This Row],[Удельное сопротивление грунта, Ом·м]]))</f>
        <v/>
      </c>
      <c r="AE337" s="51"/>
      <c r="AF337" s="52"/>
      <c r="AG337" s="50"/>
      <c r="AH337" s="61" t="str">
        <f t="shared" si="32"/>
        <v/>
      </c>
      <c r="AI337" s="61" t="str">
        <f>IFERROR(IF(AF337-AF336&lt;=0,"",AH337/SQRT(Таблица_pr5[[#This Row],[Удельное сопротивление грунта, Ом·м]])),AH337/SQRT(Таблица_pr5[[#This Row],[Удельное сопротивление грунта, Ом·м]]))</f>
        <v/>
      </c>
      <c r="AK337" s="51"/>
      <c r="AL337" s="52"/>
      <c r="AM337" s="50"/>
      <c r="AN337" s="61" t="str">
        <f t="shared" si="38"/>
        <v/>
      </c>
      <c r="AO337" s="61" t="str">
        <f>IFERROR(IF(AL337-AL336&lt;=0,"",AN337/SQRT(Таблица_pr6[[#This Row],[Удельное сопротивление грунта, Ом·м]])),AN337/SQRT(Таблица_pr6[[#This Row],[Удельное сопротивление грунта, Ом·м]]))</f>
        <v/>
      </c>
      <c r="AQ337" s="51"/>
      <c r="AR337" s="52"/>
      <c r="AS337" s="50"/>
      <c r="AT337" s="61" t="str">
        <f t="shared" si="33"/>
        <v/>
      </c>
      <c r="AU337" s="61" t="str">
        <f>IFERROR(IF(AR337-AR336&lt;=0,"",AT337/SQRT(Таблица_pr7[[#This Row],[Удельное сопротивление грунта, Ом·м]])),AT337/SQRT(Таблица_pr7[[#This Row],[Удельное сопротивление грунта, Ом·м]]))</f>
        <v/>
      </c>
      <c r="AW337" s="51"/>
      <c r="AX337" s="52"/>
      <c r="AY337" s="50"/>
      <c r="AZ337" s="61" t="str">
        <f t="shared" si="39"/>
        <v/>
      </c>
      <c r="BA337" s="61" t="str">
        <f>IFERROR(IF(AX337-AX336&lt;=0,"",AZ337/SQRT(Таблица_pr8[[#This Row],[Удельное сопротивление грунта, Ом·м]])),AZ337/SQRT(Таблица_pr8[[#This Row],[Удельное сопротивление грунта, Ом·м]]))</f>
        <v/>
      </c>
      <c r="BC337" s="51"/>
      <c r="BD337" s="52"/>
      <c r="BE337" s="50"/>
      <c r="BG337" s="61" t="str">
        <f>IFERROR(IF(BD337-AX356&lt;=0,"",BF337/SQRT(Таблица_pr9[[#This Row],[Удельное сопротивление грунта, Ом·м]])),BF337/SQRT(Таблица_pr9[[#This Row],[Удельное сопротивление грунта, Ом·м]]))</f>
        <v/>
      </c>
      <c r="BI337" s="51"/>
      <c r="BJ337" s="52"/>
      <c r="BK337" s="50"/>
      <c r="BM337" s="61" t="str">
        <f>IFERROR(IF(BJ337-BD366&lt;=0,"",BL337/SQRT(Таблица_pr10[[#This Row],[Удельное сопротивление грунта, Ом·м]])),BL337/SQRT(Таблица_pr10[[#This Row],[Удельное сопротивление грунта, Ом·м]]))</f>
        <v/>
      </c>
    </row>
    <row r="338" spans="1:65">
      <c r="A338" s="53"/>
      <c r="B338" s="52"/>
      <c r="C338" s="50"/>
      <c r="D338" s="61" t="str">
        <f t="shared" si="34"/>
        <v/>
      </c>
      <c r="E338" s="61" t="str">
        <f>IFERROR(IF(B338-B337&lt;=0,"",D338/SQRT(Таблица_pr[[#This Row],[Удельное сопротивление грунта, Ом·м]])),D338/SQRT(Таблица_pr[[#This Row],[Удельное сопротивление грунта, Ом·м]]))</f>
        <v/>
      </c>
      <c r="G338" s="188"/>
      <c r="H338" s="184"/>
      <c r="I338" s="182"/>
      <c r="J338" s="181" t="str">
        <f t="shared" si="35"/>
        <v/>
      </c>
      <c r="K338" s="61" t="str">
        <f>IFERROR(IF(H338-H337&lt;=0,"",J338/SQRT(Таблица_pr1[[#This Row],[Удельное сопротивление грунта, Ом·м]])),J338/SQRT(Таблица_pr1[[#This Row],[Удельное сопротивление грунта, Ом·м]]))</f>
        <v/>
      </c>
      <c r="M338" s="53"/>
      <c r="N338" s="52"/>
      <c r="O338" s="50"/>
      <c r="P338" s="61" t="str">
        <f t="shared" si="36"/>
        <v/>
      </c>
      <c r="Q338" s="61" t="str">
        <f>IFERROR(IF(N338-N337&lt;=0,"",P338/SQRT(Таблица_pr2[[#This Row],[Удельное сопротивление грунта, Ом·м]])),P338/SQRT(Таблица_pr2[[#This Row],[Удельное сопротивление грунта, Ом·м]]))</f>
        <v/>
      </c>
      <c r="S338" s="53"/>
      <c r="T338" s="52"/>
      <c r="U338" s="50"/>
      <c r="V338" s="61" t="str">
        <f t="shared" si="31"/>
        <v/>
      </c>
      <c r="W338" s="61" t="str">
        <f>IFERROR(IF(T338-T337&lt;=0,"",V338/SQRT(Таблица_pr3[[#This Row],[Удельное сопротивление грунта, Ом·м]])),V338/SQRT(Таблица_pr3[[#This Row],[Удельное сопротивление грунта, Ом·м]]))</f>
        <v/>
      </c>
      <c r="Y338" s="53"/>
      <c r="Z338" s="52"/>
      <c r="AA338" s="50"/>
      <c r="AB338" s="61" t="str">
        <f t="shared" si="37"/>
        <v/>
      </c>
      <c r="AC338" s="61" t="str">
        <f>IFERROR(IF(Z338-Z337&lt;=0,"",AB338/SQRT(Таблица_pr4[[#This Row],[Удельное сопротивление грунта, Ом·м]])),AB338/SQRT(Таблица_pr4[[#This Row],[Удельное сопротивление грунта, Ом·м]]))</f>
        <v/>
      </c>
      <c r="AE338" s="53"/>
      <c r="AF338" s="52"/>
      <c r="AG338" s="50"/>
      <c r="AH338" s="61" t="str">
        <f t="shared" si="32"/>
        <v/>
      </c>
      <c r="AI338" s="61" t="str">
        <f>IFERROR(IF(AF338-AF337&lt;=0,"",AH338/SQRT(Таблица_pr5[[#This Row],[Удельное сопротивление грунта, Ом·м]])),AH338/SQRT(Таблица_pr5[[#This Row],[Удельное сопротивление грунта, Ом·м]]))</f>
        <v/>
      </c>
      <c r="AK338" s="53"/>
      <c r="AL338" s="52"/>
      <c r="AM338" s="50"/>
      <c r="AN338" s="61" t="str">
        <f t="shared" si="38"/>
        <v/>
      </c>
      <c r="AO338" s="61" t="str">
        <f>IFERROR(IF(AL338-AL337&lt;=0,"",AN338/SQRT(Таблица_pr6[[#This Row],[Удельное сопротивление грунта, Ом·м]])),AN338/SQRT(Таблица_pr6[[#This Row],[Удельное сопротивление грунта, Ом·м]]))</f>
        <v/>
      </c>
      <c r="AQ338" s="53"/>
      <c r="AR338" s="52"/>
      <c r="AS338" s="50"/>
      <c r="AT338" s="61" t="str">
        <f t="shared" si="33"/>
        <v/>
      </c>
      <c r="AU338" s="61" t="str">
        <f>IFERROR(IF(AR338-AR337&lt;=0,"",AT338/SQRT(Таблица_pr7[[#This Row],[Удельное сопротивление грунта, Ом·м]])),AT338/SQRT(Таблица_pr7[[#This Row],[Удельное сопротивление грунта, Ом·м]]))</f>
        <v/>
      </c>
      <c r="AW338" s="53"/>
      <c r="AX338" s="52"/>
      <c r="AY338" s="50"/>
      <c r="AZ338" s="61" t="str">
        <f t="shared" si="39"/>
        <v/>
      </c>
      <c r="BA338" s="61" t="str">
        <f>IFERROR(IF(AX338-AX337&lt;=0,"",AZ338/SQRT(Таблица_pr8[[#This Row],[Удельное сопротивление грунта, Ом·м]])),AZ338/SQRT(Таблица_pr8[[#This Row],[Удельное сопротивление грунта, Ом·м]]))</f>
        <v/>
      </c>
      <c r="BC338" s="53"/>
      <c r="BD338" s="52"/>
      <c r="BE338" s="50"/>
      <c r="BG338" s="61" t="str">
        <f>IFERROR(IF(BD338-AX357&lt;=0,"",BF338/SQRT(Таблица_pr9[[#This Row],[Удельное сопротивление грунта, Ом·м]])),BF338/SQRT(Таблица_pr9[[#This Row],[Удельное сопротивление грунта, Ом·м]]))</f>
        <v/>
      </c>
      <c r="BI338" s="53"/>
      <c r="BJ338" s="52"/>
      <c r="BK338" s="50"/>
      <c r="BM338" s="61" t="str">
        <f>IFERROR(IF(BJ338-BD367&lt;=0,"",BL338/SQRT(Таблица_pr10[[#This Row],[Удельное сопротивление грунта, Ом·м]])),BL338/SQRT(Таблица_pr10[[#This Row],[Удельное сопротивление грунта, Ом·м]]))</f>
        <v/>
      </c>
    </row>
    <row r="339" spans="1:65">
      <c r="A339" s="51"/>
      <c r="B339" s="52"/>
      <c r="C339" s="50"/>
      <c r="D339" s="61" t="str">
        <f t="shared" si="34"/>
        <v/>
      </c>
      <c r="E339" s="61" t="str">
        <f>IFERROR(IF(B339-B338&lt;=0,"",D339/SQRT(Таблица_pr[[#This Row],[Удельное сопротивление грунта, Ом·м]])),D339/SQRT(Таблица_pr[[#This Row],[Удельное сопротивление грунта, Ом·м]]))</f>
        <v/>
      </c>
      <c r="G339" s="189"/>
      <c r="H339" s="185"/>
      <c r="I339" s="183"/>
      <c r="J339" s="180" t="str">
        <f t="shared" si="35"/>
        <v/>
      </c>
      <c r="K339" s="61" t="str">
        <f>IFERROR(IF(H339-H338&lt;=0,"",J339/SQRT(Таблица_pr1[[#This Row],[Удельное сопротивление грунта, Ом·м]])),J339/SQRT(Таблица_pr1[[#This Row],[Удельное сопротивление грунта, Ом·м]]))</f>
        <v/>
      </c>
      <c r="M339" s="51"/>
      <c r="N339" s="52"/>
      <c r="O339" s="50"/>
      <c r="P339" s="61" t="str">
        <f t="shared" si="36"/>
        <v/>
      </c>
      <c r="Q339" s="61" t="str">
        <f>IFERROR(IF(N339-N338&lt;=0,"",P339/SQRT(Таблица_pr2[[#This Row],[Удельное сопротивление грунта, Ом·м]])),P339/SQRT(Таблица_pr2[[#This Row],[Удельное сопротивление грунта, Ом·м]]))</f>
        <v/>
      </c>
      <c r="S339" s="51"/>
      <c r="T339" s="52"/>
      <c r="U339" s="50"/>
      <c r="V339" s="61" t="str">
        <f t="shared" si="31"/>
        <v/>
      </c>
      <c r="W339" s="61" t="str">
        <f>IFERROR(IF(T339-T338&lt;=0,"",V339/SQRT(Таблица_pr3[[#This Row],[Удельное сопротивление грунта, Ом·м]])),V339/SQRT(Таблица_pr3[[#This Row],[Удельное сопротивление грунта, Ом·м]]))</f>
        <v/>
      </c>
      <c r="Y339" s="51"/>
      <c r="Z339" s="52"/>
      <c r="AA339" s="50"/>
      <c r="AB339" s="61" t="str">
        <f t="shared" si="37"/>
        <v/>
      </c>
      <c r="AC339" s="61" t="str">
        <f>IFERROR(IF(Z339-Z338&lt;=0,"",AB339/SQRT(Таблица_pr4[[#This Row],[Удельное сопротивление грунта, Ом·м]])),AB339/SQRT(Таблица_pr4[[#This Row],[Удельное сопротивление грунта, Ом·м]]))</f>
        <v/>
      </c>
      <c r="AE339" s="51"/>
      <c r="AF339" s="52"/>
      <c r="AG339" s="50"/>
      <c r="AH339" s="61" t="str">
        <f t="shared" si="32"/>
        <v/>
      </c>
      <c r="AI339" s="61" t="str">
        <f>IFERROR(IF(AF339-AF338&lt;=0,"",AH339/SQRT(Таблица_pr5[[#This Row],[Удельное сопротивление грунта, Ом·м]])),AH339/SQRT(Таблица_pr5[[#This Row],[Удельное сопротивление грунта, Ом·м]]))</f>
        <v/>
      </c>
      <c r="AK339" s="51"/>
      <c r="AL339" s="52"/>
      <c r="AM339" s="50"/>
      <c r="AN339" s="61" t="str">
        <f t="shared" si="38"/>
        <v/>
      </c>
      <c r="AO339" s="61" t="str">
        <f>IFERROR(IF(AL339-AL338&lt;=0,"",AN339/SQRT(Таблица_pr6[[#This Row],[Удельное сопротивление грунта, Ом·м]])),AN339/SQRT(Таблица_pr6[[#This Row],[Удельное сопротивление грунта, Ом·м]]))</f>
        <v/>
      </c>
      <c r="AQ339" s="51"/>
      <c r="AR339" s="52"/>
      <c r="AS339" s="50"/>
      <c r="AT339" s="61" t="str">
        <f t="shared" si="33"/>
        <v/>
      </c>
      <c r="AU339" s="61" t="str">
        <f>IFERROR(IF(AR339-AR338&lt;=0,"",AT339/SQRT(Таблица_pr7[[#This Row],[Удельное сопротивление грунта, Ом·м]])),AT339/SQRT(Таблица_pr7[[#This Row],[Удельное сопротивление грунта, Ом·м]]))</f>
        <v/>
      </c>
      <c r="AW339" s="51"/>
      <c r="AX339" s="52"/>
      <c r="AY339" s="50"/>
      <c r="AZ339" s="61" t="str">
        <f t="shared" si="39"/>
        <v/>
      </c>
      <c r="BA339" s="61" t="str">
        <f>IFERROR(IF(AX339-AX338&lt;=0,"",AZ339/SQRT(Таблица_pr8[[#This Row],[Удельное сопротивление грунта, Ом·м]])),AZ339/SQRT(Таблица_pr8[[#This Row],[Удельное сопротивление грунта, Ом·м]]))</f>
        <v/>
      </c>
      <c r="BC339" s="51"/>
      <c r="BD339" s="52"/>
      <c r="BE339" s="50"/>
      <c r="BG339" s="61" t="str">
        <f>IFERROR(IF(BD339-AX358&lt;=0,"",BF339/SQRT(Таблица_pr9[[#This Row],[Удельное сопротивление грунта, Ом·м]])),BF339/SQRT(Таблица_pr9[[#This Row],[Удельное сопротивление грунта, Ом·м]]))</f>
        <v/>
      </c>
      <c r="BI339" s="51"/>
      <c r="BJ339" s="52"/>
      <c r="BK339" s="50"/>
      <c r="BM339" s="61" t="str">
        <f>IFERROR(IF(BJ339-BD368&lt;=0,"",BL339/SQRT(Таблица_pr10[[#This Row],[Удельное сопротивление грунта, Ом·м]])),BL339/SQRT(Таблица_pr10[[#This Row],[Удельное сопротивление грунта, Ом·м]]))</f>
        <v/>
      </c>
    </row>
    <row r="340" spans="1:65">
      <c r="A340" s="53"/>
      <c r="B340" s="52"/>
      <c r="C340" s="50"/>
      <c r="D340" s="61" t="str">
        <f t="shared" si="34"/>
        <v/>
      </c>
      <c r="E340" s="61" t="str">
        <f>IFERROR(IF(B340-B339&lt;=0,"",D340/SQRT(Таблица_pr[[#This Row],[Удельное сопротивление грунта, Ом·м]])),D340/SQRT(Таблица_pr[[#This Row],[Удельное сопротивление грунта, Ом·м]]))</f>
        <v/>
      </c>
      <c r="G340" s="188"/>
      <c r="H340" s="184"/>
      <c r="I340" s="182"/>
      <c r="J340" s="181" t="str">
        <f t="shared" si="35"/>
        <v/>
      </c>
      <c r="K340" s="61" t="str">
        <f>IFERROR(IF(H340-H339&lt;=0,"",J340/SQRT(Таблица_pr1[[#This Row],[Удельное сопротивление грунта, Ом·м]])),J340/SQRT(Таблица_pr1[[#This Row],[Удельное сопротивление грунта, Ом·м]]))</f>
        <v/>
      </c>
      <c r="M340" s="53"/>
      <c r="N340" s="52"/>
      <c r="O340" s="50"/>
      <c r="P340" s="61" t="str">
        <f t="shared" si="36"/>
        <v/>
      </c>
      <c r="Q340" s="61" t="str">
        <f>IFERROR(IF(N340-N339&lt;=0,"",P340/SQRT(Таблица_pr2[[#This Row],[Удельное сопротивление грунта, Ом·м]])),P340/SQRT(Таблица_pr2[[#This Row],[Удельное сопротивление грунта, Ом·м]]))</f>
        <v/>
      </c>
      <c r="S340" s="53"/>
      <c r="T340" s="52"/>
      <c r="U340" s="50"/>
      <c r="V340" s="61" t="str">
        <f t="shared" si="31"/>
        <v/>
      </c>
      <c r="W340" s="61" t="str">
        <f>IFERROR(IF(T340-T339&lt;=0,"",V340/SQRT(Таблица_pr3[[#This Row],[Удельное сопротивление грунта, Ом·м]])),V340/SQRT(Таблица_pr3[[#This Row],[Удельное сопротивление грунта, Ом·м]]))</f>
        <v/>
      </c>
      <c r="Y340" s="53"/>
      <c r="Z340" s="52"/>
      <c r="AA340" s="50"/>
      <c r="AB340" s="61" t="str">
        <f t="shared" si="37"/>
        <v/>
      </c>
      <c r="AC340" s="61" t="str">
        <f>IFERROR(IF(Z340-Z339&lt;=0,"",AB340/SQRT(Таблица_pr4[[#This Row],[Удельное сопротивление грунта, Ом·м]])),AB340/SQRT(Таблица_pr4[[#This Row],[Удельное сопротивление грунта, Ом·м]]))</f>
        <v/>
      </c>
      <c r="AE340" s="53"/>
      <c r="AF340" s="52"/>
      <c r="AG340" s="50"/>
      <c r="AH340" s="61" t="str">
        <f t="shared" si="32"/>
        <v/>
      </c>
      <c r="AI340" s="61" t="str">
        <f>IFERROR(IF(AF340-AF339&lt;=0,"",AH340/SQRT(Таблица_pr5[[#This Row],[Удельное сопротивление грунта, Ом·м]])),AH340/SQRT(Таблица_pr5[[#This Row],[Удельное сопротивление грунта, Ом·м]]))</f>
        <v/>
      </c>
      <c r="AK340" s="53"/>
      <c r="AL340" s="52"/>
      <c r="AM340" s="50"/>
      <c r="AN340" s="61" t="str">
        <f t="shared" si="38"/>
        <v/>
      </c>
      <c r="AO340" s="61" t="str">
        <f>IFERROR(IF(AL340-AL339&lt;=0,"",AN340/SQRT(Таблица_pr6[[#This Row],[Удельное сопротивление грунта, Ом·м]])),AN340/SQRT(Таблица_pr6[[#This Row],[Удельное сопротивление грунта, Ом·м]]))</f>
        <v/>
      </c>
      <c r="AQ340" s="53"/>
      <c r="AR340" s="52"/>
      <c r="AS340" s="50"/>
      <c r="AT340" s="61" t="str">
        <f t="shared" si="33"/>
        <v/>
      </c>
      <c r="AU340" s="61" t="str">
        <f>IFERROR(IF(AR340-AR339&lt;=0,"",AT340/SQRT(Таблица_pr7[[#This Row],[Удельное сопротивление грунта, Ом·м]])),AT340/SQRT(Таблица_pr7[[#This Row],[Удельное сопротивление грунта, Ом·м]]))</f>
        <v/>
      </c>
      <c r="AW340" s="53"/>
      <c r="AX340" s="52"/>
      <c r="AY340" s="50"/>
      <c r="AZ340" s="61" t="str">
        <f t="shared" si="39"/>
        <v/>
      </c>
      <c r="BA340" s="61" t="str">
        <f>IFERROR(IF(AX340-AX339&lt;=0,"",AZ340/SQRT(Таблица_pr8[[#This Row],[Удельное сопротивление грунта, Ом·м]])),AZ340/SQRT(Таблица_pr8[[#This Row],[Удельное сопротивление грунта, Ом·м]]))</f>
        <v/>
      </c>
      <c r="BC340" s="53"/>
      <c r="BD340" s="52"/>
      <c r="BE340" s="50"/>
      <c r="BG340" s="61" t="str">
        <f>IFERROR(IF(BD340-AX359&lt;=0,"",BF340/SQRT(Таблица_pr9[[#This Row],[Удельное сопротивление грунта, Ом·м]])),BF340/SQRT(Таблица_pr9[[#This Row],[Удельное сопротивление грунта, Ом·м]]))</f>
        <v/>
      </c>
      <c r="BI340" s="53"/>
      <c r="BJ340" s="52"/>
      <c r="BK340" s="50"/>
      <c r="BM340" s="61" t="str">
        <f>IFERROR(IF(BJ340-BD369&lt;=0,"",BL340/SQRT(Таблица_pr10[[#This Row],[Удельное сопротивление грунта, Ом·м]])),BL340/SQRT(Таблица_pr10[[#This Row],[Удельное сопротивление грунта, Ом·м]]))</f>
        <v/>
      </c>
    </row>
    <row r="341" spans="1:65">
      <c r="A341" s="51"/>
      <c r="B341" s="52"/>
      <c r="C341" s="50"/>
      <c r="D341" s="61" t="str">
        <f t="shared" si="34"/>
        <v/>
      </c>
      <c r="E341" s="61" t="str">
        <f>IFERROR(IF(B341-B340&lt;=0,"",D341/SQRT(Таблица_pr[[#This Row],[Удельное сопротивление грунта, Ом·м]])),D341/SQRT(Таблица_pr[[#This Row],[Удельное сопротивление грунта, Ом·м]]))</f>
        <v/>
      </c>
      <c r="G341" s="189"/>
      <c r="H341" s="185"/>
      <c r="I341" s="183"/>
      <c r="J341" s="180" t="str">
        <f t="shared" si="35"/>
        <v/>
      </c>
      <c r="K341" s="61" t="str">
        <f>IFERROR(IF(H341-H340&lt;=0,"",J341/SQRT(Таблица_pr1[[#This Row],[Удельное сопротивление грунта, Ом·м]])),J341/SQRT(Таблица_pr1[[#This Row],[Удельное сопротивление грунта, Ом·м]]))</f>
        <v/>
      </c>
      <c r="M341" s="51"/>
      <c r="N341" s="52"/>
      <c r="O341" s="50"/>
      <c r="P341" s="61" t="str">
        <f t="shared" si="36"/>
        <v/>
      </c>
      <c r="Q341" s="61" t="str">
        <f>IFERROR(IF(N341-N340&lt;=0,"",P341/SQRT(Таблица_pr2[[#This Row],[Удельное сопротивление грунта, Ом·м]])),P341/SQRT(Таблица_pr2[[#This Row],[Удельное сопротивление грунта, Ом·м]]))</f>
        <v/>
      </c>
      <c r="S341" s="51"/>
      <c r="T341" s="52"/>
      <c r="U341" s="50"/>
      <c r="V341" s="61" t="str">
        <f t="shared" si="31"/>
        <v/>
      </c>
      <c r="W341" s="61" t="str">
        <f>IFERROR(IF(T341-T340&lt;=0,"",V341/SQRT(Таблица_pr3[[#This Row],[Удельное сопротивление грунта, Ом·м]])),V341/SQRT(Таблица_pr3[[#This Row],[Удельное сопротивление грунта, Ом·м]]))</f>
        <v/>
      </c>
      <c r="Y341" s="51"/>
      <c r="Z341" s="52"/>
      <c r="AA341" s="50"/>
      <c r="AB341" s="61" t="str">
        <f t="shared" si="37"/>
        <v/>
      </c>
      <c r="AC341" s="61" t="str">
        <f>IFERROR(IF(Z341-Z340&lt;=0,"",AB341/SQRT(Таблица_pr4[[#This Row],[Удельное сопротивление грунта, Ом·м]])),AB341/SQRT(Таблица_pr4[[#This Row],[Удельное сопротивление грунта, Ом·м]]))</f>
        <v/>
      </c>
      <c r="AE341" s="51"/>
      <c r="AF341" s="52"/>
      <c r="AG341" s="50"/>
      <c r="AH341" s="61" t="str">
        <f t="shared" si="32"/>
        <v/>
      </c>
      <c r="AI341" s="61" t="str">
        <f>IFERROR(IF(AF341-AF340&lt;=0,"",AH341/SQRT(Таблица_pr5[[#This Row],[Удельное сопротивление грунта, Ом·м]])),AH341/SQRT(Таблица_pr5[[#This Row],[Удельное сопротивление грунта, Ом·м]]))</f>
        <v/>
      </c>
      <c r="AK341" s="51"/>
      <c r="AL341" s="52"/>
      <c r="AM341" s="50"/>
      <c r="AN341" s="61" t="str">
        <f t="shared" si="38"/>
        <v/>
      </c>
      <c r="AO341" s="61" t="str">
        <f>IFERROR(IF(AL341-AL340&lt;=0,"",AN341/SQRT(Таблица_pr6[[#This Row],[Удельное сопротивление грунта, Ом·м]])),AN341/SQRT(Таблица_pr6[[#This Row],[Удельное сопротивление грунта, Ом·м]]))</f>
        <v/>
      </c>
      <c r="AQ341" s="51"/>
      <c r="AR341" s="52"/>
      <c r="AS341" s="50"/>
      <c r="AT341" s="61" t="str">
        <f t="shared" si="33"/>
        <v/>
      </c>
      <c r="AU341" s="61" t="str">
        <f>IFERROR(IF(AR341-AR340&lt;=0,"",AT341/SQRT(Таблица_pr7[[#This Row],[Удельное сопротивление грунта, Ом·м]])),AT341/SQRT(Таблица_pr7[[#This Row],[Удельное сопротивление грунта, Ом·м]]))</f>
        <v/>
      </c>
      <c r="AW341" s="51"/>
      <c r="AX341" s="52"/>
      <c r="AY341" s="50"/>
      <c r="AZ341" s="61" t="str">
        <f t="shared" si="39"/>
        <v/>
      </c>
      <c r="BA341" s="61" t="str">
        <f>IFERROR(IF(AX341-AX340&lt;=0,"",AZ341/SQRT(Таблица_pr8[[#This Row],[Удельное сопротивление грунта, Ом·м]])),AZ341/SQRT(Таблица_pr8[[#This Row],[Удельное сопротивление грунта, Ом·м]]))</f>
        <v/>
      </c>
      <c r="BC341" s="51"/>
      <c r="BD341" s="52"/>
      <c r="BE341" s="50"/>
      <c r="BG341" s="61" t="str">
        <f>IFERROR(IF(BD341-AX360&lt;=0,"",BF341/SQRT(Таблица_pr9[[#This Row],[Удельное сопротивление грунта, Ом·м]])),BF341/SQRT(Таблица_pr9[[#This Row],[Удельное сопротивление грунта, Ом·м]]))</f>
        <v/>
      </c>
      <c r="BI341" s="51"/>
      <c r="BJ341" s="52"/>
      <c r="BK341" s="50"/>
      <c r="BM341" s="61" t="str">
        <f>IFERROR(IF(BJ341-BD370&lt;=0,"",BL341/SQRT(Таблица_pr10[[#This Row],[Удельное сопротивление грунта, Ом·м]])),BL341/SQRT(Таблица_pr10[[#This Row],[Удельное сопротивление грунта, Ом·м]]))</f>
        <v/>
      </c>
    </row>
    <row r="342" spans="1:65">
      <c r="A342" s="53"/>
      <c r="B342" s="52"/>
      <c r="C342" s="50"/>
      <c r="D342" s="61" t="str">
        <f t="shared" si="34"/>
        <v/>
      </c>
      <c r="E342" s="61" t="str">
        <f>IFERROR(IF(B342-B341&lt;=0,"",D342/SQRT(Таблица_pr[[#This Row],[Удельное сопротивление грунта, Ом·м]])),D342/SQRT(Таблица_pr[[#This Row],[Удельное сопротивление грунта, Ом·м]]))</f>
        <v/>
      </c>
      <c r="G342" s="188"/>
      <c r="H342" s="184"/>
      <c r="I342" s="182"/>
      <c r="J342" s="181" t="str">
        <f t="shared" si="35"/>
        <v/>
      </c>
      <c r="K342" s="61" t="str">
        <f>IFERROR(IF(H342-H341&lt;=0,"",J342/SQRT(Таблица_pr1[[#This Row],[Удельное сопротивление грунта, Ом·м]])),J342/SQRT(Таблица_pr1[[#This Row],[Удельное сопротивление грунта, Ом·м]]))</f>
        <v/>
      </c>
      <c r="M342" s="53"/>
      <c r="N342" s="52"/>
      <c r="O342" s="50"/>
      <c r="P342" s="61" t="str">
        <f t="shared" si="36"/>
        <v/>
      </c>
      <c r="Q342" s="61" t="str">
        <f>IFERROR(IF(N342-N341&lt;=0,"",P342/SQRT(Таблица_pr2[[#This Row],[Удельное сопротивление грунта, Ом·м]])),P342/SQRT(Таблица_pr2[[#This Row],[Удельное сопротивление грунта, Ом·м]]))</f>
        <v/>
      </c>
      <c r="S342" s="53"/>
      <c r="T342" s="52"/>
      <c r="U342" s="50"/>
      <c r="V342" s="61" t="str">
        <f t="shared" si="31"/>
        <v/>
      </c>
      <c r="W342" s="61" t="str">
        <f>IFERROR(IF(T342-T341&lt;=0,"",V342/SQRT(Таблица_pr3[[#This Row],[Удельное сопротивление грунта, Ом·м]])),V342/SQRT(Таблица_pr3[[#This Row],[Удельное сопротивление грунта, Ом·м]]))</f>
        <v/>
      </c>
      <c r="Y342" s="53"/>
      <c r="Z342" s="52"/>
      <c r="AA342" s="50"/>
      <c r="AB342" s="61" t="str">
        <f t="shared" si="37"/>
        <v/>
      </c>
      <c r="AC342" s="61" t="str">
        <f>IFERROR(IF(Z342-Z341&lt;=0,"",AB342/SQRT(Таблица_pr4[[#This Row],[Удельное сопротивление грунта, Ом·м]])),AB342/SQRT(Таблица_pr4[[#This Row],[Удельное сопротивление грунта, Ом·м]]))</f>
        <v/>
      </c>
      <c r="AE342" s="53"/>
      <c r="AF342" s="52"/>
      <c r="AG342" s="50"/>
      <c r="AH342" s="61" t="str">
        <f t="shared" si="32"/>
        <v/>
      </c>
      <c r="AI342" s="61" t="str">
        <f>IFERROR(IF(AF342-AF341&lt;=0,"",AH342/SQRT(Таблица_pr5[[#This Row],[Удельное сопротивление грунта, Ом·м]])),AH342/SQRT(Таблица_pr5[[#This Row],[Удельное сопротивление грунта, Ом·м]]))</f>
        <v/>
      </c>
      <c r="AK342" s="53"/>
      <c r="AL342" s="52"/>
      <c r="AM342" s="50"/>
      <c r="AN342" s="61" t="str">
        <f t="shared" si="38"/>
        <v/>
      </c>
      <c r="AO342" s="61" t="str">
        <f>IFERROR(IF(AL342-AL341&lt;=0,"",AN342/SQRT(Таблица_pr6[[#This Row],[Удельное сопротивление грунта, Ом·м]])),AN342/SQRT(Таблица_pr6[[#This Row],[Удельное сопротивление грунта, Ом·м]]))</f>
        <v/>
      </c>
      <c r="AQ342" s="53"/>
      <c r="AR342" s="52"/>
      <c r="AS342" s="50"/>
      <c r="AT342" s="61" t="str">
        <f t="shared" si="33"/>
        <v/>
      </c>
      <c r="AU342" s="61" t="str">
        <f>IFERROR(IF(AR342-AR341&lt;=0,"",AT342/SQRT(Таблица_pr7[[#This Row],[Удельное сопротивление грунта, Ом·м]])),AT342/SQRT(Таблица_pr7[[#This Row],[Удельное сопротивление грунта, Ом·м]]))</f>
        <v/>
      </c>
      <c r="AW342" s="53"/>
      <c r="AX342" s="52"/>
      <c r="AY342" s="50"/>
      <c r="AZ342" s="61" t="str">
        <f t="shared" si="39"/>
        <v/>
      </c>
      <c r="BA342" s="61" t="str">
        <f>IFERROR(IF(AX342-AX341&lt;=0,"",AZ342/SQRT(Таблица_pr8[[#This Row],[Удельное сопротивление грунта, Ом·м]])),AZ342/SQRT(Таблица_pr8[[#This Row],[Удельное сопротивление грунта, Ом·м]]))</f>
        <v/>
      </c>
      <c r="BC342" s="53"/>
      <c r="BD342" s="52"/>
      <c r="BE342" s="50"/>
      <c r="BG342" s="61" t="str">
        <f>IFERROR(IF(BD342-AX361&lt;=0,"",BF342/SQRT(Таблица_pr9[[#This Row],[Удельное сопротивление грунта, Ом·м]])),BF342/SQRT(Таблица_pr9[[#This Row],[Удельное сопротивление грунта, Ом·м]]))</f>
        <v/>
      </c>
      <c r="BI342" s="53"/>
      <c r="BJ342" s="52"/>
      <c r="BK342" s="50"/>
      <c r="BM342" s="61" t="str">
        <f>IFERROR(IF(BJ342-BD371&lt;=0,"",BL342/SQRT(Таблица_pr10[[#This Row],[Удельное сопротивление грунта, Ом·м]])),BL342/SQRT(Таблица_pr10[[#This Row],[Удельное сопротивление грунта, Ом·м]]))</f>
        <v/>
      </c>
    </row>
    <row r="343" spans="1:65">
      <c r="A343" s="51"/>
      <c r="B343" s="52"/>
      <c r="C343" s="50"/>
      <c r="D343" s="61" t="str">
        <f t="shared" si="34"/>
        <v/>
      </c>
      <c r="E343" s="61" t="str">
        <f>IFERROR(IF(B343-B342&lt;=0,"",D343/SQRT(Таблица_pr[[#This Row],[Удельное сопротивление грунта, Ом·м]])),D343/SQRT(Таблица_pr[[#This Row],[Удельное сопротивление грунта, Ом·м]]))</f>
        <v/>
      </c>
      <c r="G343" s="189"/>
      <c r="H343" s="185"/>
      <c r="I343" s="183"/>
      <c r="J343" s="180" t="str">
        <f t="shared" si="35"/>
        <v/>
      </c>
      <c r="K343" s="61" t="str">
        <f>IFERROR(IF(H343-H342&lt;=0,"",J343/SQRT(Таблица_pr1[[#This Row],[Удельное сопротивление грунта, Ом·м]])),J343/SQRT(Таблица_pr1[[#This Row],[Удельное сопротивление грунта, Ом·м]]))</f>
        <v/>
      </c>
      <c r="M343" s="51"/>
      <c r="N343" s="52"/>
      <c r="O343" s="50"/>
      <c r="P343" s="61" t="str">
        <f t="shared" si="36"/>
        <v/>
      </c>
      <c r="Q343" s="61" t="str">
        <f>IFERROR(IF(N343-N342&lt;=0,"",P343/SQRT(Таблица_pr2[[#This Row],[Удельное сопротивление грунта, Ом·м]])),P343/SQRT(Таблица_pr2[[#This Row],[Удельное сопротивление грунта, Ом·м]]))</f>
        <v/>
      </c>
      <c r="S343" s="51"/>
      <c r="T343" s="52"/>
      <c r="U343" s="50"/>
      <c r="V343" s="61" t="str">
        <f t="shared" si="31"/>
        <v/>
      </c>
      <c r="W343" s="61" t="str">
        <f>IFERROR(IF(T343-T342&lt;=0,"",V343/SQRT(Таблица_pr3[[#This Row],[Удельное сопротивление грунта, Ом·м]])),V343/SQRT(Таблица_pr3[[#This Row],[Удельное сопротивление грунта, Ом·м]]))</f>
        <v/>
      </c>
      <c r="Y343" s="51"/>
      <c r="Z343" s="52"/>
      <c r="AA343" s="50"/>
      <c r="AB343" s="61" t="str">
        <f t="shared" si="37"/>
        <v/>
      </c>
      <c r="AC343" s="61" t="str">
        <f>IFERROR(IF(Z343-Z342&lt;=0,"",AB343/SQRT(Таблица_pr4[[#This Row],[Удельное сопротивление грунта, Ом·м]])),AB343/SQRT(Таблица_pr4[[#This Row],[Удельное сопротивление грунта, Ом·м]]))</f>
        <v/>
      </c>
      <c r="AE343" s="51"/>
      <c r="AF343" s="52"/>
      <c r="AG343" s="50"/>
      <c r="AH343" s="61" t="str">
        <f t="shared" si="32"/>
        <v/>
      </c>
      <c r="AI343" s="61" t="str">
        <f>IFERROR(IF(AF343-AF342&lt;=0,"",AH343/SQRT(Таблица_pr5[[#This Row],[Удельное сопротивление грунта, Ом·м]])),AH343/SQRT(Таблица_pr5[[#This Row],[Удельное сопротивление грунта, Ом·м]]))</f>
        <v/>
      </c>
      <c r="AK343" s="51"/>
      <c r="AL343" s="52"/>
      <c r="AM343" s="50"/>
      <c r="AN343" s="61" t="str">
        <f t="shared" si="38"/>
        <v/>
      </c>
      <c r="AO343" s="61" t="str">
        <f>IFERROR(IF(AL343-AL342&lt;=0,"",AN343/SQRT(Таблица_pr6[[#This Row],[Удельное сопротивление грунта, Ом·м]])),AN343/SQRT(Таблица_pr6[[#This Row],[Удельное сопротивление грунта, Ом·м]]))</f>
        <v/>
      </c>
      <c r="AQ343" s="51"/>
      <c r="AR343" s="52"/>
      <c r="AS343" s="50"/>
      <c r="AT343" s="61" t="str">
        <f t="shared" si="33"/>
        <v/>
      </c>
      <c r="AU343" s="61" t="str">
        <f>IFERROR(IF(AR343-AR342&lt;=0,"",AT343/SQRT(Таблица_pr7[[#This Row],[Удельное сопротивление грунта, Ом·м]])),AT343/SQRT(Таблица_pr7[[#This Row],[Удельное сопротивление грунта, Ом·м]]))</f>
        <v/>
      </c>
      <c r="AW343" s="51"/>
      <c r="AX343" s="52"/>
      <c r="AY343" s="50"/>
      <c r="AZ343" s="61" t="str">
        <f t="shared" si="39"/>
        <v/>
      </c>
      <c r="BA343" s="61" t="str">
        <f>IFERROR(IF(AX343-AX342&lt;=0,"",AZ343/SQRT(Таблица_pr8[[#This Row],[Удельное сопротивление грунта, Ом·м]])),AZ343/SQRT(Таблица_pr8[[#This Row],[Удельное сопротивление грунта, Ом·м]]))</f>
        <v/>
      </c>
      <c r="BC343" s="51"/>
      <c r="BD343" s="52"/>
      <c r="BE343" s="50"/>
      <c r="BG343" s="61" t="str">
        <f>IFERROR(IF(BD343-AX362&lt;=0,"",BF343/SQRT(Таблица_pr9[[#This Row],[Удельное сопротивление грунта, Ом·м]])),BF343/SQRT(Таблица_pr9[[#This Row],[Удельное сопротивление грунта, Ом·м]]))</f>
        <v/>
      </c>
      <c r="BI343" s="51"/>
      <c r="BJ343" s="52"/>
      <c r="BK343" s="50"/>
      <c r="BM343" s="61" t="str">
        <f>IFERROR(IF(BJ343-BD372&lt;=0,"",BL343/SQRT(Таблица_pr10[[#This Row],[Удельное сопротивление грунта, Ом·м]])),BL343/SQRT(Таблица_pr10[[#This Row],[Удельное сопротивление грунта, Ом·м]]))</f>
        <v/>
      </c>
    </row>
    <row r="344" spans="1:65">
      <c r="A344" s="53"/>
      <c r="B344" s="52"/>
      <c r="C344" s="50"/>
      <c r="D344" s="61" t="str">
        <f t="shared" si="34"/>
        <v/>
      </c>
      <c r="E344" s="61" t="str">
        <f>IFERROR(IF(B344-B343&lt;=0,"",D344/SQRT(Таблица_pr[[#This Row],[Удельное сопротивление грунта, Ом·м]])),D344/SQRT(Таблица_pr[[#This Row],[Удельное сопротивление грунта, Ом·м]]))</f>
        <v/>
      </c>
      <c r="G344" s="188"/>
      <c r="H344" s="184"/>
      <c r="I344" s="182"/>
      <c r="J344" s="181" t="str">
        <f t="shared" si="35"/>
        <v/>
      </c>
      <c r="K344" s="61" t="str">
        <f>IFERROR(IF(H344-H343&lt;=0,"",J344/SQRT(Таблица_pr1[[#This Row],[Удельное сопротивление грунта, Ом·м]])),J344/SQRT(Таблица_pr1[[#This Row],[Удельное сопротивление грунта, Ом·м]]))</f>
        <v/>
      </c>
      <c r="M344" s="53"/>
      <c r="N344" s="52"/>
      <c r="O344" s="50"/>
      <c r="P344" s="61" t="str">
        <f t="shared" si="36"/>
        <v/>
      </c>
      <c r="Q344" s="61" t="str">
        <f>IFERROR(IF(N344-N343&lt;=0,"",P344/SQRT(Таблица_pr2[[#This Row],[Удельное сопротивление грунта, Ом·м]])),P344/SQRT(Таблица_pr2[[#This Row],[Удельное сопротивление грунта, Ом·м]]))</f>
        <v/>
      </c>
      <c r="S344" s="53"/>
      <c r="T344" s="52"/>
      <c r="U344" s="50"/>
      <c r="V344" s="61" t="str">
        <f t="shared" si="31"/>
        <v/>
      </c>
      <c r="W344" s="61" t="str">
        <f>IFERROR(IF(T344-T343&lt;=0,"",V344/SQRT(Таблица_pr3[[#This Row],[Удельное сопротивление грунта, Ом·м]])),V344/SQRT(Таблица_pr3[[#This Row],[Удельное сопротивление грунта, Ом·м]]))</f>
        <v/>
      </c>
      <c r="Y344" s="53"/>
      <c r="Z344" s="52"/>
      <c r="AA344" s="50"/>
      <c r="AB344" s="61" t="str">
        <f t="shared" si="37"/>
        <v/>
      </c>
      <c r="AC344" s="61" t="str">
        <f>IFERROR(IF(Z344-Z343&lt;=0,"",AB344/SQRT(Таблица_pr4[[#This Row],[Удельное сопротивление грунта, Ом·м]])),AB344/SQRT(Таблица_pr4[[#This Row],[Удельное сопротивление грунта, Ом·м]]))</f>
        <v/>
      </c>
      <c r="AE344" s="53"/>
      <c r="AF344" s="52"/>
      <c r="AG344" s="50"/>
      <c r="AH344" s="61" t="str">
        <f t="shared" si="32"/>
        <v/>
      </c>
      <c r="AI344" s="61" t="str">
        <f>IFERROR(IF(AF344-AF343&lt;=0,"",AH344/SQRT(Таблица_pr5[[#This Row],[Удельное сопротивление грунта, Ом·м]])),AH344/SQRT(Таблица_pr5[[#This Row],[Удельное сопротивление грунта, Ом·м]]))</f>
        <v/>
      </c>
      <c r="AK344" s="53"/>
      <c r="AL344" s="52"/>
      <c r="AM344" s="50"/>
      <c r="AN344" s="61" t="str">
        <f t="shared" si="38"/>
        <v/>
      </c>
      <c r="AO344" s="61" t="str">
        <f>IFERROR(IF(AL344-AL343&lt;=0,"",AN344/SQRT(Таблица_pr6[[#This Row],[Удельное сопротивление грунта, Ом·м]])),AN344/SQRT(Таблица_pr6[[#This Row],[Удельное сопротивление грунта, Ом·м]]))</f>
        <v/>
      </c>
      <c r="AQ344" s="53"/>
      <c r="AR344" s="52"/>
      <c r="AS344" s="50"/>
      <c r="AT344" s="61" t="str">
        <f t="shared" si="33"/>
        <v/>
      </c>
      <c r="AU344" s="61" t="str">
        <f>IFERROR(IF(AR344-AR343&lt;=0,"",AT344/SQRT(Таблица_pr7[[#This Row],[Удельное сопротивление грунта, Ом·м]])),AT344/SQRT(Таблица_pr7[[#This Row],[Удельное сопротивление грунта, Ом·м]]))</f>
        <v/>
      </c>
      <c r="AW344" s="53"/>
      <c r="AX344" s="52"/>
      <c r="AY344" s="50"/>
      <c r="AZ344" s="61" t="str">
        <f t="shared" si="39"/>
        <v/>
      </c>
      <c r="BA344" s="61" t="str">
        <f>IFERROR(IF(AX344-AX343&lt;=0,"",AZ344/SQRT(Таблица_pr8[[#This Row],[Удельное сопротивление грунта, Ом·м]])),AZ344/SQRT(Таблица_pr8[[#This Row],[Удельное сопротивление грунта, Ом·м]]))</f>
        <v/>
      </c>
      <c r="BC344" s="53"/>
      <c r="BD344" s="52"/>
      <c r="BE344" s="50"/>
      <c r="BG344" s="61" t="str">
        <f>IFERROR(IF(BD344-AX363&lt;=0,"",BF344/SQRT(Таблица_pr9[[#This Row],[Удельное сопротивление грунта, Ом·м]])),BF344/SQRT(Таблица_pr9[[#This Row],[Удельное сопротивление грунта, Ом·м]]))</f>
        <v/>
      </c>
      <c r="BI344" s="53"/>
      <c r="BJ344" s="52"/>
      <c r="BK344" s="50"/>
      <c r="BM344" s="61" t="str">
        <f>IFERROR(IF(BJ344-BD373&lt;=0,"",BL344/SQRT(Таблица_pr10[[#This Row],[Удельное сопротивление грунта, Ом·м]])),BL344/SQRT(Таблица_pr10[[#This Row],[Удельное сопротивление грунта, Ом·м]]))</f>
        <v/>
      </c>
    </row>
    <row r="345" spans="1:65">
      <c r="A345" s="51"/>
      <c r="B345" s="52"/>
      <c r="C345" s="50"/>
      <c r="D345" s="61" t="str">
        <f t="shared" si="34"/>
        <v/>
      </c>
      <c r="E345" s="61" t="str">
        <f>IFERROR(IF(B345-B344&lt;=0,"",D345/SQRT(Таблица_pr[[#This Row],[Удельное сопротивление грунта, Ом·м]])),D345/SQRT(Таблица_pr[[#This Row],[Удельное сопротивление грунта, Ом·м]]))</f>
        <v/>
      </c>
      <c r="G345" s="189"/>
      <c r="H345" s="185"/>
      <c r="I345" s="183"/>
      <c r="J345" s="180" t="str">
        <f t="shared" si="35"/>
        <v/>
      </c>
      <c r="K345" s="61" t="str">
        <f>IFERROR(IF(H345-H344&lt;=0,"",J345/SQRT(Таблица_pr1[[#This Row],[Удельное сопротивление грунта, Ом·м]])),J345/SQRT(Таблица_pr1[[#This Row],[Удельное сопротивление грунта, Ом·м]]))</f>
        <v/>
      </c>
      <c r="M345" s="51"/>
      <c r="N345" s="52"/>
      <c r="O345" s="50"/>
      <c r="P345" s="61" t="str">
        <f t="shared" si="36"/>
        <v/>
      </c>
      <c r="Q345" s="61" t="str">
        <f>IFERROR(IF(N345-N344&lt;=0,"",P345/SQRT(Таблица_pr2[[#This Row],[Удельное сопротивление грунта, Ом·м]])),P345/SQRT(Таблица_pr2[[#This Row],[Удельное сопротивление грунта, Ом·м]]))</f>
        <v/>
      </c>
      <c r="S345" s="51"/>
      <c r="T345" s="52"/>
      <c r="U345" s="50"/>
      <c r="V345" s="61" t="str">
        <f t="shared" si="31"/>
        <v/>
      </c>
      <c r="W345" s="61" t="str">
        <f>IFERROR(IF(T345-T344&lt;=0,"",V345/SQRT(Таблица_pr3[[#This Row],[Удельное сопротивление грунта, Ом·м]])),V345/SQRT(Таблица_pr3[[#This Row],[Удельное сопротивление грунта, Ом·м]]))</f>
        <v/>
      </c>
      <c r="Y345" s="51"/>
      <c r="Z345" s="52"/>
      <c r="AA345" s="50"/>
      <c r="AB345" s="61" t="str">
        <f t="shared" si="37"/>
        <v/>
      </c>
      <c r="AC345" s="61" t="str">
        <f>IFERROR(IF(Z345-Z344&lt;=0,"",AB345/SQRT(Таблица_pr4[[#This Row],[Удельное сопротивление грунта, Ом·м]])),AB345/SQRT(Таблица_pr4[[#This Row],[Удельное сопротивление грунта, Ом·м]]))</f>
        <v/>
      </c>
      <c r="AE345" s="51"/>
      <c r="AF345" s="52"/>
      <c r="AG345" s="50"/>
      <c r="AH345" s="61" t="str">
        <f t="shared" si="32"/>
        <v/>
      </c>
      <c r="AI345" s="61" t="str">
        <f>IFERROR(IF(AF345-AF344&lt;=0,"",AH345/SQRT(Таблица_pr5[[#This Row],[Удельное сопротивление грунта, Ом·м]])),AH345/SQRT(Таблица_pr5[[#This Row],[Удельное сопротивление грунта, Ом·м]]))</f>
        <v/>
      </c>
      <c r="AK345" s="51"/>
      <c r="AL345" s="52"/>
      <c r="AM345" s="50"/>
      <c r="AN345" s="61" t="str">
        <f t="shared" si="38"/>
        <v/>
      </c>
      <c r="AO345" s="61" t="str">
        <f>IFERROR(IF(AL345-AL344&lt;=0,"",AN345/SQRT(Таблица_pr6[[#This Row],[Удельное сопротивление грунта, Ом·м]])),AN345/SQRT(Таблица_pr6[[#This Row],[Удельное сопротивление грунта, Ом·м]]))</f>
        <v/>
      </c>
      <c r="AQ345" s="51"/>
      <c r="AR345" s="52"/>
      <c r="AS345" s="50"/>
      <c r="AT345" s="61" t="str">
        <f t="shared" si="33"/>
        <v/>
      </c>
      <c r="AU345" s="61" t="str">
        <f>IFERROR(IF(AR345-AR344&lt;=0,"",AT345/SQRT(Таблица_pr7[[#This Row],[Удельное сопротивление грунта, Ом·м]])),AT345/SQRT(Таблица_pr7[[#This Row],[Удельное сопротивление грунта, Ом·м]]))</f>
        <v/>
      </c>
      <c r="AW345" s="51"/>
      <c r="AX345" s="52"/>
      <c r="AY345" s="50"/>
      <c r="AZ345" s="61" t="str">
        <f t="shared" si="39"/>
        <v/>
      </c>
      <c r="BA345" s="61" t="str">
        <f>IFERROR(IF(AX345-AX344&lt;=0,"",AZ345/SQRT(Таблица_pr8[[#This Row],[Удельное сопротивление грунта, Ом·м]])),AZ345/SQRT(Таблица_pr8[[#This Row],[Удельное сопротивление грунта, Ом·м]]))</f>
        <v/>
      </c>
      <c r="BC345" s="51"/>
      <c r="BD345" s="52"/>
      <c r="BE345" s="50"/>
      <c r="BG345" s="61" t="str">
        <f>IFERROR(IF(BD345-AX364&lt;=0,"",BF345/SQRT(Таблица_pr9[[#This Row],[Удельное сопротивление грунта, Ом·м]])),BF345/SQRT(Таблица_pr9[[#This Row],[Удельное сопротивление грунта, Ом·м]]))</f>
        <v/>
      </c>
      <c r="BI345" s="51"/>
      <c r="BJ345" s="52"/>
      <c r="BK345" s="50"/>
      <c r="BM345" s="61" t="str">
        <f>IFERROR(IF(BJ345-BD374&lt;=0,"",BL345/SQRT(Таблица_pr10[[#This Row],[Удельное сопротивление грунта, Ом·м]])),BL345/SQRT(Таблица_pr10[[#This Row],[Удельное сопротивление грунта, Ом·м]]))</f>
        <v/>
      </c>
    </row>
    <row r="346" spans="1:65">
      <c r="A346" s="53"/>
      <c r="B346" s="52"/>
      <c r="C346" s="50"/>
      <c r="D346" s="61" t="str">
        <f t="shared" si="34"/>
        <v/>
      </c>
      <c r="E346" s="61" t="str">
        <f>IFERROR(IF(B346-B345&lt;=0,"",D346/SQRT(Таблица_pr[[#This Row],[Удельное сопротивление грунта, Ом·м]])),D346/SQRT(Таблица_pr[[#This Row],[Удельное сопротивление грунта, Ом·м]]))</f>
        <v/>
      </c>
      <c r="G346" s="188"/>
      <c r="H346" s="184"/>
      <c r="I346" s="182"/>
      <c r="J346" s="181" t="str">
        <f t="shared" si="35"/>
        <v/>
      </c>
      <c r="K346" s="61" t="str">
        <f>IFERROR(IF(H346-H345&lt;=0,"",J346/SQRT(Таблица_pr1[[#This Row],[Удельное сопротивление грунта, Ом·м]])),J346/SQRT(Таблица_pr1[[#This Row],[Удельное сопротивление грунта, Ом·м]]))</f>
        <v/>
      </c>
      <c r="M346" s="53"/>
      <c r="N346" s="52"/>
      <c r="O346" s="50"/>
      <c r="P346" s="61" t="str">
        <f t="shared" si="36"/>
        <v/>
      </c>
      <c r="Q346" s="61" t="str">
        <f>IFERROR(IF(N346-N345&lt;=0,"",P346/SQRT(Таблица_pr2[[#This Row],[Удельное сопротивление грунта, Ом·м]])),P346/SQRT(Таблица_pr2[[#This Row],[Удельное сопротивление грунта, Ом·м]]))</f>
        <v/>
      </c>
      <c r="S346" s="53"/>
      <c r="T346" s="52"/>
      <c r="U346" s="50"/>
      <c r="V346" s="61" t="str">
        <f t="shared" si="31"/>
        <v/>
      </c>
      <c r="W346" s="61" t="str">
        <f>IFERROR(IF(T346-T345&lt;=0,"",V346/SQRT(Таблица_pr3[[#This Row],[Удельное сопротивление грунта, Ом·м]])),V346/SQRT(Таблица_pr3[[#This Row],[Удельное сопротивление грунта, Ом·м]]))</f>
        <v/>
      </c>
      <c r="Y346" s="53"/>
      <c r="Z346" s="52"/>
      <c r="AA346" s="50"/>
      <c r="AB346" s="61" t="str">
        <f t="shared" si="37"/>
        <v/>
      </c>
      <c r="AC346" s="61" t="str">
        <f>IFERROR(IF(Z346-Z345&lt;=0,"",AB346/SQRT(Таблица_pr4[[#This Row],[Удельное сопротивление грунта, Ом·м]])),AB346/SQRT(Таблица_pr4[[#This Row],[Удельное сопротивление грунта, Ом·м]]))</f>
        <v/>
      </c>
      <c r="AE346" s="53"/>
      <c r="AF346" s="52"/>
      <c r="AG346" s="50"/>
      <c r="AH346" s="61" t="str">
        <f t="shared" si="32"/>
        <v/>
      </c>
      <c r="AI346" s="61" t="str">
        <f>IFERROR(IF(AF346-AF345&lt;=0,"",AH346/SQRT(Таблица_pr5[[#This Row],[Удельное сопротивление грунта, Ом·м]])),AH346/SQRT(Таблица_pr5[[#This Row],[Удельное сопротивление грунта, Ом·м]]))</f>
        <v/>
      </c>
      <c r="AK346" s="53"/>
      <c r="AL346" s="52"/>
      <c r="AM346" s="50"/>
      <c r="AN346" s="61" t="str">
        <f t="shared" si="38"/>
        <v/>
      </c>
      <c r="AO346" s="61" t="str">
        <f>IFERROR(IF(AL346-AL345&lt;=0,"",AN346/SQRT(Таблица_pr6[[#This Row],[Удельное сопротивление грунта, Ом·м]])),AN346/SQRT(Таблица_pr6[[#This Row],[Удельное сопротивление грунта, Ом·м]]))</f>
        <v/>
      </c>
      <c r="AQ346" s="53"/>
      <c r="AR346" s="52"/>
      <c r="AS346" s="50"/>
      <c r="AT346" s="61" t="str">
        <f t="shared" si="33"/>
        <v/>
      </c>
      <c r="AU346" s="61" t="str">
        <f>IFERROR(IF(AR346-AR345&lt;=0,"",AT346/SQRT(Таблица_pr7[[#This Row],[Удельное сопротивление грунта, Ом·м]])),AT346/SQRT(Таблица_pr7[[#This Row],[Удельное сопротивление грунта, Ом·м]]))</f>
        <v/>
      </c>
      <c r="AW346" s="53"/>
      <c r="AX346" s="52"/>
      <c r="AY346" s="50"/>
      <c r="AZ346" s="61" t="str">
        <f t="shared" si="39"/>
        <v/>
      </c>
      <c r="BA346" s="61" t="str">
        <f>IFERROR(IF(AX346-AX345&lt;=0,"",AZ346/SQRT(Таблица_pr8[[#This Row],[Удельное сопротивление грунта, Ом·м]])),AZ346/SQRT(Таблица_pr8[[#This Row],[Удельное сопротивление грунта, Ом·м]]))</f>
        <v/>
      </c>
      <c r="BC346" s="53"/>
      <c r="BD346" s="52"/>
      <c r="BE346" s="50"/>
      <c r="BG346" s="61" t="str">
        <f>IFERROR(IF(BD346-AX365&lt;=0,"",BF346/SQRT(Таблица_pr9[[#This Row],[Удельное сопротивление грунта, Ом·м]])),BF346/SQRT(Таблица_pr9[[#This Row],[Удельное сопротивление грунта, Ом·м]]))</f>
        <v/>
      </c>
      <c r="BI346" s="53"/>
      <c r="BJ346" s="52"/>
      <c r="BK346" s="50"/>
      <c r="BM346" s="61" t="str">
        <f>IFERROR(IF(BJ346-BD375&lt;=0,"",BL346/SQRT(Таблица_pr10[[#This Row],[Удельное сопротивление грунта, Ом·м]])),BL346/SQRT(Таблица_pr10[[#This Row],[Удельное сопротивление грунта, Ом·м]]))</f>
        <v/>
      </c>
    </row>
    <row r="347" spans="1:65">
      <c r="A347" s="51"/>
      <c r="B347" s="52"/>
      <c r="C347" s="50"/>
      <c r="D347" s="61" t="str">
        <f t="shared" si="34"/>
        <v/>
      </c>
      <c r="E347" s="61" t="str">
        <f>IFERROR(IF(B347-B346&lt;=0,"",D347/SQRT(Таблица_pr[[#This Row],[Удельное сопротивление грунта, Ом·м]])),D347/SQRT(Таблица_pr[[#This Row],[Удельное сопротивление грунта, Ом·м]]))</f>
        <v/>
      </c>
      <c r="G347" s="189"/>
      <c r="H347" s="185"/>
      <c r="I347" s="183"/>
      <c r="J347" s="180" t="str">
        <f t="shared" si="35"/>
        <v/>
      </c>
      <c r="K347" s="61" t="str">
        <f>IFERROR(IF(H347-H346&lt;=0,"",J347/SQRT(Таблица_pr1[[#This Row],[Удельное сопротивление грунта, Ом·м]])),J347/SQRT(Таблица_pr1[[#This Row],[Удельное сопротивление грунта, Ом·м]]))</f>
        <v/>
      </c>
      <c r="M347" s="51"/>
      <c r="N347" s="52"/>
      <c r="O347" s="50"/>
      <c r="P347" s="61" t="str">
        <f t="shared" si="36"/>
        <v/>
      </c>
      <c r="Q347" s="61" t="str">
        <f>IFERROR(IF(N347-N346&lt;=0,"",P347/SQRT(Таблица_pr2[[#This Row],[Удельное сопротивление грунта, Ом·м]])),P347/SQRT(Таблица_pr2[[#This Row],[Удельное сопротивление грунта, Ом·м]]))</f>
        <v/>
      </c>
      <c r="S347" s="51"/>
      <c r="T347" s="52"/>
      <c r="U347" s="50"/>
      <c r="V347" s="61" t="str">
        <f t="shared" si="31"/>
        <v/>
      </c>
      <c r="W347" s="61" t="str">
        <f>IFERROR(IF(T347-T346&lt;=0,"",V347/SQRT(Таблица_pr3[[#This Row],[Удельное сопротивление грунта, Ом·м]])),V347/SQRT(Таблица_pr3[[#This Row],[Удельное сопротивление грунта, Ом·м]]))</f>
        <v/>
      </c>
      <c r="Y347" s="51"/>
      <c r="Z347" s="52"/>
      <c r="AA347" s="50"/>
      <c r="AB347" s="61" t="str">
        <f t="shared" si="37"/>
        <v/>
      </c>
      <c r="AC347" s="61" t="str">
        <f>IFERROR(IF(Z347-Z346&lt;=0,"",AB347/SQRT(Таблица_pr4[[#This Row],[Удельное сопротивление грунта, Ом·м]])),AB347/SQRT(Таблица_pr4[[#This Row],[Удельное сопротивление грунта, Ом·м]]))</f>
        <v/>
      </c>
      <c r="AE347" s="51"/>
      <c r="AF347" s="52"/>
      <c r="AG347" s="50"/>
      <c r="AH347" s="61" t="str">
        <f t="shared" si="32"/>
        <v/>
      </c>
      <c r="AI347" s="61" t="str">
        <f>IFERROR(IF(AF347-AF346&lt;=0,"",AH347/SQRT(Таблица_pr5[[#This Row],[Удельное сопротивление грунта, Ом·м]])),AH347/SQRT(Таблица_pr5[[#This Row],[Удельное сопротивление грунта, Ом·м]]))</f>
        <v/>
      </c>
      <c r="AK347" s="51"/>
      <c r="AL347" s="52"/>
      <c r="AM347" s="50"/>
      <c r="AN347" s="61" t="str">
        <f t="shared" si="38"/>
        <v/>
      </c>
      <c r="AO347" s="61" t="str">
        <f>IFERROR(IF(AL347-AL346&lt;=0,"",AN347/SQRT(Таблица_pr6[[#This Row],[Удельное сопротивление грунта, Ом·м]])),AN347/SQRT(Таблица_pr6[[#This Row],[Удельное сопротивление грунта, Ом·м]]))</f>
        <v/>
      </c>
      <c r="AQ347" s="51"/>
      <c r="AR347" s="52"/>
      <c r="AS347" s="50"/>
      <c r="AT347" s="61" t="str">
        <f t="shared" si="33"/>
        <v/>
      </c>
      <c r="AU347" s="61" t="str">
        <f>IFERROR(IF(AR347-AR346&lt;=0,"",AT347/SQRT(Таблица_pr7[[#This Row],[Удельное сопротивление грунта, Ом·м]])),AT347/SQRT(Таблица_pr7[[#This Row],[Удельное сопротивление грунта, Ом·м]]))</f>
        <v/>
      </c>
      <c r="AW347" s="51"/>
      <c r="AX347" s="52"/>
      <c r="AY347" s="50"/>
      <c r="AZ347" s="61" t="str">
        <f t="shared" si="39"/>
        <v/>
      </c>
      <c r="BA347" s="61" t="str">
        <f>IFERROR(IF(AX347-AX346&lt;=0,"",AZ347/SQRT(Таблица_pr8[[#This Row],[Удельное сопротивление грунта, Ом·м]])),AZ347/SQRT(Таблица_pr8[[#This Row],[Удельное сопротивление грунта, Ом·м]]))</f>
        <v/>
      </c>
      <c r="BC347" s="51"/>
      <c r="BD347" s="52"/>
      <c r="BE347" s="50"/>
      <c r="BG347" s="61" t="str">
        <f>IFERROR(IF(BD347-AX366&lt;=0,"",BF347/SQRT(Таблица_pr9[[#This Row],[Удельное сопротивление грунта, Ом·м]])),BF347/SQRT(Таблица_pr9[[#This Row],[Удельное сопротивление грунта, Ом·м]]))</f>
        <v/>
      </c>
      <c r="BI347" s="51"/>
      <c r="BJ347" s="52"/>
      <c r="BK347" s="50"/>
      <c r="BM347" s="61" t="str">
        <f>IFERROR(IF(BJ347-BD376&lt;=0,"",BL347/SQRT(Таблица_pr10[[#This Row],[Удельное сопротивление грунта, Ом·м]])),BL347/SQRT(Таблица_pr10[[#This Row],[Удельное сопротивление грунта, Ом·м]]))</f>
        <v/>
      </c>
    </row>
    <row r="348" spans="1:65">
      <c r="A348" s="53"/>
      <c r="B348" s="52"/>
      <c r="C348" s="50"/>
      <c r="D348" s="61" t="str">
        <f t="shared" si="34"/>
        <v/>
      </c>
      <c r="E348" s="61" t="str">
        <f>IFERROR(IF(B348-B347&lt;=0,"",D348/SQRT(Таблица_pr[[#This Row],[Удельное сопротивление грунта, Ом·м]])),D348/SQRT(Таблица_pr[[#This Row],[Удельное сопротивление грунта, Ом·м]]))</f>
        <v/>
      </c>
      <c r="G348" s="188"/>
      <c r="H348" s="184"/>
      <c r="I348" s="182"/>
      <c r="J348" s="181" t="str">
        <f t="shared" si="35"/>
        <v/>
      </c>
      <c r="K348" s="61" t="str">
        <f>IFERROR(IF(H348-H347&lt;=0,"",J348/SQRT(Таблица_pr1[[#This Row],[Удельное сопротивление грунта, Ом·м]])),J348/SQRT(Таблица_pr1[[#This Row],[Удельное сопротивление грунта, Ом·м]]))</f>
        <v/>
      </c>
      <c r="M348" s="53"/>
      <c r="N348" s="52"/>
      <c r="O348" s="50"/>
      <c r="P348" s="61" t="str">
        <f t="shared" si="36"/>
        <v/>
      </c>
      <c r="Q348" s="61" t="str">
        <f>IFERROR(IF(N348-N347&lt;=0,"",P348/SQRT(Таблица_pr2[[#This Row],[Удельное сопротивление грунта, Ом·м]])),P348/SQRT(Таблица_pr2[[#This Row],[Удельное сопротивление грунта, Ом·м]]))</f>
        <v/>
      </c>
      <c r="S348" s="53"/>
      <c r="T348" s="52"/>
      <c r="U348" s="50"/>
      <c r="V348" s="61" t="str">
        <f t="shared" si="31"/>
        <v/>
      </c>
      <c r="W348" s="61" t="str">
        <f>IFERROR(IF(T348-T347&lt;=0,"",V348/SQRT(Таблица_pr3[[#This Row],[Удельное сопротивление грунта, Ом·м]])),V348/SQRT(Таблица_pr3[[#This Row],[Удельное сопротивление грунта, Ом·м]]))</f>
        <v/>
      </c>
      <c r="Y348" s="53"/>
      <c r="Z348" s="52"/>
      <c r="AA348" s="50"/>
      <c r="AB348" s="61" t="str">
        <f t="shared" si="37"/>
        <v/>
      </c>
      <c r="AC348" s="61" t="str">
        <f>IFERROR(IF(Z348-Z347&lt;=0,"",AB348/SQRT(Таблица_pr4[[#This Row],[Удельное сопротивление грунта, Ом·м]])),AB348/SQRT(Таблица_pr4[[#This Row],[Удельное сопротивление грунта, Ом·м]]))</f>
        <v/>
      </c>
      <c r="AE348" s="53"/>
      <c r="AF348" s="52"/>
      <c r="AG348" s="50"/>
      <c r="AH348" s="61" t="str">
        <f t="shared" si="32"/>
        <v/>
      </c>
      <c r="AI348" s="61" t="str">
        <f>IFERROR(IF(AF348-AF347&lt;=0,"",AH348/SQRT(Таблица_pr5[[#This Row],[Удельное сопротивление грунта, Ом·м]])),AH348/SQRT(Таблица_pr5[[#This Row],[Удельное сопротивление грунта, Ом·м]]))</f>
        <v/>
      </c>
      <c r="AK348" s="53"/>
      <c r="AL348" s="52"/>
      <c r="AM348" s="50"/>
      <c r="AN348" s="61" t="str">
        <f t="shared" si="38"/>
        <v/>
      </c>
      <c r="AO348" s="61" t="str">
        <f>IFERROR(IF(AL348-AL347&lt;=0,"",AN348/SQRT(Таблица_pr6[[#This Row],[Удельное сопротивление грунта, Ом·м]])),AN348/SQRT(Таблица_pr6[[#This Row],[Удельное сопротивление грунта, Ом·м]]))</f>
        <v/>
      </c>
      <c r="AQ348" s="53"/>
      <c r="AR348" s="52"/>
      <c r="AS348" s="50"/>
      <c r="AT348" s="61" t="str">
        <f t="shared" si="33"/>
        <v/>
      </c>
      <c r="AU348" s="61" t="str">
        <f>IFERROR(IF(AR348-AR347&lt;=0,"",AT348/SQRT(Таблица_pr7[[#This Row],[Удельное сопротивление грунта, Ом·м]])),AT348/SQRT(Таблица_pr7[[#This Row],[Удельное сопротивление грунта, Ом·м]]))</f>
        <v/>
      </c>
      <c r="AW348" s="53"/>
      <c r="AX348" s="52"/>
      <c r="AY348" s="50"/>
      <c r="AZ348" s="61" t="str">
        <f t="shared" si="39"/>
        <v/>
      </c>
      <c r="BA348" s="61" t="str">
        <f>IFERROR(IF(AX348-AX347&lt;=0,"",AZ348/SQRT(Таблица_pr8[[#This Row],[Удельное сопротивление грунта, Ом·м]])),AZ348/SQRT(Таблица_pr8[[#This Row],[Удельное сопротивление грунта, Ом·м]]))</f>
        <v/>
      </c>
      <c r="BC348" s="53"/>
      <c r="BD348" s="52"/>
      <c r="BE348" s="50"/>
      <c r="BG348" s="61" t="str">
        <f>IFERROR(IF(BD348-AX367&lt;=0,"",BF348/SQRT(Таблица_pr9[[#This Row],[Удельное сопротивление грунта, Ом·м]])),BF348/SQRT(Таблица_pr9[[#This Row],[Удельное сопротивление грунта, Ом·м]]))</f>
        <v/>
      </c>
      <c r="BI348" s="53"/>
      <c r="BJ348" s="52"/>
      <c r="BK348" s="50"/>
      <c r="BM348" s="61" t="str">
        <f>IFERROR(IF(BJ348-BD377&lt;=0,"",BL348/SQRT(Таблица_pr10[[#This Row],[Удельное сопротивление грунта, Ом·м]])),BL348/SQRT(Таблица_pr10[[#This Row],[Удельное сопротивление грунта, Ом·м]]))</f>
        <v/>
      </c>
    </row>
    <row r="349" spans="1:65">
      <c r="A349" s="51"/>
      <c r="B349" s="52"/>
      <c r="C349" s="50"/>
      <c r="D349" s="61" t="str">
        <f t="shared" si="34"/>
        <v/>
      </c>
      <c r="E349" s="61" t="str">
        <f>IFERROR(IF(B349-B348&lt;=0,"",D349/SQRT(Таблица_pr[[#This Row],[Удельное сопротивление грунта, Ом·м]])),D349/SQRT(Таблица_pr[[#This Row],[Удельное сопротивление грунта, Ом·м]]))</f>
        <v/>
      </c>
      <c r="G349" s="189"/>
      <c r="H349" s="185"/>
      <c r="I349" s="183"/>
      <c r="J349" s="180" t="str">
        <f t="shared" si="35"/>
        <v/>
      </c>
      <c r="K349" s="61" t="str">
        <f>IFERROR(IF(H349-H348&lt;=0,"",J349/SQRT(Таблица_pr1[[#This Row],[Удельное сопротивление грунта, Ом·м]])),J349/SQRT(Таблица_pr1[[#This Row],[Удельное сопротивление грунта, Ом·м]]))</f>
        <v/>
      </c>
      <c r="M349" s="51"/>
      <c r="N349" s="52"/>
      <c r="O349" s="50"/>
      <c r="P349" s="61" t="str">
        <f t="shared" si="36"/>
        <v/>
      </c>
      <c r="Q349" s="61" t="str">
        <f>IFERROR(IF(N349-N348&lt;=0,"",P349/SQRT(Таблица_pr2[[#This Row],[Удельное сопротивление грунта, Ом·м]])),P349/SQRT(Таблица_pr2[[#This Row],[Удельное сопротивление грунта, Ом·м]]))</f>
        <v/>
      </c>
      <c r="S349" s="51"/>
      <c r="T349" s="52"/>
      <c r="U349" s="50"/>
      <c r="V349" s="61" t="str">
        <f t="shared" si="31"/>
        <v/>
      </c>
      <c r="W349" s="61" t="str">
        <f>IFERROR(IF(T349-T348&lt;=0,"",V349/SQRT(Таблица_pr3[[#This Row],[Удельное сопротивление грунта, Ом·м]])),V349/SQRT(Таблица_pr3[[#This Row],[Удельное сопротивление грунта, Ом·м]]))</f>
        <v/>
      </c>
      <c r="Y349" s="51"/>
      <c r="Z349" s="52"/>
      <c r="AA349" s="50"/>
      <c r="AB349" s="61" t="str">
        <f t="shared" si="37"/>
        <v/>
      </c>
      <c r="AC349" s="61" t="str">
        <f>IFERROR(IF(Z349-Z348&lt;=0,"",AB349/SQRT(Таблица_pr4[[#This Row],[Удельное сопротивление грунта, Ом·м]])),AB349/SQRT(Таблица_pr4[[#This Row],[Удельное сопротивление грунта, Ом·м]]))</f>
        <v/>
      </c>
      <c r="AE349" s="51"/>
      <c r="AF349" s="52"/>
      <c r="AG349" s="50"/>
      <c r="AH349" s="61" t="str">
        <f t="shared" si="32"/>
        <v/>
      </c>
      <c r="AI349" s="61" t="str">
        <f>IFERROR(IF(AF349-AF348&lt;=0,"",AH349/SQRT(Таблица_pr5[[#This Row],[Удельное сопротивление грунта, Ом·м]])),AH349/SQRT(Таблица_pr5[[#This Row],[Удельное сопротивление грунта, Ом·м]]))</f>
        <v/>
      </c>
      <c r="AK349" s="51"/>
      <c r="AL349" s="52"/>
      <c r="AM349" s="50"/>
      <c r="AN349" s="61" t="str">
        <f t="shared" si="38"/>
        <v/>
      </c>
      <c r="AO349" s="61" t="str">
        <f>IFERROR(IF(AL349-AL348&lt;=0,"",AN349/SQRT(Таблица_pr6[[#This Row],[Удельное сопротивление грунта, Ом·м]])),AN349/SQRT(Таблица_pr6[[#This Row],[Удельное сопротивление грунта, Ом·м]]))</f>
        <v/>
      </c>
      <c r="AQ349" s="51"/>
      <c r="AR349" s="52"/>
      <c r="AS349" s="50"/>
      <c r="AT349" s="61" t="str">
        <f t="shared" si="33"/>
        <v/>
      </c>
      <c r="AU349" s="61" t="str">
        <f>IFERROR(IF(AR349-AR348&lt;=0,"",AT349/SQRT(Таблица_pr7[[#This Row],[Удельное сопротивление грунта, Ом·м]])),AT349/SQRT(Таблица_pr7[[#This Row],[Удельное сопротивление грунта, Ом·м]]))</f>
        <v/>
      </c>
      <c r="AW349" s="51"/>
      <c r="AX349" s="52"/>
      <c r="AY349" s="50"/>
      <c r="AZ349" s="61" t="str">
        <f t="shared" si="39"/>
        <v/>
      </c>
      <c r="BA349" s="61" t="str">
        <f>IFERROR(IF(AX349-AX348&lt;=0,"",AZ349/SQRT(Таблица_pr8[[#This Row],[Удельное сопротивление грунта, Ом·м]])),AZ349/SQRT(Таблица_pr8[[#This Row],[Удельное сопротивление грунта, Ом·м]]))</f>
        <v/>
      </c>
      <c r="BC349" s="51"/>
      <c r="BD349" s="52"/>
      <c r="BE349" s="50"/>
      <c r="BG349" s="61" t="str">
        <f>IFERROR(IF(BD349-AX368&lt;=0,"",BF349/SQRT(Таблица_pr9[[#This Row],[Удельное сопротивление грунта, Ом·м]])),BF349/SQRT(Таблица_pr9[[#This Row],[Удельное сопротивление грунта, Ом·м]]))</f>
        <v/>
      </c>
      <c r="BI349" s="51"/>
      <c r="BJ349" s="52"/>
      <c r="BK349" s="50"/>
      <c r="BM349" s="61" t="str">
        <f>IFERROR(IF(BJ349-BD378&lt;=0,"",BL349/SQRT(Таблица_pr10[[#This Row],[Удельное сопротивление грунта, Ом·м]])),BL349/SQRT(Таблица_pr10[[#This Row],[Удельное сопротивление грунта, Ом·м]]))</f>
        <v/>
      </c>
    </row>
    <row r="350" spans="1:65">
      <c r="A350" s="53"/>
      <c r="B350" s="52"/>
      <c r="C350" s="50"/>
      <c r="D350" s="61" t="str">
        <f t="shared" si="34"/>
        <v/>
      </c>
      <c r="E350" s="61" t="str">
        <f>IFERROR(IF(B350-B349&lt;=0,"",D350/SQRT(Таблица_pr[[#This Row],[Удельное сопротивление грунта, Ом·м]])),D350/SQRT(Таблица_pr[[#This Row],[Удельное сопротивление грунта, Ом·м]]))</f>
        <v/>
      </c>
      <c r="G350" s="188"/>
      <c r="H350" s="184"/>
      <c r="I350" s="182"/>
      <c r="J350" s="181" t="str">
        <f t="shared" si="35"/>
        <v/>
      </c>
      <c r="K350" s="61" t="str">
        <f>IFERROR(IF(H350-H349&lt;=0,"",J350/SQRT(Таблица_pr1[[#This Row],[Удельное сопротивление грунта, Ом·м]])),J350/SQRT(Таблица_pr1[[#This Row],[Удельное сопротивление грунта, Ом·м]]))</f>
        <v/>
      </c>
      <c r="M350" s="53"/>
      <c r="N350" s="52"/>
      <c r="O350" s="50"/>
      <c r="P350" s="61" t="str">
        <f t="shared" si="36"/>
        <v/>
      </c>
      <c r="Q350" s="61" t="str">
        <f>IFERROR(IF(N350-N349&lt;=0,"",P350/SQRT(Таблица_pr2[[#This Row],[Удельное сопротивление грунта, Ом·м]])),P350/SQRT(Таблица_pr2[[#This Row],[Удельное сопротивление грунта, Ом·м]]))</f>
        <v/>
      </c>
      <c r="S350" s="53"/>
      <c r="T350" s="52"/>
      <c r="U350" s="50"/>
      <c r="V350" s="61" t="str">
        <f t="shared" si="31"/>
        <v/>
      </c>
      <c r="W350" s="61" t="str">
        <f>IFERROR(IF(T350-T349&lt;=0,"",V350/SQRT(Таблица_pr3[[#This Row],[Удельное сопротивление грунта, Ом·м]])),V350/SQRT(Таблица_pr3[[#This Row],[Удельное сопротивление грунта, Ом·м]]))</f>
        <v/>
      </c>
      <c r="Y350" s="53"/>
      <c r="Z350" s="52"/>
      <c r="AA350" s="50"/>
      <c r="AB350" s="61" t="str">
        <f t="shared" si="37"/>
        <v/>
      </c>
      <c r="AC350" s="61" t="str">
        <f>IFERROR(IF(Z350-Z349&lt;=0,"",AB350/SQRT(Таблица_pr4[[#This Row],[Удельное сопротивление грунта, Ом·м]])),AB350/SQRT(Таблица_pr4[[#This Row],[Удельное сопротивление грунта, Ом·м]]))</f>
        <v/>
      </c>
      <c r="AE350" s="53"/>
      <c r="AF350" s="52"/>
      <c r="AG350" s="50"/>
      <c r="AH350" s="61" t="str">
        <f t="shared" si="32"/>
        <v/>
      </c>
      <c r="AI350" s="61" t="str">
        <f>IFERROR(IF(AF350-AF349&lt;=0,"",AH350/SQRT(Таблица_pr5[[#This Row],[Удельное сопротивление грунта, Ом·м]])),AH350/SQRT(Таблица_pr5[[#This Row],[Удельное сопротивление грунта, Ом·м]]))</f>
        <v/>
      </c>
      <c r="AK350" s="53"/>
      <c r="AL350" s="52"/>
      <c r="AM350" s="50"/>
      <c r="AN350" s="61" t="str">
        <f t="shared" si="38"/>
        <v/>
      </c>
      <c r="AO350" s="61" t="str">
        <f>IFERROR(IF(AL350-AL349&lt;=0,"",AN350/SQRT(Таблица_pr6[[#This Row],[Удельное сопротивление грунта, Ом·м]])),AN350/SQRT(Таблица_pr6[[#This Row],[Удельное сопротивление грунта, Ом·м]]))</f>
        <v/>
      </c>
      <c r="AQ350" s="53"/>
      <c r="AR350" s="52"/>
      <c r="AS350" s="50"/>
      <c r="AT350" s="61" t="str">
        <f t="shared" si="33"/>
        <v/>
      </c>
      <c r="AU350" s="61" t="str">
        <f>IFERROR(IF(AR350-AR349&lt;=0,"",AT350/SQRT(Таблица_pr7[[#This Row],[Удельное сопротивление грунта, Ом·м]])),AT350/SQRT(Таблица_pr7[[#This Row],[Удельное сопротивление грунта, Ом·м]]))</f>
        <v/>
      </c>
      <c r="AW350" s="53"/>
      <c r="AX350" s="52"/>
      <c r="AY350" s="50"/>
      <c r="AZ350" s="61" t="str">
        <f t="shared" si="39"/>
        <v/>
      </c>
      <c r="BA350" s="61" t="str">
        <f>IFERROR(IF(AX350-AX349&lt;=0,"",AZ350/SQRT(Таблица_pr8[[#This Row],[Удельное сопротивление грунта, Ом·м]])),AZ350/SQRT(Таблица_pr8[[#This Row],[Удельное сопротивление грунта, Ом·м]]))</f>
        <v/>
      </c>
      <c r="BC350" s="53"/>
      <c r="BD350" s="52"/>
      <c r="BE350" s="50"/>
      <c r="BG350" s="61" t="str">
        <f>IFERROR(IF(BD350-AX369&lt;=0,"",BF350/SQRT(Таблица_pr9[[#This Row],[Удельное сопротивление грунта, Ом·м]])),BF350/SQRT(Таблица_pr9[[#This Row],[Удельное сопротивление грунта, Ом·м]]))</f>
        <v/>
      </c>
      <c r="BI350" s="53"/>
      <c r="BJ350" s="52"/>
      <c r="BK350" s="50"/>
      <c r="BM350" s="61" t="str">
        <f>IFERROR(IF(BJ350-BD379&lt;=0,"",BL350/SQRT(Таблица_pr10[[#This Row],[Удельное сопротивление грунта, Ом·м]])),BL350/SQRT(Таблица_pr10[[#This Row],[Удельное сопротивление грунта, Ом·м]]))</f>
        <v/>
      </c>
    </row>
    <row r="351" spans="1:65">
      <c r="A351" s="51"/>
      <c r="B351" s="52"/>
      <c r="C351" s="50"/>
      <c r="D351" s="61" t="str">
        <f t="shared" si="34"/>
        <v/>
      </c>
      <c r="E351" s="61" t="str">
        <f>IFERROR(IF(B351-B350&lt;=0,"",D351/SQRT(Таблица_pr[[#This Row],[Удельное сопротивление грунта, Ом·м]])),D351/SQRT(Таблица_pr[[#This Row],[Удельное сопротивление грунта, Ом·м]]))</f>
        <v/>
      </c>
      <c r="G351" s="189"/>
      <c r="H351" s="185"/>
      <c r="I351" s="183"/>
      <c r="J351" s="180" t="str">
        <f t="shared" si="35"/>
        <v/>
      </c>
      <c r="K351" s="61" t="str">
        <f>IFERROR(IF(H351-H350&lt;=0,"",J351/SQRT(Таблица_pr1[[#This Row],[Удельное сопротивление грунта, Ом·м]])),J351/SQRT(Таблица_pr1[[#This Row],[Удельное сопротивление грунта, Ом·м]]))</f>
        <v/>
      </c>
      <c r="M351" s="51"/>
      <c r="N351" s="52"/>
      <c r="O351" s="50"/>
      <c r="P351" s="61" t="str">
        <f t="shared" si="36"/>
        <v/>
      </c>
      <c r="Q351" s="61" t="str">
        <f>IFERROR(IF(N351-N350&lt;=0,"",P351/SQRT(Таблица_pr2[[#This Row],[Удельное сопротивление грунта, Ом·м]])),P351/SQRT(Таблица_pr2[[#This Row],[Удельное сопротивление грунта, Ом·м]]))</f>
        <v/>
      </c>
      <c r="S351" s="51"/>
      <c r="T351" s="52"/>
      <c r="U351" s="50"/>
      <c r="V351" s="61" t="str">
        <f t="shared" si="31"/>
        <v/>
      </c>
      <c r="W351" s="61" t="str">
        <f>IFERROR(IF(T351-T350&lt;=0,"",V351/SQRT(Таблица_pr3[[#This Row],[Удельное сопротивление грунта, Ом·м]])),V351/SQRT(Таблица_pr3[[#This Row],[Удельное сопротивление грунта, Ом·м]]))</f>
        <v/>
      </c>
      <c r="Y351" s="51"/>
      <c r="Z351" s="52"/>
      <c r="AA351" s="50"/>
      <c r="AB351" s="61" t="str">
        <f t="shared" si="37"/>
        <v/>
      </c>
      <c r="AC351" s="61" t="str">
        <f>IFERROR(IF(Z351-Z350&lt;=0,"",AB351/SQRT(Таблица_pr4[[#This Row],[Удельное сопротивление грунта, Ом·м]])),AB351/SQRT(Таблица_pr4[[#This Row],[Удельное сопротивление грунта, Ом·м]]))</f>
        <v/>
      </c>
      <c r="AE351" s="51"/>
      <c r="AF351" s="52"/>
      <c r="AG351" s="50"/>
      <c r="AH351" s="61" t="str">
        <f t="shared" si="32"/>
        <v/>
      </c>
      <c r="AI351" s="61" t="str">
        <f>IFERROR(IF(AF351-AF350&lt;=0,"",AH351/SQRT(Таблица_pr5[[#This Row],[Удельное сопротивление грунта, Ом·м]])),AH351/SQRT(Таблица_pr5[[#This Row],[Удельное сопротивление грунта, Ом·м]]))</f>
        <v/>
      </c>
      <c r="AK351" s="51"/>
      <c r="AL351" s="52"/>
      <c r="AM351" s="50"/>
      <c r="AN351" s="61" t="str">
        <f t="shared" si="38"/>
        <v/>
      </c>
      <c r="AO351" s="61" t="str">
        <f>IFERROR(IF(AL351-AL350&lt;=0,"",AN351/SQRT(Таблица_pr6[[#This Row],[Удельное сопротивление грунта, Ом·м]])),AN351/SQRT(Таблица_pr6[[#This Row],[Удельное сопротивление грунта, Ом·м]]))</f>
        <v/>
      </c>
      <c r="AQ351" s="51"/>
      <c r="AR351" s="52"/>
      <c r="AS351" s="50"/>
      <c r="AT351" s="61" t="str">
        <f t="shared" si="33"/>
        <v/>
      </c>
      <c r="AU351" s="61" t="str">
        <f>IFERROR(IF(AR351-AR350&lt;=0,"",AT351/SQRT(Таблица_pr7[[#This Row],[Удельное сопротивление грунта, Ом·м]])),AT351/SQRT(Таблица_pr7[[#This Row],[Удельное сопротивление грунта, Ом·м]]))</f>
        <v/>
      </c>
      <c r="AW351" s="51"/>
      <c r="AX351" s="52"/>
      <c r="AY351" s="50"/>
      <c r="AZ351" s="61" t="str">
        <f t="shared" si="39"/>
        <v/>
      </c>
      <c r="BA351" s="61" t="str">
        <f>IFERROR(IF(AX351-AX350&lt;=0,"",AZ351/SQRT(Таблица_pr8[[#This Row],[Удельное сопротивление грунта, Ом·м]])),AZ351/SQRT(Таблица_pr8[[#This Row],[Удельное сопротивление грунта, Ом·м]]))</f>
        <v/>
      </c>
      <c r="BC351" s="51"/>
      <c r="BD351" s="52"/>
      <c r="BE351" s="50"/>
      <c r="BG351" s="61" t="str">
        <f>IFERROR(IF(BD351-AX370&lt;=0,"",BF351/SQRT(Таблица_pr9[[#This Row],[Удельное сопротивление грунта, Ом·м]])),BF351/SQRT(Таблица_pr9[[#This Row],[Удельное сопротивление грунта, Ом·м]]))</f>
        <v/>
      </c>
      <c r="BI351" s="51"/>
      <c r="BJ351" s="52"/>
      <c r="BK351" s="50"/>
      <c r="BM351" s="61" t="str">
        <f>IFERROR(IF(BJ351-BD380&lt;=0,"",BL351/SQRT(Таблица_pr10[[#This Row],[Удельное сопротивление грунта, Ом·м]])),BL351/SQRT(Таблица_pr10[[#This Row],[Удельное сопротивление грунта, Ом·м]]))</f>
        <v/>
      </c>
    </row>
    <row r="352" spans="1:65">
      <c r="A352" s="53"/>
      <c r="B352" s="52"/>
      <c r="C352" s="50"/>
      <c r="D352" s="61" t="str">
        <f t="shared" si="34"/>
        <v/>
      </c>
      <c r="E352" s="61" t="str">
        <f>IFERROR(IF(B352-B351&lt;=0,"",D352/SQRT(Таблица_pr[[#This Row],[Удельное сопротивление грунта, Ом·м]])),D352/SQRT(Таблица_pr[[#This Row],[Удельное сопротивление грунта, Ом·м]]))</f>
        <v/>
      </c>
      <c r="G352" s="188"/>
      <c r="H352" s="184"/>
      <c r="I352" s="182"/>
      <c r="J352" s="181" t="str">
        <f t="shared" si="35"/>
        <v/>
      </c>
      <c r="K352" s="61" t="str">
        <f>IFERROR(IF(H352-H351&lt;=0,"",J352/SQRT(Таблица_pr1[[#This Row],[Удельное сопротивление грунта, Ом·м]])),J352/SQRT(Таблица_pr1[[#This Row],[Удельное сопротивление грунта, Ом·м]]))</f>
        <v/>
      </c>
      <c r="M352" s="53"/>
      <c r="N352" s="52"/>
      <c r="O352" s="50"/>
      <c r="P352" s="61" t="str">
        <f t="shared" si="36"/>
        <v/>
      </c>
      <c r="Q352" s="61" t="str">
        <f>IFERROR(IF(N352-N351&lt;=0,"",P352/SQRT(Таблица_pr2[[#This Row],[Удельное сопротивление грунта, Ом·м]])),P352/SQRT(Таблица_pr2[[#This Row],[Удельное сопротивление грунта, Ом·м]]))</f>
        <v/>
      </c>
      <c r="S352" s="53"/>
      <c r="T352" s="52"/>
      <c r="U352" s="50"/>
      <c r="V352" s="61" t="str">
        <f t="shared" si="31"/>
        <v/>
      </c>
      <c r="W352" s="61" t="str">
        <f>IFERROR(IF(T352-T351&lt;=0,"",V352/SQRT(Таблица_pr3[[#This Row],[Удельное сопротивление грунта, Ом·м]])),V352/SQRT(Таблица_pr3[[#This Row],[Удельное сопротивление грунта, Ом·м]]))</f>
        <v/>
      </c>
      <c r="Y352" s="53"/>
      <c r="Z352" s="52"/>
      <c r="AA352" s="50"/>
      <c r="AB352" s="61" t="str">
        <f t="shared" si="37"/>
        <v/>
      </c>
      <c r="AC352" s="61" t="str">
        <f>IFERROR(IF(Z352-Z351&lt;=0,"",AB352/SQRT(Таблица_pr4[[#This Row],[Удельное сопротивление грунта, Ом·м]])),AB352/SQRT(Таблица_pr4[[#This Row],[Удельное сопротивление грунта, Ом·м]]))</f>
        <v/>
      </c>
      <c r="AE352" s="53"/>
      <c r="AF352" s="52"/>
      <c r="AG352" s="50"/>
      <c r="AH352" s="61" t="str">
        <f t="shared" si="32"/>
        <v/>
      </c>
      <c r="AI352" s="61" t="str">
        <f>IFERROR(IF(AF352-AF351&lt;=0,"",AH352/SQRT(Таблица_pr5[[#This Row],[Удельное сопротивление грунта, Ом·м]])),AH352/SQRT(Таблица_pr5[[#This Row],[Удельное сопротивление грунта, Ом·м]]))</f>
        <v/>
      </c>
      <c r="AK352" s="53"/>
      <c r="AL352" s="52"/>
      <c r="AM352" s="50"/>
      <c r="AN352" s="61" t="str">
        <f t="shared" si="38"/>
        <v/>
      </c>
      <c r="AO352" s="61" t="str">
        <f>IFERROR(IF(AL352-AL351&lt;=0,"",AN352/SQRT(Таблица_pr6[[#This Row],[Удельное сопротивление грунта, Ом·м]])),AN352/SQRT(Таблица_pr6[[#This Row],[Удельное сопротивление грунта, Ом·м]]))</f>
        <v/>
      </c>
      <c r="AQ352" s="53"/>
      <c r="AR352" s="52"/>
      <c r="AS352" s="50"/>
      <c r="AT352" s="61" t="str">
        <f t="shared" si="33"/>
        <v/>
      </c>
      <c r="AU352" s="61" t="str">
        <f>IFERROR(IF(AR352-AR351&lt;=0,"",AT352/SQRT(Таблица_pr7[[#This Row],[Удельное сопротивление грунта, Ом·м]])),AT352/SQRT(Таблица_pr7[[#This Row],[Удельное сопротивление грунта, Ом·м]]))</f>
        <v/>
      </c>
      <c r="AW352" s="53"/>
      <c r="AX352" s="52"/>
      <c r="AY352" s="50"/>
      <c r="AZ352" s="61" t="str">
        <f t="shared" si="39"/>
        <v/>
      </c>
      <c r="BA352" s="61" t="str">
        <f>IFERROR(IF(AX352-AX351&lt;=0,"",AZ352/SQRT(Таблица_pr8[[#This Row],[Удельное сопротивление грунта, Ом·м]])),AZ352/SQRT(Таблица_pr8[[#This Row],[Удельное сопротивление грунта, Ом·м]]))</f>
        <v/>
      </c>
      <c r="BC352" s="53"/>
      <c r="BD352" s="52"/>
      <c r="BE352" s="50"/>
      <c r="BG352" s="61" t="str">
        <f>IFERROR(IF(BD352-AX371&lt;=0,"",BF352/SQRT(Таблица_pr9[[#This Row],[Удельное сопротивление грунта, Ом·м]])),BF352/SQRT(Таблица_pr9[[#This Row],[Удельное сопротивление грунта, Ом·м]]))</f>
        <v/>
      </c>
      <c r="BI352" s="53"/>
      <c r="BJ352" s="52"/>
      <c r="BK352" s="50"/>
      <c r="BM352" s="61" t="str">
        <f>IFERROR(IF(BJ352-BD381&lt;=0,"",BL352/SQRT(Таблица_pr10[[#This Row],[Удельное сопротивление грунта, Ом·м]])),BL352/SQRT(Таблица_pr10[[#This Row],[Удельное сопротивление грунта, Ом·м]]))</f>
        <v/>
      </c>
    </row>
    <row r="353" spans="1:65">
      <c r="A353" s="51"/>
      <c r="B353" s="52"/>
      <c r="C353" s="50"/>
      <c r="D353" s="61" t="str">
        <f t="shared" si="34"/>
        <v/>
      </c>
      <c r="E353" s="61" t="str">
        <f>IFERROR(IF(B353-B352&lt;=0,"",D353/SQRT(Таблица_pr[[#This Row],[Удельное сопротивление грунта, Ом·м]])),D353/SQRT(Таблица_pr[[#This Row],[Удельное сопротивление грунта, Ом·м]]))</f>
        <v/>
      </c>
      <c r="G353" s="189"/>
      <c r="H353" s="185"/>
      <c r="I353" s="183"/>
      <c r="J353" s="180" t="str">
        <f t="shared" si="35"/>
        <v/>
      </c>
      <c r="K353" s="61" t="str">
        <f>IFERROR(IF(H353-H352&lt;=0,"",J353/SQRT(Таблица_pr1[[#This Row],[Удельное сопротивление грунта, Ом·м]])),J353/SQRT(Таблица_pr1[[#This Row],[Удельное сопротивление грунта, Ом·м]]))</f>
        <v/>
      </c>
      <c r="M353" s="51"/>
      <c r="N353" s="52"/>
      <c r="O353" s="50"/>
      <c r="P353" s="61" t="str">
        <f t="shared" si="36"/>
        <v/>
      </c>
      <c r="Q353" s="61" t="str">
        <f>IFERROR(IF(N353-N352&lt;=0,"",P353/SQRT(Таблица_pr2[[#This Row],[Удельное сопротивление грунта, Ом·м]])),P353/SQRT(Таблица_pr2[[#This Row],[Удельное сопротивление грунта, Ом·м]]))</f>
        <v/>
      </c>
      <c r="S353" s="51"/>
      <c r="T353" s="52"/>
      <c r="U353" s="50"/>
      <c r="V353" s="61" t="str">
        <f t="shared" si="31"/>
        <v/>
      </c>
      <c r="W353" s="61" t="str">
        <f>IFERROR(IF(T353-T352&lt;=0,"",V353/SQRT(Таблица_pr3[[#This Row],[Удельное сопротивление грунта, Ом·м]])),V353/SQRT(Таблица_pr3[[#This Row],[Удельное сопротивление грунта, Ом·м]]))</f>
        <v/>
      </c>
      <c r="Y353" s="51"/>
      <c r="Z353" s="52"/>
      <c r="AA353" s="50"/>
      <c r="AB353" s="61" t="str">
        <f t="shared" si="37"/>
        <v/>
      </c>
      <c r="AC353" s="61" t="str">
        <f>IFERROR(IF(Z353-Z352&lt;=0,"",AB353/SQRT(Таблица_pr4[[#This Row],[Удельное сопротивление грунта, Ом·м]])),AB353/SQRT(Таблица_pr4[[#This Row],[Удельное сопротивление грунта, Ом·м]]))</f>
        <v/>
      </c>
      <c r="AE353" s="51"/>
      <c r="AF353" s="52"/>
      <c r="AG353" s="50"/>
      <c r="AH353" s="61" t="str">
        <f t="shared" si="32"/>
        <v/>
      </c>
      <c r="AI353" s="61" t="str">
        <f>IFERROR(IF(AF353-AF352&lt;=0,"",AH353/SQRT(Таблица_pr5[[#This Row],[Удельное сопротивление грунта, Ом·м]])),AH353/SQRT(Таблица_pr5[[#This Row],[Удельное сопротивление грунта, Ом·м]]))</f>
        <v/>
      </c>
      <c r="AK353" s="51"/>
      <c r="AL353" s="52"/>
      <c r="AM353" s="50"/>
      <c r="AN353" s="61" t="str">
        <f t="shared" si="38"/>
        <v/>
      </c>
      <c r="AO353" s="61" t="str">
        <f>IFERROR(IF(AL353-AL352&lt;=0,"",AN353/SQRT(Таблица_pr6[[#This Row],[Удельное сопротивление грунта, Ом·м]])),AN353/SQRT(Таблица_pr6[[#This Row],[Удельное сопротивление грунта, Ом·м]]))</f>
        <v/>
      </c>
      <c r="AQ353" s="51"/>
      <c r="AR353" s="52"/>
      <c r="AS353" s="50"/>
      <c r="AT353" s="61" t="str">
        <f t="shared" si="33"/>
        <v/>
      </c>
      <c r="AU353" s="61" t="str">
        <f>IFERROR(IF(AR353-AR352&lt;=0,"",AT353/SQRT(Таблица_pr7[[#This Row],[Удельное сопротивление грунта, Ом·м]])),AT353/SQRT(Таблица_pr7[[#This Row],[Удельное сопротивление грунта, Ом·м]]))</f>
        <v/>
      </c>
      <c r="AW353" s="51"/>
      <c r="AX353" s="52"/>
      <c r="AY353" s="50"/>
      <c r="AZ353" s="61" t="str">
        <f t="shared" si="39"/>
        <v/>
      </c>
      <c r="BA353" s="61" t="str">
        <f>IFERROR(IF(AX353-AX352&lt;=0,"",AZ353/SQRT(Таблица_pr8[[#This Row],[Удельное сопротивление грунта, Ом·м]])),AZ353/SQRT(Таблица_pr8[[#This Row],[Удельное сопротивление грунта, Ом·м]]))</f>
        <v/>
      </c>
      <c r="BC353" s="51"/>
      <c r="BD353" s="52"/>
      <c r="BE353" s="50"/>
      <c r="BG353" s="61" t="str">
        <f>IFERROR(IF(BD353-AX372&lt;=0,"",BF353/SQRT(Таблица_pr9[[#This Row],[Удельное сопротивление грунта, Ом·м]])),BF353/SQRT(Таблица_pr9[[#This Row],[Удельное сопротивление грунта, Ом·м]]))</f>
        <v/>
      </c>
      <c r="BI353" s="51"/>
      <c r="BJ353" s="52"/>
      <c r="BK353" s="50"/>
      <c r="BM353" s="61" t="str">
        <f>IFERROR(IF(BJ353-BD382&lt;=0,"",BL353/SQRT(Таблица_pr10[[#This Row],[Удельное сопротивление грунта, Ом·м]])),BL353/SQRT(Таблица_pr10[[#This Row],[Удельное сопротивление грунта, Ом·м]]))</f>
        <v/>
      </c>
    </row>
    <row r="354" spans="1:65">
      <c r="A354" s="53"/>
      <c r="B354" s="52"/>
      <c r="C354" s="50"/>
      <c r="D354" s="61" t="str">
        <f t="shared" si="34"/>
        <v/>
      </c>
      <c r="E354" s="61" t="str">
        <f>IFERROR(IF(B354-B353&lt;=0,"",D354/SQRT(Таблица_pr[[#This Row],[Удельное сопротивление грунта, Ом·м]])),D354/SQRT(Таблица_pr[[#This Row],[Удельное сопротивление грунта, Ом·м]]))</f>
        <v/>
      </c>
      <c r="G354" s="188"/>
      <c r="H354" s="184"/>
      <c r="I354" s="182"/>
      <c r="J354" s="181" t="str">
        <f t="shared" si="35"/>
        <v/>
      </c>
      <c r="K354" s="61" t="str">
        <f>IFERROR(IF(H354-H353&lt;=0,"",J354/SQRT(Таблица_pr1[[#This Row],[Удельное сопротивление грунта, Ом·м]])),J354/SQRT(Таблица_pr1[[#This Row],[Удельное сопротивление грунта, Ом·м]]))</f>
        <v/>
      </c>
      <c r="M354" s="53"/>
      <c r="N354" s="52"/>
      <c r="O354" s="50"/>
      <c r="P354" s="61" t="str">
        <f t="shared" si="36"/>
        <v/>
      </c>
      <c r="Q354" s="61" t="str">
        <f>IFERROR(IF(N354-N353&lt;=0,"",P354/SQRT(Таблица_pr2[[#This Row],[Удельное сопротивление грунта, Ом·м]])),P354/SQRT(Таблица_pr2[[#This Row],[Удельное сопротивление грунта, Ом·м]]))</f>
        <v/>
      </c>
      <c r="S354" s="53"/>
      <c r="T354" s="52"/>
      <c r="U354" s="50"/>
      <c r="V354" s="61" t="str">
        <f t="shared" si="31"/>
        <v/>
      </c>
      <c r="W354" s="61" t="str">
        <f>IFERROR(IF(T354-T353&lt;=0,"",V354/SQRT(Таблица_pr3[[#This Row],[Удельное сопротивление грунта, Ом·м]])),V354/SQRT(Таблица_pr3[[#This Row],[Удельное сопротивление грунта, Ом·м]]))</f>
        <v/>
      </c>
      <c r="Y354" s="53"/>
      <c r="Z354" s="52"/>
      <c r="AA354" s="50"/>
      <c r="AB354" s="61" t="str">
        <f t="shared" si="37"/>
        <v/>
      </c>
      <c r="AC354" s="61" t="str">
        <f>IFERROR(IF(Z354-Z353&lt;=0,"",AB354/SQRT(Таблица_pr4[[#This Row],[Удельное сопротивление грунта, Ом·м]])),AB354/SQRT(Таблица_pr4[[#This Row],[Удельное сопротивление грунта, Ом·м]]))</f>
        <v/>
      </c>
      <c r="AE354" s="53"/>
      <c r="AF354" s="52"/>
      <c r="AG354" s="50"/>
      <c r="AH354" s="61" t="str">
        <f t="shared" si="32"/>
        <v/>
      </c>
      <c r="AI354" s="61" t="str">
        <f>IFERROR(IF(AF354-AF353&lt;=0,"",AH354/SQRT(Таблица_pr5[[#This Row],[Удельное сопротивление грунта, Ом·м]])),AH354/SQRT(Таблица_pr5[[#This Row],[Удельное сопротивление грунта, Ом·м]]))</f>
        <v/>
      </c>
      <c r="AK354" s="53"/>
      <c r="AL354" s="52"/>
      <c r="AM354" s="50"/>
      <c r="AN354" s="61" t="str">
        <f t="shared" si="38"/>
        <v/>
      </c>
      <c r="AO354" s="61" t="str">
        <f>IFERROR(IF(AL354-AL353&lt;=0,"",AN354/SQRT(Таблица_pr6[[#This Row],[Удельное сопротивление грунта, Ом·м]])),AN354/SQRT(Таблица_pr6[[#This Row],[Удельное сопротивление грунта, Ом·м]]))</f>
        <v/>
      </c>
      <c r="AQ354" s="53"/>
      <c r="AR354" s="52"/>
      <c r="AS354" s="50"/>
      <c r="AT354" s="61" t="str">
        <f t="shared" si="33"/>
        <v/>
      </c>
      <c r="AU354" s="61" t="str">
        <f>IFERROR(IF(AR354-AR353&lt;=0,"",AT354/SQRT(Таблица_pr7[[#This Row],[Удельное сопротивление грунта, Ом·м]])),AT354/SQRT(Таблица_pr7[[#This Row],[Удельное сопротивление грунта, Ом·м]]))</f>
        <v/>
      </c>
      <c r="AW354" s="53"/>
      <c r="AX354" s="52"/>
      <c r="AY354" s="50"/>
      <c r="AZ354" s="61" t="str">
        <f t="shared" si="39"/>
        <v/>
      </c>
      <c r="BA354" s="61" t="str">
        <f>IFERROR(IF(AX354-AX353&lt;=0,"",AZ354/SQRT(Таблица_pr8[[#This Row],[Удельное сопротивление грунта, Ом·м]])),AZ354/SQRT(Таблица_pr8[[#This Row],[Удельное сопротивление грунта, Ом·м]]))</f>
        <v/>
      </c>
      <c r="BC354" s="53"/>
      <c r="BD354" s="52"/>
      <c r="BE354" s="50"/>
      <c r="BF354" s="61" t="str">
        <f t="shared" ref="BF354:BF383" si="40">IFERROR(IF(BD354-BD353&lt;=0,"",(BD354-BD353)*1000),100)</f>
        <v/>
      </c>
      <c r="BG354" s="61" t="str">
        <f>IFERROR(IF(BD354-AX373&lt;=0,"",BF354/SQRT(Таблица_pr9[[#This Row],[Удельное сопротивление грунта, Ом·м]])),BF354/SQRT(Таблица_pr9[[#This Row],[Удельное сопротивление грунта, Ом·м]]))</f>
        <v/>
      </c>
      <c r="BI354" s="53"/>
      <c r="BJ354" s="52"/>
      <c r="BK354" s="50"/>
      <c r="BM354" s="61" t="str">
        <f>IFERROR(IF(BJ354-BD383&lt;=0,"",BL354/SQRT(Таблица_pr10[[#This Row],[Удельное сопротивление грунта, Ом·м]])),BL354/SQRT(Таблица_pr10[[#This Row],[Удельное сопротивление грунта, Ом·м]]))</f>
        <v/>
      </c>
    </row>
    <row r="355" spans="1:65">
      <c r="A355" s="51"/>
      <c r="B355" s="52"/>
      <c r="C355" s="50"/>
      <c r="D355" s="61" t="str">
        <f t="shared" si="34"/>
        <v/>
      </c>
      <c r="E355" s="61" t="str">
        <f>IFERROR(IF(B355-B354&lt;=0,"",D355/SQRT(Таблица_pr[[#This Row],[Удельное сопротивление грунта, Ом·м]])),D355/SQRT(Таблица_pr[[#This Row],[Удельное сопротивление грунта, Ом·м]]))</f>
        <v/>
      </c>
      <c r="G355" s="189"/>
      <c r="H355" s="185"/>
      <c r="I355" s="183"/>
      <c r="J355" s="180" t="str">
        <f t="shared" si="35"/>
        <v/>
      </c>
      <c r="K355" s="61" t="str">
        <f>IFERROR(IF(H355-H354&lt;=0,"",J355/SQRT(Таблица_pr1[[#This Row],[Удельное сопротивление грунта, Ом·м]])),J355/SQRT(Таблица_pr1[[#This Row],[Удельное сопротивление грунта, Ом·м]]))</f>
        <v/>
      </c>
      <c r="M355" s="51"/>
      <c r="N355" s="52"/>
      <c r="O355" s="50"/>
      <c r="P355" s="61" t="str">
        <f t="shared" si="36"/>
        <v/>
      </c>
      <c r="Q355" s="61" t="str">
        <f>IFERROR(IF(N355-N354&lt;=0,"",P355/SQRT(Таблица_pr2[[#This Row],[Удельное сопротивление грунта, Ом·м]])),P355/SQRT(Таблица_pr2[[#This Row],[Удельное сопротивление грунта, Ом·м]]))</f>
        <v/>
      </c>
      <c r="S355" s="51"/>
      <c r="T355" s="52"/>
      <c r="U355" s="50"/>
      <c r="V355" s="61" t="str">
        <f t="shared" si="31"/>
        <v/>
      </c>
      <c r="W355" s="61" t="str">
        <f>IFERROR(IF(T355-T354&lt;=0,"",V355/SQRT(Таблица_pr3[[#This Row],[Удельное сопротивление грунта, Ом·м]])),V355/SQRT(Таблица_pr3[[#This Row],[Удельное сопротивление грунта, Ом·м]]))</f>
        <v/>
      </c>
      <c r="Y355" s="51"/>
      <c r="Z355" s="52"/>
      <c r="AA355" s="50"/>
      <c r="AB355" s="61" t="str">
        <f t="shared" si="37"/>
        <v/>
      </c>
      <c r="AC355" s="61" t="str">
        <f>IFERROR(IF(Z355-Z354&lt;=0,"",AB355/SQRT(Таблица_pr4[[#This Row],[Удельное сопротивление грунта, Ом·м]])),AB355/SQRT(Таблица_pr4[[#This Row],[Удельное сопротивление грунта, Ом·м]]))</f>
        <v/>
      </c>
      <c r="AE355" s="51"/>
      <c r="AF355" s="52"/>
      <c r="AG355" s="50"/>
      <c r="AH355" s="61" t="str">
        <f t="shared" si="32"/>
        <v/>
      </c>
      <c r="AI355" s="61" t="str">
        <f>IFERROR(IF(AF355-AF354&lt;=0,"",AH355/SQRT(Таблица_pr5[[#This Row],[Удельное сопротивление грунта, Ом·м]])),AH355/SQRT(Таблица_pr5[[#This Row],[Удельное сопротивление грунта, Ом·м]]))</f>
        <v/>
      </c>
      <c r="AK355" s="51"/>
      <c r="AL355" s="52"/>
      <c r="AM355" s="50"/>
      <c r="AN355" s="61" t="str">
        <f t="shared" si="38"/>
        <v/>
      </c>
      <c r="AO355" s="61" t="str">
        <f>IFERROR(IF(AL355-AL354&lt;=0,"",AN355/SQRT(Таблица_pr6[[#This Row],[Удельное сопротивление грунта, Ом·м]])),AN355/SQRT(Таблица_pr6[[#This Row],[Удельное сопротивление грунта, Ом·м]]))</f>
        <v/>
      </c>
      <c r="AQ355" s="51"/>
      <c r="AR355" s="52"/>
      <c r="AS355" s="50"/>
      <c r="AT355" s="61" t="str">
        <f t="shared" si="33"/>
        <v/>
      </c>
      <c r="AU355" s="61" t="str">
        <f>IFERROR(IF(AR355-AR354&lt;=0,"",AT355/SQRT(Таблица_pr7[[#This Row],[Удельное сопротивление грунта, Ом·м]])),AT355/SQRT(Таблица_pr7[[#This Row],[Удельное сопротивление грунта, Ом·м]]))</f>
        <v/>
      </c>
      <c r="AW355" s="51"/>
      <c r="AX355" s="52"/>
      <c r="AY355" s="50"/>
      <c r="AZ355" s="61" t="str">
        <f t="shared" si="39"/>
        <v/>
      </c>
      <c r="BA355" s="61" t="str">
        <f>IFERROR(IF(AX355-AX354&lt;=0,"",AZ355/SQRT(Таблица_pr8[[#This Row],[Удельное сопротивление грунта, Ом·м]])),AZ355/SQRT(Таблица_pr8[[#This Row],[Удельное сопротивление грунта, Ом·м]]))</f>
        <v/>
      </c>
      <c r="BC355" s="51"/>
      <c r="BD355" s="52"/>
      <c r="BE355" s="50"/>
      <c r="BF355" s="61" t="str">
        <f t="shared" si="40"/>
        <v/>
      </c>
      <c r="BG355" s="61" t="str">
        <f>IFERROR(IF(BD355-AX374&lt;=0,"",BF355/SQRT(Таблица_pr9[[#This Row],[Удельное сопротивление грунта, Ом·м]])),BF355/SQRT(Таблица_pr9[[#This Row],[Удельное сопротивление грунта, Ом·м]]))</f>
        <v/>
      </c>
      <c r="BI355" s="51"/>
      <c r="BJ355" s="52"/>
      <c r="BK355" s="50"/>
      <c r="BM355" s="61" t="str">
        <f>IFERROR(IF(BJ355-BD384&lt;=0,"",BL355/SQRT(Таблица_pr10[[#This Row],[Удельное сопротивление грунта, Ом·м]])),BL355/SQRT(Таблица_pr10[[#This Row],[Удельное сопротивление грунта, Ом·м]]))</f>
        <v/>
      </c>
    </row>
    <row r="356" spans="1:65">
      <c r="A356" s="53"/>
      <c r="B356" s="52"/>
      <c r="C356" s="50"/>
      <c r="D356" s="61" t="str">
        <f t="shared" si="34"/>
        <v/>
      </c>
      <c r="E356" s="61" t="str">
        <f>IFERROR(IF(B356-B355&lt;=0,"",D356/SQRT(Таблица_pr[[#This Row],[Удельное сопротивление грунта, Ом·м]])),D356/SQRT(Таблица_pr[[#This Row],[Удельное сопротивление грунта, Ом·м]]))</f>
        <v/>
      </c>
      <c r="G356" s="188"/>
      <c r="H356" s="184"/>
      <c r="I356" s="182"/>
      <c r="J356" s="181" t="str">
        <f t="shared" si="35"/>
        <v/>
      </c>
      <c r="K356" s="61" t="str">
        <f>IFERROR(IF(H356-H355&lt;=0,"",J356/SQRT(Таблица_pr1[[#This Row],[Удельное сопротивление грунта, Ом·м]])),J356/SQRT(Таблица_pr1[[#This Row],[Удельное сопротивление грунта, Ом·м]]))</f>
        <v/>
      </c>
      <c r="M356" s="53"/>
      <c r="N356" s="52"/>
      <c r="O356" s="50"/>
      <c r="P356" s="61" t="str">
        <f t="shared" si="36"/>
        <v/>
      </c>
      <c r="Q356" s="61" t="str">
        <f>IFERROR(IF(N356-N355&lt;=0,"",P356/SQRT(Таблица_pr2[[#This Row],[Удельное сопротивление грунта, Ом·м]])),P356/SQRT(Таблица_pr2[[#This Row],[Удельное сопротивление грунта, Ом·м]]))</f>
        <v/>
      </c>
      <c r="S356" s="53"/>
      <c r="T356" s="52"/>
      <c r="U356" s="50"/>
      <c r="V356" s="61" t="str">
        <f t="shared" si="31"/>
        <v/>
      </c>
      <c r="W356" s="61" t="str">
        <f>IFERROR(IF(T356-T355&lt;=0,"",V356/SQRT(Таблица_pr3[[#This Row],[Удельное сопротивление грунта, Ом·м]])),V356/SQRT(Таблица_pr3[[#This Row],[Удельное сопротивление грунта, Ом·м]]))</f>
        <v/>
      </c>
      <c r="Y356" s="53"/>
      <c r="Z356" s="52"/>
      <c r="AA356" s="50"/>
      <c r="AB356" s="61" t="str">
        <f t="shared" si="37"/>
        <v/>
      </c>
      <c r="AC356" s="61" t="str">
        <f>IFERROR(IF(Z356-Z355&lt;=0,"",AB356/SQRT(Таблица_pr4[[#This Row],[Удельное сопротивление грунта, Ом·м]])),AB356/SQRT(Таблица_pr4[[#This Row],[Удельное сопротивление грунта, Ом·м]]))</f>
        <v/>
      </c>
      <c r="AE356" s="53"/>
      <c r="AF356" s="52"/>
      <c r="AG356" s="50"/>
      <c r="AH356" s="61" t="str">
        <f t="shared" si="32"/>
        <v/>
      </c>
      <c r="AI356" s="61" t="str">
        <f>IFERROR(IF(AF356-AF355&lt;=0,"",AH356/SQRT(Таблица_pr5[[#This Row],[Удельное сопротивление грунта, Ом·м]])),AH356/SQRT(Таблица_pr5[[#This Row],[Удельное сопротивление грунта, Ом·м]]))</f>
        <v/>
      </c>
      <c r="AK356" s="53"/>
      <c r="AL356" s="52"/>
      <c r="AM356" s="50"/>
      <c r="AN356" s="61" t="str">
        <f t="shared" si="38"/>
        <v/>
      </c>
      <c r="AO356" s="61" t="str">
        <f>IFERROR(IF(AL356-AL355&lt;=0,"",AN356/SQRT(Таблица_pr6[[#This Row],[Удельное сопротивление грунта, Ом·м]])),AN356/SQRT(Таблица_pr6[[#This Row],[Удельное сопротивление грунта, Ом·м]]))</f>
        <v/>
      </c>
      <c r="AQ356" s="53"/>
      <c r="AR356" s="52"/>
      <c r="AS356" s="50"/>
      <c r="AT356" s="61" t="str">
        <f t="shared" si="33"/>
        <v/>
      </c>
      <c r="AU356" s="61" t="str">
        <f>IFERROR(IF(AR356-AR355&lt;=0,"",AT356/SQRT(Таблица_pr7[[#This Row],[Удельное сопротивление грунта, Ом·м]])),AT356/SQRT(Таблица_pr7[[#This Row],[Удельное сопротивление грунта, Ом·м]]))</f>
        <v/>
      </c>
      <c r="AW356" s="53"/>
      <c r="AX356" s="52"/>
      <c r="AY356" s="50"/>
      <c r="AZ356" s="61" t="str">
        <f t="shared" si="39"/>
        <v/>
      </c>
      <c r="BA356" s="61" t="str">
        <f>IFERROR(IF(AX356-AX355&lt;=0,"",AZ356/SQRT(Таблица_pr8[[#This Row],[Удельное сопротивление грунта, Ом·м]])),AZ356/SQRT(Таблица_pr8[[#This Row],[Удельное сопротивление грунта, Ом·м]]))</f>
        <v/>
      </c>
      <c r="BC356" s="53"/>
      <c r="BD356" s="52"/>
      <c r="BE356" s="50"/>
      <c r="BF356" s="61" t="str">
        <f t="shared" si="40"/>
        <v/>
      </c>
      <c r="BG356" s="61" t="str">
        <f>IFERROR(IF(BD356-AX375&lt;=0,"",BF356/SQRT(Таблица_pr9[[#This Row],[Удельное сопротивление грунта, Ом·м]])),BF356/SQRT(Таблица_pr9[[#This Row],[Удельное сопротивление грунта, Ом·м]]))</f>
        <v/>
      </c>
      <c r="BI356" s="53"/>
      <c r="BJ356" s="52"/>
      <c r="BK356" s="50"/>
      <c r="BM356" s="61" t="str">
        <f>IFERROR(IF(BJ356-BD385&lt;=0,"",BL356/SQRT(Таблица_pr10[[#This Row],[Удельное сопротивление грунта, Ом·м]])),BL356/SQRT(Таблица_pr10[[#This Row],[Удельное сопротивление грунта, Ом·м]]))</f>
        <v/>
      </c>
    </row>
    <row r="357" spans="1:65">
      <c r="A357" s="51"/>
      <c r="B357" s="52"/>
      <c r="C357" s="50"/>
      <c r="D357" s="61" t="str">
        <f t="shared" si="34"/>
        <v/>
      </c>
      <c r="E357" s="61" t="str">
        <f>IFERROR(IF(B357-B356&lt;=0,"",D357/SQRT(Таблица_pr[[#This Row],[Удельное сопротивление грунта, Ом·м]])),D357/SQRT(Таблица_pr[[#This Row],[Удельное сопротивление грунта, Ом·м]]))</f>
        <v/>
      </c>
      <c r="G357" s="189"/>
      <c r="H357" s="185"/>
      <c r="I357" s="183"/>
      <c r="J357" s="180" t="str">
        <f t="shared" si="35"/>
        <v/>
      </c>
      <c r="K357" s="61" t="str">
        <f>IFERROR(IF(H357-H356&lt;=0,"",J357/SQRT(Таблица_pr1[[#This Row],[Удельное сопротивление грунта, Ом·м]])),J357/SQRT(Таблица_pr1[[#This Row],[Удельное сопротивление грунта, Ом·м]]))</f>
        <v/>
      </c>
      <c r="M357" s="51"/>
      <c r="N357" s="52"/>
      <c r="O357" s="50"/>
      <c r="P357" s="61" t="str">
        <f t="shared" si="36"/>
        <v/>
      </c>
      <c r="Q357" s="61" t="str">
        <f>IFERROR(IF(N357-N356&lt;=0,"",P357/SQRT(Таблица_pr2[[#This Row],[Удельное сопротивление грунта, Ом·м]])),P357/SQRT(Таблица_pr2[[#This Row],[Удельное сопротивление грунта, Ом·м]]))</f>
        <v/>
      </c>
      <c r="S357" s="51"/>
      <c r="T357" s="52"/>
      <c r="U357" s="50"/>
      <c r="V357" s="61" t="str">
        <f t="shared" si="31"/>
        <v/>
      </c>
      <c r="W357" s="61" t="str">
        <f>IFERROR(IF(T357-T356&lt;=0,"",V357/SQRT(Таблица_pr3[[#This Row],[Удельное сопротивление грунта, Ом·м]])),V357/SQRT(Таблица_pr3[[#This Row],[Удельное сопротивление грунта, Ом·м]]))</f>
        <v/>
      </c>
      <c r="Y357" s="51"/>
      <c r="Z357" s="52"/>
      <c r="AA357" s="50"/>
      <c r="AB357" s="61" t="str">
        <f t="shared" si="37"/>
        <v/>
      </c>
      <c r="AC357" s="61" t="str">
        <f>IFERROR(IF(Z357-Z356&lt;=0,"",AB357/SQRT(Таблица_pr4[[#This Row],[Удельное сопротивление грунта, Ом·м]])),AB357/SQRT(Таблица_pr4[[#This Row],[Удельное сопротивление грунта, Ом·м]]))</f>
        <v/>
      </c>
      <c r="AE357" s="51"/>
      <c r="AF357" s="52"/>
      <c r="AG357" s="50"/>
      <c r="AH357" s="61" t="str">
        <f t="shared" si="32"/>
        <v/>
      </c>
      <c r="AI357" s="61" t="str">
        <f>IFERROR(IF(AF357-AF356&lt;=0,"",AH357/SQRT(Таблица_pr5[[#This Row],[Удельное сопротивление грунта, Ом·м]])),AH357/SQRT(Таблица_pr5[[#This Row],[Удельное сопротивление грунта, Ом·м]]))</f>
        <v/>
      </c>
      <c r="AK357" s="51"/>
      <c r="AL357" s="52"/>
      <c r="AM357" s="50"/>
      <c r="AN357" s="61" t="str">
        <f t="shared" si="38"/>
        <v/>
      </c>
      <c r="AO357" s="61" t="str">
        <f>IFERROR(IF(AL357-AL356&lt;=0,"",AN357/SQRT(Таблица_pr6[[#This Row],[Удельное сопротивление грунта, Ом·м]])),AN357/SQRT(Таблица_pr6[[#This Row],[Удельное сопротивление грунта, Ом·м]]))</f>
        <v/>
      </c>
      <c r="AQ357" s="51"/>
      <c r="AR357" s="52"/>
      <c r="AS357" s="50"/>
      <c r="AT357" s="61" t="str">
        <f t="shared" si="33"/>
        <v/>
      </c>
      <c r="AU357" s="61" t="str">
        <f>IFERROR(IF(AR357-AR356&lt;=0,"",AT357/SQRT(Таблица_pr7[[#This Row],[Удельное сопротивление грунта, Ом·м]])),AT357/SQRT(Таблица_pr7[[#This Row],[Удельное сопротивление грунта, Ом·м]]))</f>
        <v/>
      </c>
      <c r="AW357" s="51"/>
      <c r="AX357" s="52"/>
      <c r="AY357" s="50"/>
      <c r="AZ357" s="61" t="str">
        <f t="shared" si="39"/>
        <v/>
      </c>
      <c r="BA357" s="61" t="str">
        <f>IFERROR(IF(AX357-AX356&lt;=0,"",AZ357/SQRT(Таблица_pr8[[#This Row],[Удельное сопротивление грунта, Ом·м]])),AZ357/SQRT(Таблица_pr8[[#This Row],[Удельное сопротивление грунта, Ом·м]]))</f>
        <v/>
      </c>
      <c r="BC357" s="51"/>
      <c r="BD357" s="52"/>
      <c r="BE357" s="50"/>
      <c r="BF357" s="61" t="str">
        <f t="shared" si="40"/>
        <v/>
      </c>
      <c r="BG357" s="61" t="str">
        <f>IFERROR(IF(BD357-AX376&lt;=0,"",BF357/SQRT(Таблица_pr9[[#This Row],[Удельное сопротивление грунта, Ом·м]])),BF357/SQRT(Таблица_pr9[[#This Row],[Удельное сопротивление грунта, Ом·м]]))</f>
        <v/>
      </c>
      <c r="BI357" s="51"/>
      <c r="BJ357" s="52"/>
      <c r="BK357" s="50"/>
      <c r="BM357" s="61" t="str">
        <f>IFERROR(IF(BJ357-BD386&lt;=0,"",BL357/SQRT(Таблица_pr10[[#This Row],[Удельное сопротивление грунта, Ом·м]])),BL357/SQRT(Таблица_pr10[[#This Row],[Удельное сопротивление грунта, Ом·м]]))</f>
        <v/>
      </c>
    </row>
    <row r="358" spans="1:65">
      <c r="A358" s="53"/>
      <c r="B358" s="52"/>
      <c r="C358" s="50"/>
      <c r="D358" s="61" t="str">
        <f t="shared" si="34"/>
        <v/>
      </c>
      <c r="E358" s="61" t="str">
        <f>IFERROR(IF(B358-B357&lt;=0,"",D358/SQRT(Таблица_pr[[#This Row],[Удельное сопротивление грунта, Ом·м]])),D358/SQRT(Таблица_pr[[#This Row],[Удельное сопротивление грунта, Ом·м]]))</f>
        <v/>
      </c>
      <c r="G358" s="188"/>
      <c r="H358" s="184"/>
      <c r="I358" s="182"/>
      <c r="J358" s="181" t="str">
        <f t="shared" si="35"/>
        <v/>
      </c>
      <c r="K358" s="61" t="str">
        <f>IFERROR(IF(H358-H357&lt;=0,"",J358/SQRT(Таблица_pr1[[#This Row],[Удельное сопротивление грунта, Ом·м]])),J358/SQRT(Таблица_pr1[[#This Row],[Удельное сопротивление грунта, Ом·м]]))</f>
        <v/>
      </c>
      <c r="M358" s="53"/>
      <c r="N358" s="52"/>
      <c r="O358" s="50"/>
      <c r="P358" s="61" t="str">
        <f t="shared" si="36"/>
        <v/>
      </c>
      <c r="Q358" s="61" t="str">
        <f>IFERROR(IF(N358-N357&lt;=0,"",P358/SQRT(Таблица_pr2[[#This Row],[Удельное сопротивление грунта, Ом·м]])),P358/SQRT(Таблица_pr2[[#This Row],[Удельное сопротивление грунта, Ом·м]]))</f>
        <v/>
      </c>
      <c r="S358" s="53"/>
      <c r="T358" s="52"/>
      <c r="U358" s="50"/>
      <c r="V358" s="61" t="str">
        <f t="shared" si="31"/>
        <v/>
      </c>
      <c r="W358" s="61" t="str">
        <f>IFERROR(IF(T358-T357&lt;=0,"",V358/SQRT(Таблица_pr3[[#This Row],[Удельное сопротивление грунта, Ом·м]])),V358/SQRT(Таблица_pr3[[#This Row],[Удельное сопротивление грунта, Ом·м]]))</f>
        <v/>
      </c>
      <c r="Y358" s="53"/>
      <c r="Z358" s="52"/>
      <c r="AA358" s="50"/>
      <c r="AB358" s="61" t="str">
        <f t="shared" si="37"/>
        <v/>
      </c>
      <c r="AC358" s="61" t="str">
        <f>IFERROR(IF(Z358-Z357&lt;=0,"",AB358/SQRT(Таблица_pr4[[#This Row],[Удельное сопротивление грунта, Ом·м]])),AB358/SQRT(Таблица_pr4[[#This Row],[Удельное сопротивление грунта, Ом·м]]))</f>
        <v/>
      </c>
      <c r="AE358" s="53"/>
      <c r="AF358" s="52"/>
      <c r="AG358" s="50"/>
      <c r="AH358" s="61" t="str">
        <f t="shared" si="32"/>
        <v/>
      </c>
      <c r="AI358" s="61" t="str">
        <f>IFERROR(IF(AF358-AF357&lt;=0,"",AH358/SQRT(Таблица_pr5[[#This Row],[Удельное сопротивление грунта, Ом·м]])),AH358/SQRT(Таблица_pr5[[#This Row],[Удельное сопротивление грунта, Ом·м]]))</f>
        <v/>
      </c>
      <c r="AK358" s="53"/>
      <c r="AL358" s="52"/>
      <c r="AM358" s="50"/>
      <c r="AN358" s="61" t="str">
        <f t="shared" si="38"/>
        <v/>
      </c>
      <c r="AO358" s="61" t="str">
        <f>IFERROR(IF(AL358-AL357&lt;=0,"",AN358/SQRT(Таблица_pr6[[#This Row],[Удельное сопротивление грунта, Ом·м]])),AN358/SQRT(Таблица_pr6[[#This Row],[Удельное сопротивление грунта, Ом·м]]))</f>
        <v/>
      </c>
      <c r="AQ358" s="53"/>
      <c r="AR358" s="52"/>
      <c r="AS358" s="50"/>
      <c r="AT358" s="61" t="str">
        <f t="shared" si="33"/>
        <v/>
      </c>
      <c r="AU358" s="61" t="str">
        <f>IFERROR(IF(AR358-AR357&lt;=0,"",AT358/SQRT(Таблица_pr7[[#This Row],[Удельное сопротивление грунта, Ом·м]])),AT358/SQRT(Таблица_pr7[[#This Row],[Удельное сопротивление грунта, Ом·м]]))</f>
        <v/>
      </c>
      <c r="AW358" s="53"/>
      <c r="AX358" s="52"/>
      <c r="AY358" s="50"/>
      <c r="AZ358" s="61" t="str">
        <f t="shared" si="39"/>
        <v/>
      </c>
      <c r="BA358" s="61" t="str">
        <f>IFERROR(IF(AX358-AX357&lt;=0,"",AZ358/SQRT(Таблица_pr8[[#This Row],[Удельное сопротивление грунта, Ом·м]])),AZ358/SQRT(Таблица_pr8[[#This Row],[Удельное сопротивление грунта, Ом·м]]))</f>
        <v/>
      </c>
      <c r="BC358" s="53"/>
      <c r="BD358" s="52"/>
      <c r="BE358" s="50"/>
      <c r="BF358" s="61" t="str">
        <f t="shared" si="40"/>
        <v/>
      </c>
      <c r="BG358" s="61" t="str">
        <f>IFERROR(IF(BD358-AX377&lt;=0,"",BF358/SQRT(Таблица_pr9[[#This Row],[Удельное сопротивление грунта, Ом·м]])),BF358/SQRT(Таблица_pr9[[#This Row],[Удельное сопротивление грунта, Ом·м]]))</f>
        <v/>
      </c>
      <c r="BI358" s="53"/>
      <c r="BJ358" s="52"/>
      <c r="BK358" s="50"/>
      <c r="BM358" s="61" t="str">
        <f>IFERROR(IF(BJ358-BD387&lt;=0,"",BL358/SQRT(Таблица_pr10[[#This Row],[Удельное сопротивление грунта, Ом·м]])),BL358/SQRT(Таблица_pr10[[#This Row],[Удельное сопротивление грунта, Ом·м]]))</f>
        <v/>
      </c>
    </row>
    <row r="359" spans="1:65">
      <c r="A359" s="51"/>
      <c r="B359" s="52"/>
      <c r="C359" s="50"/>
      <c r="D359" s="61" t="str">
        <f t="shared" si="34"/>
        <v/>
      </c>
      <c r="E359" s="61" t="str">
        <f>IFERROR(IF(B359-B358&lt;=0,"",D359/SQRT(Таблица_pr[[#This Row],[Удельное сопротивление грунта, Ом·м]])),D359/SQRT(Таблица_pr[[#This Row],[Удельное сопротивление грунта, Ом·м]]))</f>
        <v/>
      </c>
      <c r="G359" s="189"/>
      <c r="H359" s="185"/>
      <c r="I359" s="183"/>
      <c r="J359" s="180" t="str">
        <f t="shared" si="35"/>
        <v/>
      </c>
      <c r="K359" s="61" t="str">
        <f>IFERROR(IF(H359-H358&lt;=0,"",J359/SQRT(Таблица_pr1[[#This Row],[Удельное сопротивление грунта, Ом·м]])),J359/SQRT(Таблица_pr1[[#This Row],[Удельное сопротивление грунта, Ом·м]]))</f>
        <v/>
      </c>
      <c r="M359" s="51"/>
      <c r="N359" s="52"/>
      <c r="O359" s="50"/>
      <c r="P359" s="61" t="str">
        <f t="shared" si="36"/>
        <v/>
      </c>
      <c r="Q359" s="61" t="str">
        <f>IFERROR(IF(N359-N358&lt;=0,"",P359/SQRT(Таблица_pr2[[#This Row],[Удельное сопротивление грунта, Ом·м]])),P359/SQRT(Таблица_pr2[[#This Row],[Удельное сопротивление грунта, Ом·м]]))</f>
        <v/>
      </c>
      <c r="S359" s="51"/>
      <c r="T359" s="52"/>
      <c r="U359" s="50"/>
      <c r="V359" s="61" t="str">
        <f t="shared" si="31"/>
        <v/>
      </c>
      <c r="W359" s="61" t="str">
        <f>IFERROR(IF(T359-T358&lt;=0,"",V359/SQRT(Таблица_pr3[[#This Row],[Удельное сопротивление грунта, Ом·м]])),V359/SQRT(Таблица_pr3[[#This Row],[Удельное сопротивление грунта, Ом·м]]))</f>
        <v/>
      </c>
      <c r="Y359" s="51"/>
      <c r="Z359" s="52"/>
      <c r="AA359" s="50"/>
      <c r="AB359" s="61" t="str">
        <f t="shared" si="37"/>
        <v/>
      </c>
      <c r="AC359" s="61" t="str">
        <f>IFERROR(IF(Z359-Z358&lt;=0,"",AB359/SQRT(Таблица_pr4[[#This Row],[Удельное сопротивление грунта, Ом·м]])),AB359/SQRT(Таблица_pr4[[#This Row],[Удельное сопротивление грунта, Ом·м]]))</f>
        <v/>
      </c>
      <c r="AE359" s="51"/>
      <c r="AF359" s="52"/>
      <c r="AG359" s="50"/>
      <c r="AH359" s="61" t="str">
        <f t="shared" si="32"/>
        <v/>
      </c>
      <c r="AI359" s="61" t="str">
        <f>IFERROR(IF(AF359-AF358&lt;=0,"",AH359/SQRT(Таблица_pr5[[#This Row],[Удельное сопротивление грунта, Ом·м]])),AH359/SQRT(Таблица_pr5[[#This Row],[Удельное сопротивление грунта, Ом·м]]))</f>
        <v/>
      </c>
      <c r="AK359" s="51"/>
      <c r="AL359" s="52"/>
      <c r="AM359" s="50"/>
      <c r="AN359" s="61" t="str">
        <f t="shared" si="38"/>
        <v/>
      </c>
      <c r="AO359" s="61" t="str">
        <f>IFERROR(IF(AL359-AL358&lt;=0,"",AN359/SQRT(Таблица_pr6[[#This Row],[Удельное сопротивление грунта, Ом·м]])),AN359/SQRT(Таблица_pr6[[#This Row],[Удельное сопротивление грунта, Ом·м]]))</f>
        <v/>
      </c>
      <c r="AQ359" s="51"/>
      <c r="AR359" s="52"/>
      <c r="AS359" s="50"/>
      <c r="AT359" s="61" t="str">
        <f t="shared" si="33"/>
        <v/>
      </c>
      <c r="AU359" s="61" t="str">
        <f>IFERROR(IF(AR359-AR358&lt;=0,"",AT359/SQRT(Таблица_pr7[[#This Row],[Удельное сопротивление грунта, Ом·м]])),AT359/SQRT(Таблица_pr7[[#This Row],[Удельное сопротивление грунта, Ом·м]]))</f>
        <v/>
      </c>
      <c r="AW359" s="51"/>
      <c r="AX359" s="52"/>
      <c r="AY359" s="50"/>
      <c r="AZ359" s="61" t="str">
        <f t="shared" si="39"/>
        <v/>
      </c>
      <c r="BA359" s="61" t="str">
        <f>IFERROR(IF(AX359-AX358&lt;=0,"",AZ359/SQRT(Таблица_pr8[[#This Row],[Удельное сопротивление грунта, Ом·м]])),AZ359/SQRT(Таблица_pr8[[#This Row],[Удельное сопротивление грунта, Ом·м]]))</f>
        <v/>
      </c>
      <c r="BC359" s="51"/>
      <c r="BD359" s="52"/>
      <c r="BE359" s="50"/>
      <c r="BF359" s="61" t="str">
        <f t="shared" si="40"/>
        <v/>
      </c>
      <c r="BG359" s="61" t="str">
        <f>IFERROR(IF(BD359-AX378&lt;=0,"",BF359/SQRT(Таблица_pr9[[#This Row],[Удельное сопротивление грунта, Ом·м]])),BF359/SQRT(Таблица_pr9[[#This Row],[Удельное сопротивление грунта, Ом·м]]))</f>
        <v/>
      </c>
      <c r="BI359" s="51"/>
      <c r="BJ359" s="52"/>
      <c r="BK359" s="50"/>
      <c r="BM359" s="61" t="str">
        <f>IFERROR(IF(BJ359-BD388&lt;=0,"",BL359/SQRT(Таблица_pr10[[#This Row],[Удельное сопротивление грунта, Ом·м]])),BL359/SQRT(Таблица_pr10[[#This Row],[Удельное сопротивление грунта, Ом·м]]))</f>
        <v/>
      </c>
    </row>
    <row r="360" spans="1:65">
      <c r="A360" s="53"/>
      <c r="B360" s="52"/>
      <c r="C360" s="50"/>
      <c r="D360" s="61" t="str">
        <f t="shared" si="34"/>
        <v/>
      </c>
      <c r="E360" s="61" t="str">
        <f>IFERROR(IF(B360-B359&lt;=0,"",D360/SQRT(Таблица_pr[[#This Row],[Удельное сопротивление грунта, Ом·м]])),D360/SQRT(Таблица_pr[[#This Row],[Удельное сопротивление грунта, Ом·м]]))</f>
        <v/>
      </c>
      <c r="G360" s="188"/>
      <c r="H360" s="184"/>
      <c r="I360" s="182"/>
      <c r="J360" s="181" t="str">
        <f t="shared" si="35"/>
        <v/>
      </c>
      <c r="K360" s="61" t="str">
        <f>IFERROR(IF(H360-H359&lt;=0,"",J360/SQRT(Таблица_pr1[[#This Row],[Удельное сопротивление грунта, Ом·м]])),J360/SQRT(Таблица_pr1[[#This Row],[Удельное сопротивление грунта, Ом·м]]))</f>
        <v/>
      </c>
      <c r="M360" s="53"/>
      <c r="N360" s="52"/>
      <c r="O360" s="50"/>
      <c r="P360" s="61" t="str">
        <f t="shared" si="36"/>
        <v/>
      </c>
      <c r="Q360" s="61" t="str">
        <f>IFERROR(IF(N360-N359&lt;=0,"",P360/SQRT(Таблица_pr2[[#This Row],[Удельное сопротивление грунта, Ом·м]])),P360/SQRT(Таблица_pr2[[#This Row],[Удельное сопротивление грунта, Ом·м]]))</f>
        <v/>
      </c>
      <c r="S360" s="53"/>
      <c r="T360" s="52"/>
      <c r="U360" s="50"/>
      <c r="V360" s="61" t="str">
        <f t="shared" si="31"/>
        <v/>
      </c>
      <c r="W360" s="61" t="str">
        <f>IFERROR(IF(T360-T359&lt;=0,"",V360/SQRT(Таблица_pr3[[#This Row],[Удельное сопротивление грунта, Ом·м]])),V360/SQRT(Таблица_pr3[[#This Row],[Удельное сопротивление грунта, Ом·м]]))</f>
        <v/>
      </c>
      <c r="Y360" s="53"/>
      <c r="Z360" s="52"/>
      <c r="AA360" s="50"/>
      <c r="AB360" s="61" t="str">
        <f t="shared" si="37"/>
        <v/>
      </c>
      <c r="AC360" s="61" t="str">
        <f>IFERROR(IF(Z360-Z359&lt;=0,"",AB360/SQRT(Таблица_pr4[[#This Row],[Удельное сопротивление грунта, Ом·м]])),AB360/SQRT(Таблица_pr4[[#This Row],[Удельное сопротивление грунта, Ом·м]]))</f>
        <v/>
      </c>
      <c r="AE360" s="53"/>
      <c r="AF360" s="52"/>
      <c r="AG360" s="50"/>
      <c r="AH360" s="61" t="str">
        <f t="shared" si="32"/>
        <v/>
      </c>
      <c r="AI360" s="61" t="str">
        <f>IFERROR(IF(AF360-AF359&lt;=0,"",AH360/SQRT(Таблица_pr5[[#This Row],[Удельное сопротивление грунта, Ом·м]])),AH360/SQRT(Таблица_pr5[[#This Row],[Удельное сопротивление грунта, Ом·м]]))</f>
        <v/>
      </c>
      <c r="AK360" s="53"/>
      <c r="AL360" s="52"/>
      <c r="AM360" s="50"/>
      <c r="AN360" s="61" t="str">
        <f t="shared" si="38"/>
        <v/>
      </c>
      <c r="AO360" s="61" t="str">
        <f>IFERROR(IF(AL360-AL359&lt;=0,"",AN360/SQRT(Таблица_pr6[[#This Row],[Удельное сопротивление грунта, Ом·м]])),AN360/SQRT(Таблица_pr6[[#This Row],[Удельное сопротивление грунта, Ом·м]]))</f>
        <v/>
      </c>
      <c r="AQ360" s="53"/>
      <c r="AR360" s="52"/>
      <c r="AS360" s="50"/>
      <c r="AT360" s="61" t="str">
        <f t="shared" si="33"/>
        <v/>
      </c>
      <c r="AU360" s="61" t="str">
        <f>IFERROR(IF(AR360-AR359&lt;=0,"",AT360/SQRT(Таблица_pr7[[#This Row],[Удельное сопротивление грунта, Ом·м]])),AT360/SQRT(Таблица_pr7[[#This Row],[Удельное сопротивление грунта, Ом·м]]))</f>
        <v/>
      </c>
      <c r="AW360" s="53"/>
      <c r="AX360" s="52"/>
      <c r="AY360" s="50"/>
      <c r="AZ360" s="61" t="str">
        <f t="shared" si="39"/>
        <v/>
      </c>
      <c r="BA360" s="61" t="str">
        <f>IFERROR(IF(AX360-AX359&lt;=0,"",AZ360/SQRT(Таблица_pr8[[#This Row],[Удельное сопротивление грунта, Ом·м]])),AZ360/SQRT(Таблица_pr8[[#This Row],[Удельное сопротивление грунта, Ом·м]]))</f>
        <v/>
      </c>
      <c r="BC360" s="53"/>
      <c r="BD360" s="52"/>
      <c r="BE360" s="50"/>
      <c r="BF360" s="61" t="str">
        <f t="shared" si="40"/>
        <v/>
      </c>
      <c r="BG360" s="61" t="str">
        <f>IFERROR(IF(BD360-AX379&lt;=0,"",BF360/SQRT(Таблица_pr9[[#This Row],[Удельное сопротивление грунта, Ом·м]])),BF360/SQRT(Таблица_pr9[[#This Row],[Удельное сопротивление грунта, Ом·м]]))</f>
        <v/>
      </c>
      <c r="BI360" s="53"/>
      <c r="BJ360" s="52"/>
      <c r="BK360" s="50"/>
      <c r="BM360" s="61" t="str">
        <f>IFERROR(IF(BJ360-BD389&lt;=0,"",BL360/SQRT(Таблица_pr10[[#This Row],[Удельное сопротивление грунта, Ом·м]])),BL360/SQRT(Таблица_pr10[[#This Row],[Удельное сопротивление грунта, Ом·м]]))</f>
        <v/>
      </c>
    </row>
    <row r="361" spans="1:65">
      <c r="A361" s="51"/>
      <c r="B361" s="52"/>
      <c r="C361" s="50"/>
      <c r="D361" s="61" t="str">
        <f t="shared" si="34"/>
        <v/>
      </c>
      <c r="E361" s="61" t="str">
        <f>IFERROR(IF(B361-B360&lt;=0,"",D361/SQRT(Таблица_pr[[#This Row],[Удельное сопротивление грунта, Ом·м]])),D361/SQRT(Таблица_pr[[#This Row],[Удельное сопротивление грунта, Ом·м]]))</f>
        <v/>
      </c>
      <c r="G361" s="189"/>
      <c r="H361" s="185"/>
      <c r="I361" s="183"/>
      <c r="J361" s="180" t="str">
        <f t="shared" si="35"/>
        <v/>
      </c>
      <c r="K361" s="61" t="str">
        <f>IFERROR(IF(H361-H360&lt;=0,"",J361/SQRT(Таблица_pr1[[#This Row],[Удельное сопротивление грунта, Ом·м]])),J361/SQRT(Таблица_pr1[[#This Row],[Удельное сопротивление грунта, Ом·м]]))</f>
        <v/>
      </c>
      <c r="M361" s="51"/>
      <c r="N361" s="52"/>
      <c r="O361" s="50"/>
      <c r="P361" s="61" t="str">
        <f t="shared" si="36"/>
        <v/>
      </c>
      <c r="Q361" s="61" t="str">
        <f>IFERROR(IF(N361-N360&lt;=0,"",P361/SQRT(Таблица_pr2[[#This Row],[Удельное сопротивление грунта, Ом·м]])),P361/SQRT(Таблица_pr2[[#This Row],[Удельное сопротивление грунта, Ом·м]]))</f>
        <v/>
      </c>
      <c r="S361" s="51"/>
      <c r="T361" s="52"/>
      <c r="U361" s="50"/>
      <c r="V361" s="61" t="str">
        <f t="shared" si="31"/>
        <v/>
      </c>
      <c r="W361" s="61" t="str">
        <f>IFERROR(IF(T361-T360&lt;=0,"",V361/SQRT(Таблица_pr3[[#This Row],[Удельное сопротивление грунта, Ом·м]])),V361/SQRT(Таблица_pr3[[#This Row],[Удельное сопротивление грунта, Ом·м]]))</f>
        <v/>
      </c>
      <c r="Y361" s="51"/>
      <c r="Z361" s="52"/>
      <c r="AA361" s="50"/>
      <c r="AB361" s="61" t="str">
        <f t="shared" si="37"/>
        <v/>
      </c>
      <c r="AC361" s="61" t="str">
        <f>IFERROR(IF(Z361-Z360&lt;=0,"",AB361/SQRT(Таблица_pr4[[#This Row],[Удельное сопротивление грунта, Ом·м]])),AB361/SQRT(Таблица_pr4[[#This Row],[Удельное сопротивление грунта, Ом·м]]))</f>
        <v/>
      </c>
      <c r="AE361" s="51"/>
      <c r="AF361" s="52"/>
      <c r="AG361" s="50"/>
      <c r="AH361" s="61" t="str">
        <f t="shared" si="32"/>
        <v/>
      </c>
      <c r="AI361" s="61" t="str">
        <f>IFERROR(IF(AF361-AF360&lt;=0,"",AH361/SQRT(Таблица_pr5[[#This Row],[Удельное сопротивление грунта, Ом·м]])),AH361/SQRT(Таблица_pr5[[#This Row],[Удельное сопротивление грунта, Ом·м]]))</f>
        <v/>
      </c>
      <c r="AK361" s="51"/>
      <c r="AL361" s="52"/>
      <c r="AM361" s="50"/>
      <c r="AN361" s="61" t="str">
        <f t="shared" si="38"/>
        <v/>
      </c>
      <c r="AO361" s="61" t="str">
        <f>IFERROR(IF(AL361-AL360&lt;=0,"",AN361/SQRT(Таблица_pr6[[#This Row],[Удельное сопротивление грунта, Ом·м]])),AN361/SQRT(Таблица_pr6[[#This Row],[Удельное сопротивление грунта, Ом·м]]))</f>
        <v/>
      </c>
      <c r="AQ361" s="51"/>
      <c r="AR361" s="52"/>
      <c r="AS361" s="50"/>
      <c r="AT361" s="61" t="str">
        <f t="shared" si="33"/>
        <v/>
      </c>
      <c r="AU361" s="61" t="str">
        <f>IFERROR(IF(AR361-AR360&lt;=0,"",AT361/SQRT(Таблица_pr7[[#This Row],[Удельное сопротивление грунта, Ом·м]])),AT361/SQRT(Таблица_pr7[[#This Row],[Удельное сопротивление грунта, Ом·м]]))</f>
        <v/>
      </c>
      <c r="AW361" s="51"/>
      <c r="AX361" s="52"/>
      <c r="AY361" s="50"/>
      <c r="AZ361" s="61" t="str">
        <f t="shared" si="39"/>
        <v/>
      </c>
      <c r="BA361" s="61" t="str">
        <f>IFERROR(IF(AX361-AX360&lt;=0,"",AZ361/SQRT(Таблица_pr8[[#This Row],[Удельное сопротивление грунта, Ом·м]])),AZ361/SQRT(Таблица_pr8[[#This Row],[Удельное сопротивление грунта, Ом·м]]))</f>
        <v/>
      </c>
      <c r="BC361" s="51"/>
      <c r="BD361" s="52"/>
      <c r="BE361" s="50"/>
      <c r="BF361" s="61" t="str">
        <f t="shared" si="40"/>
        <v/>
      </c>
      <c r="BG361" s="61" t="str">
        <f>IFERROR(IF(BD361-AX380&lt;=0,"",BF361/SQRT(Таблица_pr9[[#This Row],[Удельное сопротивление грунта, Ом·м]])),BF361/SQRT(Таблица_pr9[[#This Row],[Удельное сопротивление грунта, Ом·м]]))</f>
        <v/>
      </c>
      <c r="BI361" s="51"/>
      <c r="BJ361" s="52"/>
      <c r="BK361" s="50"/>
      <c r="BM361" s="61" t="str">
        <f>IFERROR(IF(BJ361-BD390&lt;=0,"",BL361/SQRT(Таблица_pr10[[#This Row],[Удельное сопротивление грунта, Ом·м]])),BL361/SQRT(Таблица_pr10[[#This Row],[Удельное сопротивление грунта, Ом·м]]))</f>
        <v/>
      </c>
    </row>
    <row r="362" spans="1:65">
      <c r="A362" s="53"/>
      <c r="B362" s="52"/>
      <c r="C362" s="50"/>
      <c r="D362" s="61" t="str">
        <f t="shared" si="34"/>
        <v/>
      </c>
      <c r="E362" s="61" t="str">
        <f>IFERROR(IF(B362-B361&lt;=0,"",D362/SQRT(Таблица_pr[[#This Row],[Удельное сопротивление грунта, Ом·м]])),D362/SQRT(Таблица_pr[[#This Row],[Удельное сопротивление грунта, Ом·м]]))</f>
        <v/>
      </c>
      <c r="G362" s="188"/>
      <c r="H362" s="184"/>
      <c r="I362" s="182"/>
      <c r="J362" s="181" t="str">
        <f t="shared" si="35"/>
        <v/>
      </c>
      <c r="K362" s="61" t="str">
        <f>IFERROR(IF(H362-H361&lt;=0,"",J362/SQRT(Таблица_pr1[[#This Row],[Удельное сопротивление грунта, Ом·м]])),J362/SQRT(Таблица_pr1[[#This Row],[Удельное сопротивление грунта, Ом·м]]))</f>
        <v/>
      </c>
      <c r="M362" s="53"/>
      <c r="N362" s="52"/>
      <c r="O362" s="50"/>
      <c r="P362" s="61" t="str">
        <f t="shared" si="36"/>
        <v/>
      </c>
      <c r="Q362" s="61" t="str">
        <f>IFERROR(IF(N362-N361&lt;=0,"",P362/SQRT(Таблица_pr2[[#This Row],[Удельное сопротивление грунта, Ом·м]])),P362/SQRT(Таблица_pr2[[#This Row],[Удельное сопротивление грунта, Ом·м]]))</f>
        <v/>
      </c>
      <c r="S362" s="53"/>
      <c r="T362" s="52"/>
      <c r="U362" s="50"/>
      <c r="V362" s="61" t="str">
        <f t="shared" si="31"/>
        <v/>
      </c>
      <c r="W362" s="61" t="str">
        <f>IFERROR(IF(T362-T361&lt;=0,"",V362/SQRT(Таблица_pr3[[#This Row],[Удельное сопротивление грунта, Ом·м]])),V362/SQRT(Таблица_pr3[[#This Row],[Удельное сопротивление грунта, Ом·м]]))</f>
        <v/>
      </c>
      <c r="Y362" s="53"/>
      <c r="Z362" s="52"/>
      <c r="AA362" s="50"/>
      <c r="AB362" s="61" t="str">
        <f t="shared" si="37"/>
        <v/>
      </c>
      <c r="AC362" s="61" t="str">
        <f>IFERROR(IF(Z362-Z361&lt;=0,"",AB362/SQRT(Таблица_pr4[[#This Row],[Удельное сопротивление грунта, Ом·м]])),AB362/SQRT(Таблица_pr4[[#This Row],[Удельное сопротивление грунта, Ом·м]]))</f>
        <v/>
      </c>
      <c r="AE362" s="53"/>
      <c r="AF362" s="52"/>
      <c r="AG362" s="50"/>
      <c r="AH362" s="61" t="str">
        <f t="shared" si="32"/>
        <v/>
      </c>
      <c r="AI362" s="61" t="str">
        <f>IFERROR(IF(AF362-AF361&lt;=0,"",AH362/SQRT(Таблица_pr5[[#This Row],[Удельное сопротивление грунта, Ом·м]])),AH362/SQRT(Таблица_pr5[[#This Row],[Удельное сопротивление грунта, Ом·м]]))</f>
        <v/>
      </c>
      <c r="AK362" s="53"/>
      <c r="AL362" s="52"/>
      <c r="AM362" s="50"/>
      <c r="AN362" s="61" t="str">
        <f t="shared" si="38"/>
        <v/>
      </c>
      <c r="AO362" s="61" t="str">
        <f>IFERROR(IF(AL362-AL361&lt;=0,"",AN362/SQRT(Таблица_pr6[[#This Row],[Удельное сопротивление грунта, Ом·м]])),AN362/SQRT(Таблица_pr6[[#This Row],[Удельное сопротивление грунта, Ом·м]]))</f>
        <v/>
      </c>
      <c r="AQ362" s="53"/>
      <c r="AR362" s="52"/>
      <c r="AS362" s="50"/>
      <c r="AT362" s="61" t="str">
        <f t="shared" si="33"/>
        <v/>
      </c>
      <c r="AU362" s="61" t="str">
        <f>IFERROR(IF(AR362-AR361&lt;=0,"",AT362/SQRT(Таблица_pr7[[#This Row],[Удельное сопротивление грунта, Ом·м]])),AT362/SQRT(Таблица_pr7[[#This Row],[Удельное сопротивление грунта, Ом·м]]))</f>
        <v/>
      </c>
      <c r="AW362" s="53"/>
      <c r="AX362" s="52"/>
      <c r="AY362" s="50"/>
      <c r="AZ362" s="61" t="str">
        <f t="shared" si="39"/>
        <v/>
      </c>
      <c r="BA362" s="61" t="str">
        <f>IFERROR(IF(AX362-AX361&lt;=0,"",AZ362/SQRT(Таблица_pr8[[#This Row],[Удельное сопротивление грунта, Ом·м]])),AZ362/SQRT(Таблица_pr8[[#This Row],[Удельное сопротивление грунта, Ом·м]]))</f>
        <v/>
      </c>
      <c r="BC362" s="53"/>
      <c r="BD362" s="52"/>
      <c r="BE362" s="50"/>
      <c r="BF362" s="61" t="str">
        <f t="shared" si="40"/>
        <v/>
      </c>
      <c r="BG362" s="61" t="str">
        <f>IFERROR(IF(BD362-AX381&lt;=0,"",BF362/SQRT(Таблица_pr9[[#This Row],[Удельное сопротивление грунта, Ом·м]])),BF362/SQRT(Таблица_pr9[[#This Row],[Удельное сопротивление грунта, Ом·м]]))</f>
        <v/>
      </c>
      <c r="BI362" s="53"/>
      <c r="BJ362" s="52"/>
      <c r="BK362" s="50"/>
      <c r="BM362" s="61" t="str">
        <f>IFERROR(IF(BJ362-BD391&lt;=0,"",BL362/SQRT(Таблица_pr10[[#This Row],[Удельное сопротивление грунта, Ом·м]])),BL362/SQRT(Таблица_pr10[[#This Row],[Удельное сопротивление грунта, Ом·м]]))</f>
        <v/>
      </c>
    </row>
    <row r="363" spans="1:65">
      <c r="A363" s="51"/>
      <c r="B363" s="52"/>
      <c r="C363" s="50"/>
      <c r="D363" s="61" t="str">
        <f t="shared" si="34"/>
        <v/>
      </c>
      <c r="E363" s="61" t="str">
        <f>IFERROR(IF(B363-B362&lt;=0,"",D363/SQRT(Таблица_pr[[#This Row],[Удельное сопротивление грунта, Ом·м]])),D363/SQRT(Таблица_pr[[#This Row],[Удельное сопротивление грунта, Ом·м]]))</f>
        <v/>
      </c>
      <c r="G363" s="189"/>
      <c r="H363" s="185"/>
      <c r="I363" s="183"/>
      <c r="J363" s="180" t="str">
        <f t="shared" si="35"/>
        <v/>
      </c>
      <c r="K363" s="61" t="str">
        <f>IFERROR(IF(H363-H362&lt;=0,"",J363/SQRT(Таблица_pr1[[#This Row],[Удельное сопротивление грунта, Ом·м]])),J363/SQRT(Таблица_pr1[[#This Row],[Удельное сопротивление грунта, Ом·м]]))</f>
        <v/>
      </c>
      <c r="M363" s="51"/>
      <c r="N363" s="52"/>
      <c r="O363" s="50"/>
      <c r="P363" s="61" t="str">
        <f t="shared" si="36"/>
        <v/>
      </c>
      <c r="Q363" s="61" t="str">
        <f>IFERROR(IF(N363-N362&lt;=0,"",P363/SQRT(Таблица_pr2[[#This Row],[Удельное сопротивление грунта, Ом·м]])),P363/SQRT(Таблица_pr2[[#This Row],[Удельное сопротивление грунта, Ом·м]]))</f>
        <v/>
      </c>
      <c r="S363" s="51"/>
      <c r="T363" s="52"/>
      <c r="U363" s="50"/>
      <c r="V363" s="61" t="str">
        <f t="shared" si="31"/>
        <v/>
      </c>
      <c r="W363" s="61" t="str">
        <f>IFERROR(IF(T363-T362&lt;=0,"",V363/SQRT(Таблица_pr3[[#This Row],[Удельное сопротивление грунта, Ом·м]])),V363/SQRT(Таблица_pr3[[#This Row],[Удельное сопротивление грунта, Ом·м]]))</f>
        <v/>
      </c>
      <c r="Y363" s="51"/>
      <c r="Z363" s="52"/>
      <c r="AA363" s="50"/>
      <c r="AB363" s="61" t="str">
        <f t="shared" si="37"/>
        <v/>
      </c>
      <c r="AC363" s="61" t="str">
        <f>IFERROR(IF(Z363-Z362&lt;=0,"",AB363/SQRT(Таблица_pr4[[#This Row],[Удельное сопротивление грунта, Ом·м]])),AB363/SQRT(Таблица_pr4[[#This Row],[Удельное сопротивление грунта, Ом·м]]))</f>
        <v/>
      </c>
      <c r="AE363" s="51"/>
      <c r="AF363" s="52"/>
      <c r="AG363" s="50"/>
      <c r="AH363" s="61" t="str">
        <f t="shared" si="32"/>
        <v/>
      </c>
      <c r="AI363" s="61" t="str">
        <f>IFERROR(IF(AF363-AF362&lt;=0,"",AH363/SQRT(Таблица_pr5[[#This Row],[Удельное сопротивление грунта, Ом·м]])),AH363/SQRT(Таблица_pr5[[#This Row],[Удельное сопротивление грунта, Ом·м]]))</f>
        <v/>
      </c>
      <c r="AK363" s="51"/>
      <c r="AL363" s="52"/>
      <c r="AM363" s="50"/>
      <c r="AN363" s="61" t="str">
        <f t="shared" si="38"/>
        <v/>
      </c>
      <c r="AO363" s="61" t="str">
        <f>IFERROR(IF(AL363-AL362&lt;=0,"",AN363/SQRT(Таблица_pr6[[#This Row],[Удельное сопротивление грунта, Ом·м]])),AN363/SQRT(Таблица_pr6[[#This Row],[Удельное сопротивление грунта, Ом·м]]))</f>
        <v/>
      </c>
      <c r="AQ363" s="51"/>
      <c r="AR363" s="52"/>
      <c r="AS363" s="50"/>
      <c r="AT363" s="61" t="str">
        <f t="shared" si="33"/>
        <v/>
      </c>
      <c r="AU363" s="61" t="str">
        <f>IFERROR(IF(AR363-AR362&lt;=0,"",AT363/SQRT(Таблица_pr7[[#This Row],[Удельное сопротивление грунта, Ом·м]])),AT363/SQRT(Таблица_pr7[[#This Row],[Удельное сопротивление грунта, Ом·м]]))</f>
        <v/>
      </c>
      <c r="AW363" s="51"/>
      <c r="AX363" s="52"/>
      <c r="AY363" s="50"/>
      <c r="AZ363" s="61" t="str">
        <f t="shared" si="39"/>
        <v/>
      </c>
      <c r="BA363" s="61" t="str">
        <f>IFERROR(IF(AX363-AX362&lt;=0,"",AZ363/SQRT(Таблица_pr8[[#This Row],[Удельное сопротивление грунта, Ом·м]])),AZ363/SQRT(Таблица_pr8[[#This Row],[Удельное сопротивление грунта, Ом·м]]))</f>
        <v/>
      </c>
      <c r="BC363" s="51"/>
      <c r="BD363" s="52"/>
      <c r="BE363" s="50"/>
      <c r="BF363" s="61" t="str">
        <f t="shared" si="40"/>
        <v/>
      </c>
      <c r="BG363" s="61" t="str">
        <f>IFERROR(IF(BD363-AX382&lt;=0,"",BF363/SQRT(Таблица_pr9[[#This Row],[Удельное сопротивление грунта, Ом·м]])),BF363/SQRT(Таблица_pr9[[#This Row],[Удельное сопротивление грунта, Ом·м]]))</f>
        <v/>
      </c>
      <c r="BI363" s="51"/>
      <c r="BJ363" s="52"/>
      <c r="BK363" s="50"/>
      <c r="BM363" s="61" t="str">
        <f>IFERROR(IF(BJ363-BD392&lt;=0,"",BL363/SQRT(Таблица_pr10[[#This Row],[Удельное сопротивление грунта, Ом·м]])),BL363/SQRT(Таблица_pr10[[#This Row],[Удельное сопротивление грунта, Ом·м]]))</f>
        <v/>
      </c>
    </row>
    <row r="364" spans="1:65">
      <c r="A364" s="53"/>
      <c r="B364" s="52"/>
      <c r="C364" s="50"/>
      <c r="D364" s="61" t="str">
        <f t="shared" si="34"/>
        <v/>
      </c>
      <c r="E364" s="61" t="str">
        <f>IFERROR(IF(B364-B363&lt;=0,"",D364/SQRT(Таблица_pr[[#This Row],[Удельное сопротивление грунта, Ом·м]])),D364/SQRT(Таблица_pr[[#This Row],[Удельное сопротивление грунта, Ом·м]]))</f>
        <v/>
      </c>
      <c r="G364" s="188"/>
      <c r="H364" s="184"/>
      <c r="I364" s="182"/>
      <c r="J364" s="181" t="str">
        <f t="shared" si="35"/>
        <v/>
      </c>
      <c r="K364" s="61" t="str">
        <f>IFERROR(IF(H364-H363&lt;=0,"",J364/SQRT(Таблица_pr1[[#This Row],[Удельное сопротивление грунта, Ом·м]])),J364/SQRT(Таблица_pr1[[#This Row],[Удельное сопротивление грунта, Ом·м]]))</f>
        <v/>
      </c>
      <c r="M364" s="53"/>
      <c r="N364" s="52"/>
      <c r="O364" s="50"/>
      <c r="P364" s="61" t="str">
        <f t="shared" si="36"/>
        <v/>
      </c>
      <c r="Q364" s="61" t="str">
        <f>IFERROR(IF(N364-N363&lt;=0,"",P364/SQRT(Таблица_pr2[[#This Row],[Удельное сопротивление грунта, Ом·м]])),P364/SQRT(Таблица_pr2[[#This Row],[Удельное сопротивление грунта, Ом·м]]))</f>
        <v/>
      </c>
      <c r="S364" s="53"/>
      <c r="T364" s="52"/>
      <c r="U364" s="50"/>
      <c r="V364" s="61" t="str">
        <f t="shared" si="31"/>
        <v/>
      </c>
      <c r="W364" s="61" t="str">
        <f>IFERROR(IF(T364-T363&lt;=0,"",V364/SQRT(Таблица_pr3[[#This Row],[Удельное сопротивление грунта, Ом·м]])),V364/SQRT(Таблица_pr3[[#This Row],[Удельное сопротивление грунта, Ом·м]]))</f>
        <v/>
      </c>
      <c r="Y364" s="53"/>
      <c r="Z364" s="52"/>
      <c r="AA364" s="50"/>
      <c r="AB364" s="61" t="str">
        <f t="shared" si="37"/>
        <v/>
      </c>
      <c r="AC364" s="61" t="str">
        <f>IFERROR(IF(Z364-Z363&lt;=0,"",AB364/SQRT(Таблица_pr4[[#This Row],[Удельное сопротивление грунта, Ом·м]])),AB364/SQRT(Таблица_pr4[[#This Row],[Удельное сопротивление грунта, Ом·м]]))</f>
        <v/>
      </c>
      <c r="AE364" s="53"/>
      <c r="AF364" s="52"/>
      <c r="AG364" s="50"/>
      <c r="AH364" s="61" t="str">
        <f t="shared" si="32"/>
        <v/>
      </c>
      <c r="AI364" s="61" t="str">
        <f>IFERROR(IF(AF364-AF363&lt;=0,"",AH364/SQRT(Таблица_pr5[[#This Row],[Удельное сопротивление грунта, Ом·м]])),AH364/SQRT(Таблица_pr5[[#This Row],[Удельное сопротивление грунта, Ом·м]]))</f>
        <v/>
      </c>
      <c r="AK364" s="53"/>
      <c r="AL364" s="52"/>
      <c r="AM364" s="50"/>
      <c r="AN364" s="61" t="str">
        <f t="shared" si="38"/>
        <v/>
      </c>
      <c r="AO364" s="61" t="str">
        <f>IFERROR(IF(AL364-AL363&lt;=0,"",AN364/SQRT(Таблица_pr6[[#This Row],[Удельное сопротивление грунта, Ом·м]])),AN364/SQRT(Таблица_pr6[[#This Row],[Удельное сопротивление грунта, Ом·м]]))</f>
        <v/>
      </c>
      <c r="AQ364" s="53"/>
      <c r="AR364" s="52"/>
      <c r="AS364" s="50"/>
      <c r="AT364" s="61" t="str">
        <f t="shared" si="33"/>
        <v/>
      </c>
      <c r="AU364" s="61" t="str">
        <f>IFERROR(IF(AR364-AR363&lt;=0,"",AT364/SQRT(Таблица_pr7[[#This Row],[Удельное сопротивление грунта, Ом·м]])),AT364/SQRT(Таблица_pr7[[#This Row],[Удельное сопротивление грунта, Ом·м]]))</f>
        <v/>
      </c>
      <c r="AW364" s="53"/>
      <c r="AX364" s="52"/>
      <c r="AY364" s="50"/>
      <c r="AZ364" s="61" t="str">
        <f t="shared" si="39"/>
        <v/>
      </c>
      <c r="BA364" s="61" t="str">
        <f>IFERROR(IF(AX364-AX363&lt;=0,"",AZ364/SQRT(Таблица_pr8[[#This Row],[Удельное сопротивление грунта, Ом·м]])),AZ364/SQRT(Таблица_pr8[[#This Row],[Удельное сопротивление грунта, Ом·м]]))</f>
        <v/>
      </c>
      <c r="BC364" s="53"/>
      <c r="BD364" s="52"/>
      <c r="BE364" s="50"/>
      <c r="BF364" s="61" t="str">
        <f t="shared" si="40"/>
        <v/>
      </c>
      <c r="BG364" s="61" t="str">
        <f>IFERROR(IF(BD364-AX383&lt;=0,"",BF364/SQRT(Таблица_pr9[[#This Row],[Удельное сопротивление грунта, Ом·м]])),BF364/SQRT(Таблица_pr9[[#This Row],[Удельное сопротивление грунта, Ом·м]]))</f>
        <v/>
      </c>
      <c r="BI364" s="53"/>
      <c r="BJ364" s="52"/>
      <c r="BK364" s="50"/>
      <c r="BM364" s="61" t="str">
        <f>IFERROR(IF(BJ364-BD393&lt;=0,"",BL364/SQRT(Таблица_pr10[[#This Row],[Удельное сопротивление грунта, Ом·м]])),BL364/SQRT(Таблица_pr10[[#This Row],[Удельное сопротивление грунта, Ом·м]]))</f>
        <v/>
      </c>
    </row>
    <row r="365" spans="1:65">
      <c r="A365" s="51"/>
      <c r="B365" s="52"/>
      <c r="C365" s="50"/>
      <c r="D365" s="61" t="str">
        <f t="shared" si="34"/>
        <v/>
      </c>
      <c r="E365" s="61" t="str">
        <f>IFERROR(IF(B365-B364&lt;=0,"",D365/SQRT(Таблица_pr[[#This Row],[Удельное сопротивление грунта, Ом·м]])),D365/SQRT(Таблица_pr[[#This Row],[Удельное сопротивление грунта, Ом·м]]))</f>
        <v/>
      </c>
      <c r="G365" s="189"/>
      <c r="H365" s="185"/>
      <c r="I365" s="183"/>
      <c r="J365" s="180" t="str">
        <f t="shared" si="35"/>
        <v/>
      </c>
      <c r="K365" s="61" t="str">
        <f>IFERROR(IF(H365-H364&lt;=0,"",J365/SQRT(Таблица_pr1[[#This Row],[Удельное сопротивление грунта, Ом·м]])),J365/SQRT(Таблица_pr1[[#This Row],[Удельное сопротивление грунта, Ом·м]]))</f>
        <v/>
      </c>
      <c r="M365" s="51"/>
      <c r="N365" s="52"/>
      <c r="O365" s="50"/>
      <c r="P365" s="61" t="str">
        <f t="shared" si="36"/>
        <v/>
      </c>
      <c r="Q365" s="61" t="str">
        <f>IFERROR(IF(N365-N364&lt;=0,"",P365/SQRT(Таблица_pr2[[#This Row],[Удельное сопротивление грунта, Ом·м]])),P365/SQRT(Таблица_pr2[[#This Row],[Удельное сопротивление грунта, Ом·м]]))</f>
        <v/>
      </c>
      <c r="S365" s="51"/>
      <c r="T365" s="52"/>
      <c r="U365" s="50"/>
      <c r="V365" s="61" t="str">
        <f t="shared" si="31"/>
        <v/>
      </c>
      <c r="W365" s="61" t="str">
        <f>IFERROR(IF(T365-T364&lt;=0,"",V365/SQRT(Таблица_pr3[[#This Row],[Удельное сопротивление грунта, Ом·м]])),V365/SQRT(Таблица_pr3[[#This Row],[Удельное сопротивление грунта, Ом·м]]))</f>
        <v/>
      </c>
      <c r="Y365" s="51"/>
      <c r="Z365" s="52"/>
      <c r="AA365" s="50"/>
      <c r="AB365" s="61" t="str">
        <f t="shared" si="37"/>
        <v/>
      </c>
      <c r="AC365" s="61" t="str">
        <f>IFERROR(IF(Z365-Z364&lt;=0,"",AB365/SQRT(Таблица_pr4[[#This Row],[Удельное сопротивление грунта, Ом·м]])),AB365/SQRT(Таблица_pr4[[#This Row],[Удельное сопротивление грунта, Ом·м]]))</f>
        <v/>
      </c>
      <c r="AE365" s="51"/>
      <c r="AF365" s="52"/>
      <c r="AG365" s="50"/>
      <c r="AH365" s="61" t="str">
        <f t="shared" si="32"/>
        <v/>
      </c>
      <c r="AI365" s="61" t="str">
        <f>IFERROR(IF(AF365-AF364&lt;=0,"",AH365/SQRT(Таблица_pr5[[#This Row],[Удельное сопротивление грунта, Ом·м]])),AH365/SQRT(Таблица_pr5[[#This Row],[Удельное сопротивление грунта, Ом·м]]))</f>
        <v/>
      </c>
      <c r="AK365" s="51"/>
      <c r="AL365" s="52"/>
      <c r="AM365" s="50"/>
      <c r="AN365" s="61" t="str">
        <f t="shared" si="38"/>
        <v/>
      </c>
      <c r="AO365" s="61" t="str">
        <f>IFERROR(IF(AL365-AL364&lt;=0,"",AN365/SQRT(Таблица_pr6[[#This Row],[Удельное сопротивление грунта, Ом·м]])),AN365/SQRT(Таблица_pr6[[#This Row],[Удельное сопротивление грунта, Ом·м]]))</f>
        <v/>
      </c>
      <c r="AQ365" s="51"/>
      <c r="AR365" s="52"/>
      <c r="AS365" s="50"/>
      <c r="AT365" s="61" t="str">
        <f t="shared" si="33"/>
        <v/>
      </c>
      <c r="AU365" s="61" t="str">
        <f>IFERROR(IF(AR365-AR364&lt;=0,"",AT365/SQRT(Таблица_pr7[[#This Row],[Удельное сопротивление грунта, Ом·м]])),AT365/SQRT(Таблица_pr7[[#This Row],[Удельное сопротивление грунта, Ом·м]]))</f>
        <v/>
      </c>
      <c r="AW365" s="51"/>
      <c r="AX365" s="52"/>
      <c r="AY365" s="50"/>
      <c r="AZ365" s="61" t="str">
        <f t="shared" si="39"/>
        <v/>
      </c>
      <c r="BA365" s="61" t="str">
        <f>IFERROR(IF(AX365-AX364&lt;=0,"",AZ365/SQRT(Таблица_pr8[[#This Row],[Удельное сопротивление грунта, Ом·м]])),AZ365/SQRT(Таблица_pr8[[#This Row],[Удельное сопротивление грунта, Ом·м]]))</f>
        <v/>
      </c>
      <c r="BC365" s="51"/>
      <c r="BD365" s="52"/>
      <c r="BE365" s="50"/>
      <c r="BF365" s="61" t="str">
        <f t="shared" si="40"/>
        <v/>
      </c>
      <c r="BG365" s="61" t="str">
        <f>IFERROR(IF(BD365-AX384&lt;=0,"",BF365/SQRT(Таблица_pr9[[#This Row],[Удельное сопротивление грунта, Ом·м]])),BF365/SQRT(Таблица_pr9[[#This Row],[Удельное сопротивление грунта, Ом·м]]))</f>
        <v/>
      </c>
      <c r="BI365" s="51"/>
      <c r="BJ365" s="52"/>
      <c r="BK365" s="50"/>
      <c r="BM365" s="61" t="str">
        <f>IFERROR(IF(BJ365-BD394&lt;=0,"",BL365/SQRT(Таблица_pr10[[#This Row],[Удельное сопротивление грунта, Ом·м]])),BL365/SQRT(Таблица_pr10[[#This Row],[Удельное сопротивление грунта, Ом·м]]))</f>
        <v/>
      </c>
    </row>
    <row r="366" spans="1:65">
      <c r="A366" s="53"/>
      <c r="B366" s="52"/>
      <c r="C366" s="50"/>
      <c r="D366" s="61" t="str">
        <f t="shared" si="34"/>
        <v/>
      </c>
      <c r="E366" s="61" t="str">
        <f>IFERROR(IF(B366-B365&lt;=0,"",D366/SQRT(Таблица_pr[[#This Row],[Удельное сопротивление грунта, Ом·м]])),D366/SQRT(Таблица_pr[[#This Row],[Удельное сопротивление грунта, Ом·м]]))</f>
        <v/>
      </c>
      <c r="G366" s="188"/>
      <c r="H366" s="184"/>
      <c r="I366" s="182"/>
      <c r="J366" s="181" t="str">
        <f t="shared" si="35"/>
        <v/>
      </c>
      <c r="K366" s="61" t="str">
        <f>IFERROR(IF(H366-H365&lt;=0,"",J366/SQRT(Таблица_pr1[[#This Row],[Удельное сопротивление грунта, Ом·м]])),J366/SQRT(Таблица_pr1[[#This Row],[Удельное сопротивление грунта, Ом·м]]))</f>
        <v/>
      </c>
      <c r="M366" s="53"/>
      <c r="N366" s="52"/>
      <c r="O366" s="50"/>
      <c r="P366" s="61" t="str">
        <f t="shared" si="36"/>
        <v/>
      </c>
      <c r="Q366" s="61" t="str">
        <f>IFERROR(IF(N366-N365&lt;=0,"",P366/SQRT(Таблица_pr2[[#This Row],[Удельное сопротивление грунта, Ом·м]])),P366/SQRT(Таблица_pr2[[#This Row],[Удельное сопротивление грунта, Ом·м]]))</f>
        <v/>
      </c>
      <c r="S366" s="53"/>
      <c r="T366" s="52"/>
      <c r="U366" s="50"/>
      <c r="V366" s="61" t="str">
        <f t="shared" si="31"/>
        <v/>
      </c>
      <c r="W366" s="61" t="str">
        <f>IFERROR(IF(T366-T365&lt;=0,"",V366/SQRT(Таблица_pr3[[#This Row],[Удельное сопротивление грунта, Ом·м]])),V366/SQRT(Таблица_pr3[[#This Row],[Удельное сопротивление грунта, Ом·м]]))</f>
        <v/>
      </c>
      <c r="Y366" s="53"/>
      <c r="Z366" s="52"/>
      <c r="AA366" s="50"/>
      <c r="AB366" s="61" t="str">
        <f t="shared" si="37"/>
        <v/>
      </c>
      <c r="AC366" s="61" t="str">
        <f>IFERROR(IF(Z366-Z365&lt;=0,"",AB366/SQRT(Таблица_pr4[[#This Row],[Удельное сопротивление грунта, Ом·м]])),AB366/SQRT(Таблица_pr4[[#This Row],[Удельное сопротивление грунта, Ом·м]]))</f>
        <v/>
      </c>
      <c r="AE366" s="53"/>
      <c r="AF366" s="52"/>
      <c r="AG366" s="50"/>
      <c r="AH366" s="61" t="str">
        <f t="shared" si="32"/>
        <v/>
      </c>
      <c r="AI366" s="61" t="str">
        <f>IFERROR(IF(AF366-AF365&lt;=0,"",AH366/SQRT(Таблица_pr5[[#This Row],[Удельное сопротивление грунта, Ом·м]])),AH366/SQRT(Таблица_pr5[[#This Row],[Удельное сопротивление грунта, Ом·м]]))</f>
        <v/>
      </c>
      <c r="AK366" s="53"/>
      <c r="AL366" s="52"/>
      <c r="AM366" s="50"/>
      <c r="AN366" s="61" t="str">
        <f t="shared" si="38"/>
        <v/>
      </c>
      <c r="AO366" s="61" t="str">
        <f>IFERROR(IF(AL366-AL365&lt;=0,"",AN366/SQRT(Таблица_pr6[[#This Row],[Удельное сопротивление грунта, Ом·м]])),AN366/SQRT(Таблица_pr6[[#This Row],[Удельное сопротивление грунта, Ом·м]]))</f>
        <v/>
      </c>
      <c r="AQ366" s="53"/>
      <c r="AR366" s="52"/>
      <c r="AS366" s="50"/>
      <c r="AT366" s="61" t="str">
        <f t="shared" si="33"/>
        <v/>
      </c>
      <c r="AU366" s="61" t="str">
        <f>IFERROR(IF(AR366-AR365&lt;=0,"",AT366/SQRT(Таблица_pr7[[#This Row],[Удельное сопротивление грунта, Ом·м]])),AT366/SQRT(Таблица_pr7[[#This Row],[Удельное сопротивление грунта, Ом·м]]))</f>
        <v/>
      </c>
      <c r="AW366" s="53"/>
      <c r="AX366" s="52"/>
      <c r="AY366" s="50"/>
      <c r="AZ366" s="61" t="str">
        <f t="shared" si="39"/>
        <v/>
      </c>
      <c r="BA366" s="61" t="str">
        <f>IFERROR(IF(AX366-AX365&lt;=0,"",AZ366/SQRT(Таблица_pr8[[#This Row],[Удельное сопротивление грунта, Ом·м]])),AZ366/SQRT(Таблица_pr8[[#This Row],[Удельное сопротивление грунта, Ом·м]]))</f>
        <v/>
      </c>
      <c r="BC366" s="53"/>
      <c r="BD366" s="52"/>
      <c r="BE366" s="50"/>
      <c r="BF366" s="61" t="str">
        <f t="shared" si="40"/>
        <v/>
      </c>
      <c r="BG366" s="61" t="str">
        <f>IFERROR(IF(BD366-AX385&lt;=0,"",BF366/SQRT(Таблица_pr9[[#This Row],[Удельное сопротивление грунта, Ом·м]])),BF366/SQRT(Таблица_pr9[[#This Row],[Удельное сопротивление грунта, Ом·м]]))</f>
        <v/>
      </c>
      <c r="BI366" s="53"/>
      <c r="BJ366" s="52"/>
      <c r="BK366" s="50"/>
      <c r="BM366" s="61" t="str">
        <f>IFERROR(IF(BJ366-BD395&lt;=0,"",BL366/SQRT(Таблица_pr10[[#This Row],[Удельное сопротивление грунта, Ом·м]])),BL366/SQRT(Таблица_pr10[[#This Row],[Удельное сопротивление грунта, Ом·м]]))</f>
        <v/>
      </c>
    </row>
    <row r="367" spans="1:65">
      <c r="A367" s="51"/>
      <c r="B367" s="52"/>
      <c r="C367" s="50"/>
      <c r="D367" s="61" t="str">
        <f t="shared" si="34"/>
        <v/>
      </c>
      <c r="E367" s="61" t="str">
        <f>IFERROR(IF(B367-B366&lt;=0,"",D367/SQRT(Таблица_pr[[#This Row],[Удельное сопротивление грунта, Ом·м]])),D367/SQRT(Таблица_pr[[#This Row],[Удельное сопротивление грунта, Ом·м]]))</f>
        <v/>
      </c>
      <c r="G367" s="189"/>
      <c r="H367" s="185"/>
      <c r="I367" s="183"/>
      <c r="J367" s="180" t="str">
        <f t="shared" si="35"/>
        <v/>
      </c>
      <c r="K367" s="61" t="str">
        <f>IFERROR(IF(H367-H366&lt;=0,"",J367/SQRT(Таблица_pr1[[#This Row],[Удельное сопротивление грунта, Ом·м]])),J367/SQRT(Таблица_pr1[[#This Row],[Удельное сопротивление грунта, Ом·м]]))</f>
        <v/>
      </c>
      <c r="M367" s="51"/>
      <c r="N367" s="52"/>
      <c r="O367" s="50"/>
      <c r="P367" s="61" t="str">
        <f t="shared" si="36"/>
        <v/>
      </c>
      <c r="Q367" s="61" t="str">
        <f>IFERROR(IF(N367-N366&lt;=0,"",P367/SQRT(Таблица_pr2[[#This Row],[Удельное сопротивление грунта, Ом·м]])),P367/SQRT(Таблица_pr2[[#This Row],[Удельное сопротивление грунта, Ом·м]]))</f>
        <v/>
      </c>
      <c r="S367" s="51"/>
      <c r="T367" s="52"/>
      <c r="U367" s="50"/>
      <c r="V367" s="61" t="str">
        <f t="shared" si="31"/>
        <v/>
      </c>
      <c r="W367" s="61" t="str">
        <f>IFERROR(IF(T367-T366&lt;=0,"",V367/SQRT(Таблица_pr3[[#This Row],[Удельное сопротивление грунта, Ом·м]])),V367/SQRT(Таблица_pr3[[#This Row],[Удельное сопротивление грунта, Ом·м]]))</f>
        <v/>
      </c>
      <c r="Y367" s="51"/>
      <c r="Z367" s="52"/>
      <c r="AA367" s="50"/>
      <c r="AB367" s="61" t="str">
        <f t="shared" si="37"/>
        <v/>
      </c>
      <c r="AC367" s="61" t="str">
        <f>IFERROR(IF(Z367-Z366&lt;=0,"",AB367/SQRT(Таблица_pr4[[#This Row],[Удельное сопротивление грунта, Ом·м]])),AB367/SQRT(Таблица_pr4[[#This Row],[Удельное сопротивление грунта, Ом·м]]))</f>
        <v/>
      </c>
      <c r="AE367" s="51"/>
      <c r="AF367" s="52"/>
      <c r="AG367" s="50"/>
      <c r="AH367" s="61" t="str">
        <f t="shared" si="32"/>
        <v/>
      </c>
      <c r="AI367" s="61" t="str">
        <f>IFERROR(IF(AF367-AF366&lt;=0,"",AH367/SQRT(Таблица_pr5[[#This Row],[Удельное сопротивление грунта, Ом·м]])),AH367/SQRT(Таблица_pr5[[#This Row],[Удельное сопротивление грунта, Ом·м]]))</f>
        <v/>
      </c>
      <c r="AK367" s="51"/>
      <c r="AL367" s="52"/>
      <c r="AM367" s="50"/>
      <c r="AN367" s="61" t="str">
        <f t="shared" si="38"/>
        <v/>
      </c>
      <c r="AO367" s="61" t="str">
        <f>IFERROR(IF(AL367-AL366&lt;=0,"",AN367/SQRT(Таблица_pr6[[#This Row],[Удельное сопротивление грунта, Ом·м]])),AN367/SQRT(Таблица_pr6[[#This Row],[Удельное сопротивление грунта, Ом·м]]))</f>
        <v/>
      </c>
      <c r="AQ367" s="51"/>
      <c r="AR367" s="52"/>
      <c r="AS367" s="50"/>
      <c r="AT367" s="61" t="str">
        <f t="shared" si="33"/>
        <v/>
      </c>
      <c r="AU367" s="61" t="str">
        <f>IFERROR(IF(AR367-AR366&lt;=0,"",AT367/SQRT(Таблица_pr7[[#This Row],[Удельное сопротивление грунта, Ом·м]])),AT367/SQRT(Таблица_pr7[[#This Row],[Удельное сопротивление грунта, Ом·м]]))</f>
        <v/>
      </c>
      <c r="AW367" s="51"/>
      <c r="AX367" s="52"/>
      <c r="AY367" s="50"/>
      <c r="AZ367" s="61" t="str">
        <f t="shared" si="39"/>
        <v/>
      </c>
      <c r="BA367" s="61" t="str">
        <f>IFERROR(IF(AX367-AX366&lt;=0,"",AZ367/SQRT(Таблица_pr8[[#This Row],[Удельное сопротивление грунта, Ом·м]])),AZ367/SQRT(Таблица_pr8[[#This Row],[Удельное сопротивление грунта, Ом·м]]))</f>
        <v/>
      </c>
      <c r="BC367" s="51"/>
      <c r="BD367" s="52"/>
      <c r="BE367" s="50"/>
      <c r="BF367" s="61" t="str">
        <f t="shared" si="40"/>
        <v/>
      </c>
      <c r="BG367" s="61" t="str">
        <f>IFERROR(IF(BD367-AX386&lt;=0,"",BF367/SQRT(Таблица_pr9[[#This Row],[Удельное сопротивление грунта, Ом·м]])),BF367/SQRT(Таблица_pr9[[#This Row],[Удельное сопротивление грунта, Ом·м]]))</f>
        <v/>
      </c>
      <c r="BI367" s="51"/>
      <c r="BJ367" s="52"/>
      <c r="BK367" s="50"/>
      <c r="BM367" s="61" t="str">
        <f>IFERROR(IF(BJ367-BD396&lt;=0,"",BL367/SQRT(Таблица_pr10[[#This Row],[Удельное сопротивление грунта, Ом·м]])),BL367/SQRT(Таблица_pr10[[#This Row],[Удельное сопротивление грунта, Ом·м]]))</f>
        <v/>
      </c>
    </row>
    <row r="368" spans="1:65">
      <c r="A368" s="53"/>
      <c r="B368" s="52"/>
      <c r="C368" s="50"/>
      <c r="D368" s="61" t="str">
        <f t="shared" si="34"/>
        <v/>
      </c>
      <c r="E368" s="61" t="str">
        <f>IFERROR(IF(B368-B367&lt;=0,"",D368/SQRT(Таблица_pr[[#This Row],[Удельное сопротивление грунта, Ом·м]])),D368/SQRT(Таблица_pr[[#This Row],[Удельное сопротивление грунта, Ом·м]]))</f>
        <v/>
      </c>
      <c r="G368" s="188"/>
      <c r="H368" s="184"/>
      <c r="I368" s="182"/>
      <c r="J368" s="181" t="str">
        <f t="shared" si="35"/>
        <v/>
      </c>
      <c r="K368" s="61" t="str">
        <f>IFERROR(IF(H368-H367&lt;=0,"",J368/SQRT(Таблица_pr1[[#This Row],[Удельное сопротивление грунта, Ом·м]])),J368/SQRT(Таблица_pr1[[#This Row],[Удельное сопротивление грунта, Ом·м]]))</f>
        <v/>
      </c>
      <c r="M368" s="53"/>
      <c r="N368" s="52"/>
      <c r="O368" s="50"/>
      <c r="P368" s="61" t="str">
        <f t="shared" si="36"/>
        <v/>
      </c>
      <c r="Q368" s="61" t="str">
        <f>IFERROR(IF(N368-N367&lt;=0,"",P368/SQRT(Таблица_pr2[[#This Row],[Удельное сопротивление грунта, Ом·м]])),P368/SQRT(Таблица_pr2[[#This Row],[Удельное сопротивление грунта, Ом·м]]))</f>
        <v/>
      </c>
      <c r="S368" s="53"/>
      <c r="T368" s="52"/>
      <c r="U368" s="50"/>
      <c r="V368" s="61" t="str">
        <f t="shared" si="31"/>
        <v/>
      </c>
      <c r="W368" s="61" t="str">
        <f>IFERROR(IF(T368-T367&lt;=0,"",V368/SQRT(Таблица_pr3[[#This Row],[Удельное сопротивление грунта, Ом·м]])),V368/SQRT(Таблица_pr3[[#This Row],[Удельное сопротивление грунта, Ом·м]]))</f>
        <v/>
      </c>
      <c r="Y368" s="53"/>
      <c r="Z368" s="52"/>
      <c r="AA368" s="50"/>
      <c r="AB368" s="61" t="str">
        <f t="shared" si="37"/>
        <v/>
      </c>
      <c r="AC368" s="61" t="str">
        <f>IFERROR(IF(Z368-Z367&lt;=0,"",AB368/SQRT(Таблица_pr4[[#This Row],[Удельное сопротивление грунта, Ом·м]])),AB368/SQRT(Таблица_pr4[[#This Row],[Удельное сопротивление грунта, Ом·м]]))</f>
        <v/>
      </c>
      <c r="AE368" s="53"/>
      <c r="AF368" s="52"/>
      <c r="AG368" s="50"/>
      <c r="AH368" s="61" t="str">
        <f t="shared" si="32"/>
        <v/>
      </c>
      <c r="AI368" s="61" t="str">
        <f>IFERROR(IF(AF368-AF367&lt;=0,"",AH368/SQRT(Таблица_pr5[[#This Row],[Удельное сопротивление грунта, Ом·м]])),AH368/SQRT(Таблица_pr5[[#This Row],[Удельное сопротивление грунта, Ом·м]]))</f>
        <v/>
      </c>
      <c r="AK368" s="53"/>
      <c r="AL368" s="52"/>
      <c r="AM368" s="50"/>
      <c r="AN368" s="61" t="str">
        <f t="shared" si="38"/>
        <v/>
      </c>
      <c r="AO368" s="61" t="str">
        <f>IFERROR(IF(AL368-AL367&lt;=0,"",AN368/SQRT(Таблица_pr6[[#This Row],[Удельное сопротивление грунта, Ом·м]])),AN368/SQRT(Таблица_pr6[[#This Row],[Удельное сопротивление грунта, Ом·м]]))</f>
        <v/>
      </c>
      <c r="AQ368" s="53"/>
      <c r="AR368" s="52"/>
      <c r="AS368" s="50"/>
      <c r="AT368" s="61" t="str">
        <f t="shared" si="33"/>
        <v/>
      </c>
      <c r="AU368" s="61" t="str">
        <f>IFERROR(IF(AR368-AR367&lt;=0,"",AT368/SQRT(Таблица_pr7[[#This Row],[Удельное сопротивление грунта, Ом·м]])),AT368/SQRT(Таблица_pr7[[#This Row],[Удельное сопротивление грунта, Ом·м]]))</f>
        <v/>
      </c>
      <c r="AW368" s="53"/>
      <c r="AX368" s="52"/>
      <c r="AY368" s="50"/>
      <c r="AZ368" s="61" t="str">
        <f t="shared" si="39"/>
        <v/>
      </c>
      <c r="BA368" s="61" t="str">
        <f>IFERROR(IF(AX368-AX367&lt;=0,"",AZ368/SQRT(Таблица_pr8[[#This Row],[Удельное сопротивление грунта, Ом·м]])),AZ368/SQRT(Таблица_pr8[[#This Row],[Удельное сопротивление грунта, Ом·м]]))</f>
        <v/>
      </c>
      <c r="BC368" s="53"/>
      <c r="BD368" s="52"/>
      <c r="BE368" s="50"/>
      <c r="BF368" s="61" t="str">
        <f t="shared" si="40"/>
        <v/>
      </c>
      <c r="BG368" s="61" t="str">
        <f>IFERROR(IF(BD368-AX387&lt;=0,"",BF368/SQRT(Таблица_pr9[[#This Row],[Удельное сопротивление грунта, Ом·м]])),BF368/SQRT(Таблица_pr9[[#This Row],[Удельное сопротивление грунта, Ом·м]]))</f>
        <v/>
      </c>
      <c r="BI368" s="53"/>
      <c r="BJ368" s="52"/>
      <c r="BK368" s="50"/>
      <c r="BM368" s="61" t="str">
        <f>IFERROR(IF(BJ368-BD397&lt;=0,"",BL368/SQRT(Таблица_pr10[[#This Row],[Удельное сопротивление грунта, Ом·м]])),BL368/SQRT(Таблица_pr10[[#This Row],[Удельное сопротивление грунта, Ом·м]]))</f>
        <v/>
      </c>
    </row>
    <row r="369" spans="1:65">
      <c r="A369" s="51"/>
      <c r="B369" s="52"/>
      <c r="C369" s="50"/>
      <c r="D369" s="61" t="str">
        <f t="shared" si="34"/>
        <v/>
      </c>
      <c r="E369" s="61" t="str">
        <f>IFERROR(IF(B369-B368&lt;=0,"",D369/SQRT(Таблица_pr[[#This Row],[Удельное сопротивление грунта, Ом·м]])),D369/SQRT(Таблица_pr[[#This Row],[Удельное сопротивление грунта, Ом·м]]))</f>
        <v/>
      </c>
      <c r="G369" s="189"/>
      <c r="H369" s="185"/>
      <c r="I369" s="183"/>
      <c r="J369" s="180" t="str">
        <f t="shared" si="35"/>
        <v/>
      </c>
      <c r="K369" s="61" t="str">
        <f>IFERROR(IF(H369-H368&lt;=0,"",J369/SQRT(Таблица_pr1[[#This Row],[Удельное сопротивление грунта, Ом·м]])),J369/SQRT(Таблица_pr1[[#This Row],[Удельное сопротивление грунта, Ом·м]]))</f>
        <v/>
      </c>
      <c r="M369" s="51"/>
      <c r="N369" s="52"/>
      <c r="O369" s="50"/>
      <c r="P369" s="61" t="str">
        <f t="shared" si="36"/>
        <v/>
      </c>
      <c r="Q369" s="61" t="str">
        <f>IFERROR(IF(N369-N368&lt;=0,"",P369/SQRT(Таблица_pr2[[#This Row],[Удельное сопротивление грунта, Ом·м]])),P369/SQRT(Таблица_pr2[[#This Row],[Удельное сопротивление грунта, Ом·м]]))</f>
        <v/>
      </c>
      <c r="S369" s="51"/>
      <c r="T369" s="52"/>
      <c r="U369" s="50"/>
      <c r="V369" s="61" t="str">
        <f t="shared" si="31"/>
        <v/>
      </c>
      <c r="W369" s="61" t="str">
        <f>IFERROR(IF(T369-T368&lt;=0,"",V369/SQRT(Таблица_pr3[[#This Row],[Удельное сопротивление грунта, Ом·м]])),V369/SQRT(Таблица_pr3[[#This Row],[Удельное сопротивление грунта, Ом·м]]))</f>
        <v/>
      </c>
      <c r="Y369" s="51"/>
      <c r="Z369" s="52"/>
      <c r="AA369" s="50"/>
      <c r="AB369" s="61" t="str">
        <f t="shared" si="37"/>
        <v/>
      </c>
      <c r="AC369" s="61" t="str">
        <f>IFERROR(IF(Z369-Z368&lt;=0,"",AB369/SQRT(Таблица_pr4[[#This Row],[Удельное сопротивление грунта, Ом·м]])),AB369/SQRT(Таблица_pr4[[#This Row],[Удельное сопротивление грунта, Ом·м]]))</f>
        <v/>
      </c>
      <c r="AE369" s="51"/>
      <c r="AF369" s="52"/>
      <c r="AG369" s="50"/>
      <c r="AH369" s="61" t="str">
        <f t="shared" si="32"/>
        <v/>
      </c>
      <c r="AI369" s="61" t="str">
        <f>IFERROR(IF(AF369-AF368&lt;=0,"",AH369/SQRT(Таблица_pr5[[#This Row],[Удельное сопротивление грунта, Ом·м]])),AH369/SQRT(Таблица_pr5[[#This Row],[Удельное сопротивление грунта, Ом·м]]))</f>
        <v/>
      </c>
      <c r="AK369" s="51"/>
      <c r="AL369" s="52"/>
      <c r="AM369" s="50"/>
      <c r="AN369" s="61" t="str">
        <f t="shared" si="38"/>
        <v/>
      </c>
      <c r="AO369" s="61" t="str">
        <f>IFERROR(IF(AL369-AL368&lt;=0,"",AN369/SQRT(Таблица_pr6[[#This Row],[Удельное сопротивление грунта, Ом·м]])),AN369/SQRT(Таблица_pr6[[#This Row],[Удельное сопротивление грунта, Ом·м]]))</f>
        <v/>
      </c>
      <c r="AQ369" s="51"/>
      <c r="AR369" s="52"/>
      <c r="AS369" s="50"/>
      <c r="AT369" s="61" t="str">
        <f t="shared" si="33"/>
        <v/>
      </c>
      <c r="AU369" s="61" t="str">
        <f>IFERROR(IF(AR369-AR368&lt;=0,"",AT369/SQRT(Таблица_pr7[[#This Row],[Удельное сопротивление грунта, Ом·м]])),AT369/SQRT(Таблица_pr7[[#This Row],[Удельное сопротивление грунта, Ом·м]]))</f>
        <v/>
      </c>
      <c r="AW369" s="51"/>
      <c r="AX369" s="52"/>
      <c r="AY369" s="50"/>
      <c r="AZ369" s="61" t="str">
        <f t="shared" si="39"/>
        <v/>
      </c>
      <c r="BA369" s="61" t="str">
        <f>IFERROR(IF(AX369-AX368&lt;=0,"",AZ369/SQRT(Таблица_pr8[[#This Row],[Удельное сопротивление грунта, Ом·м]])),AZ369/SQRT(Таблица_pr8[[#This Row],[Удельное сопротивление грунта, Ом·м]]))</f>
        <v/>
      </c>
      <c r="BC369" s="51"/>
      <c r="BD369" s="52"/>
      <c r="BE369" s="50"/>
      <c r="BF369" s="61" t="str">
        <f t="shared" si="40"/>
        <v/>
      </c>
      <c r="BG369" s="61" t="str">
        <f>IFERROR(IF(BD369-AX388&lt;=0,"",BF369/SQRT(Таблица_pr9[[#This Row],[Удельное сопротивление грунта, Ом·м]])),BF369/SQRT(Таблица_pr9[[#This Row],[Удельное сопротивление грунта, Ом·м]]))</f>
        <v/>
      </c>
      <c r="BI369" s="51"/>
      <c r="BJ369" s="52"/>
      <c r="BK369" s="50"/>
      <c r="BM369" s="61" t="str">
        <f>IFERROR(IF(BJ369-BD398&lt;=0,"",BL369/SQRT(Таблица_pr10[[#This Row],[Удельное сопротивление грунта, Ом·м]])),BL369/SQRT(Таблица_pr10[[#This Row],[Удельное сопротивление грунта, Ом·м]]))</f>
        <v/>
      </c>
    </row>
    <row r="370" spans="1:65">
      <c r="A370" s="53"/>
      <c r="B370" s="52"/>
      <c r="C370" s="50"/>
      <c r="D370" s="61" t="str">
        <f t="shared" si="34"/>
        <v/>
      </c>
      <c r="E370" s="61" t="str">
        <f>IFERROR(IF(B370-B369&lt;=0,"",D370/SQRT(Таблица_pr[[#This Row],[Удельное сопротивление грунта, Ом·м]])),D370/SQRT(Таблица_pr[[#This Row],[Удельное сопротивление грунта, Ом·м]]))</f>
        <v/>
      </c>
      <c r="G370" s="188"/>
      <c r="H370" s="184"/>
      <c r="I370" s="182"/>
      <c r="J370" s="181" t="str">
        <f t="shared" si="35"/>
        <v/>
      </c>
      <c r="K370" s="61" t="str">
        <f>IFERROR(IF(H370-H369&lt;=0,"",J370/SQRT(Таблица_pr1[[#This Row],[Удельное сопротивление грунта, Ом·м]])),J370/SQRT(Таблица_pr1[[#This Row],[Удельное сопротивление грунта, Ом·м]]))</f>
        <v/>
      </c>
      <c r="M370" s="53"/>
      <c r="N370" s="52"/>
      <c r="O370" s="50"/>
      <c r="P370" s="61" t="str">
        <f t="shared" si="36"/>
        <v/>
      </c>
      <c r="Q370" s="61" t="str">
        <f>IFERROR(IF(N370-N369&lt;=0,"",P370/SQRT(Таблица_pr2[[#This Row],[Удельное сопротивление грунта, Ом·м]])),P370/SQRT(Таблица_pr2[[#This Row],[Удельное сопротивление грунта, Ом·м]]))</f>
        <v/>
      </c>
      <c r="S370" s="53"/>
      <c r="T370" s="52"/>
      <c r="U370" s="50"/>
      <c r="V370" s="61" t="str">
        <f t="shared" si="31"/>
        <v/>
      </c>
      <c r="W370" s="61" t="str">
        <f>IFERROR(IF(T370-T369&lt;=0,"",V370/SQRT(Таблица_pr3[[#This Row],[Удельное сопротивление грунта, Ом·м]])),V370/SQRT(Таблица_pr3[[#This Row],[Удельное сопротивление грунта, Ом·м]]))</f>
        <v/>
      </c>
      <c r="Y370" s="53"/>
      <c r="Z370" s="52"/>
      <c r="AA370" s="50"/>
      <c r="AB370" s="61" t="str">
        <f t="shared" si="37"/>
        <v/>
      </c>
      <c r="AC370" s="61" t="str">
        <f>IFERROR(IF(Z370-Z369&lt;=0,"",AB370/SQRT(Таблица_pr4[[#This Row],[Удельное сопротивление грунта, Ом·м]])),AB370/SQRT(Таблица_pr4[[#This Row],[Удельное сопротивление грунта, Ом·м]]))</f>
        <v/>
      </c>
      <c r="AE370" s="53"/>
      <c r="AF370" s="52"/>
      <c r="AG370" s="50"/>
      <c r="AH370" s="61" t="str">
        <f t="shared" si="32"/>
        <v/>
      </c>
      <c r="AI370" s="61" t="str">
        <f>IFERROR(IF(AF370-AF369&lt;=0,"",AH370/SQRT(Таблица_pr5[[#This Row],[Удельное сопротивление грунта, Ом·м]])),AH370/SQRT(Таблица_pr5[[#This Row],[Удельное сопротивление грунта, Ом·м]]))</f>
        <v/>
      </c>
      <c r="AK370" s="53"/>
      <c r="AL370" s="52"/>
      <c r="AM370" s="50"/>
      <c r="AN370" s="61" t="str">
        <f t="shared" si="38"/>
        <v/>
      </c>
      <c r="AO370" s="61" t="str">
        <f>IFERROR(IF(AL370-AL369&lt;=0,"",AN370/SQRT(Таблица_pr6[[#This Row],[Удельное сопротивление грунта, Ом·м]])),AN370/SQRT(Таблица_pr6[[#This Row],[Удельное сопротивление грунта, Ом·м]]))</f>
        <v/>
      </c>
      <c r="AQ370" s="53"/>
      <c r="AR370" s="52"/>
      <c r="AS370" s="50"/>
      <c r="AT370" s="61" t="str">
        <f t="shared" si="33"/>
        <v/>
      </c>
      <c r="AU370" s="61" t="str">
        <f>IFERROR(IF(AR370-AR369&lt;=0,"",AT370/SQRT(Таблица_pr7[[#This Row],[Удельное сопротивление грунта, Ом·м]])),AT370/SQRT(Таблица_pr7[[#This Row],[Удельное сопротивление грунта, Ом·м]]))</f>
        <v/>
      </c>
      <c r="AW370" s="53"/>
      <c r="AX370" s="52"/>
      <c r="AY370" s="50"/>
      <c r="AZ370" s="61" t="str">
        <f t="shared" si="39"/>
        <v/>
      </c>
      <c r="BA370" s="61" t="str">
        <f>IFERROR(IF(AX370-AX369&lt;=0,"",AZ370/SQRT(Таблица_pr8[[#This Row],[Удельное сопротивление грунта, Ом·м]])),AZ370/SQRT(Таблица_pr8[[#This Row],[Удельное сопротивление грунта, Ом·м]]))</f>
        <v/>
      </c>
      <c r="BC370" s="53"/>
      <c r="BD370" s="52"/>
      <c r="BE370" s="50"/>
      <c r="BF370" s="61" t="str">
        <f t="shared" si="40"/>
        <v/>
      </c>
      <c r="BG370" s="61" t="str">
        <f>IFERROR(IF(BD370-AX389&lt;=0,"",BF370/SQRT(Таблица_pr9[[#This Row],[Удельное сопротивление грунта, Ом·м]])),BF370/SQRT(Таблица_pr9[[#This Row],[Удельное сопротивление грунта, Ом·м]]))</f>
        <v/>
      </c>
      <c r="BI370" s="53"/>
      <c r="BJ370" s="52"/>
      <c r="BK370" s="50"/>
      <c r="BM370" s="61" t="str">
        <f>IFERROR(IF(BJ370-BD399&lt;=0,"",BL370/SQRT(Таблица_pr10[[#This Row],[Удельное сопротивление грунта, Ом·м]])),BL370/SQRT(Таблица_pr10[[#This Row],[Удельное сопротивление грунта, Ом·м]]))</f>
        <v/>
      </c>
    </row>
    <row r="371" spans="1:65">
      <c r="A371" s="51"/>
      <c r="B371" s="52"/>
      <c r="C371" s="50"/>
      <c r="D371" s="61" t="str">
        <f t="shared" si="34"/>
        <v/>
      </c>
      <c r="E371" s="61" t="str">
        <f>IFERROR(IF(B371-B370&lt;=0,"",D371/SQRT(Таблица_pr[[#This Row],[Удельное сопротивление грунта, Ом·м]])),D371/SQRT(Таблица_pr[[#This Row],[Удельное сопротивление грунта, Ом·м]]))</f>
        <v/>
      </c>
      <c r="G371" s="189"/>
      <c r="H371" s="185"/>
      <c r="I371" s="183"/>
      <c r="J371" s="180" t="str">
        <f t="shared" si="35"/>
        <v/>
      </c>
      <c r="K371" s="61" t="str">
        <f>IFERROR(IF(H371-H370&lt;=0,"",J371/SQRT(Таблица_pr1[[#This Row],[Удельное сопротивление грунта, Ом·м]])),J371/SQRT(Таблица_pr1[[#This Row],[Удельное сопротивление грунта, Ом·м]]))</f>
        <v/>
      </c>
      <c r="M371" s="51"/>
      <c r="N371" s="52"/>
      <c r="O371" s="50"/>
      <c r="P371" s="61" t="str">
        <f t="shared" si="36"/>
        <v/>
      </c>
      <c r="Q371" s="61" t="str">
        <f>IFERROR(IF(N371-N370&lt;=0,"",P371/SQRT(Таблица_pr2[[#This Row],[Удельное сопротивление грунта, Ом·м]])),P371/SQRT(Таблица_pr2[[#This Row],[Удельное сопротивление грунта, Ом·м]]))</f>
        <v/>
      </c>
      <c r="S371" s="51"/>
      <c r="T371" s="52"/>
      <c r="U371" s="50"/>
      <c r="V371" s="61" t="str">
        <f t="shared" si="31"/>
        <v/>
      </c>
      <c r="W371" s="61" t="str">
        <f>IFERROR(IF(T371-T370&lt;=0,"",V371/SQRT(Таблица_pr3[[#This Row],[Удельное сопротивление грунта, Ом·м]])),V371/SQRT(Таблица_pr3[[#This Row],[Удельное сопротивление грунта, Ом·м]]))</f>
        <v/>
      </c>
      <c r="Y371" s="51"/>
      <c r="Z371" s="52"/>
      <c r="AA371" s="50"/>
      <c r="AB371" s="61" t="str">
        <f t="shared" si="37"/>
        <v/>
      </c>
      <c r="AC371" s="61" t="str">
        <f>IFERROR(IF(Z371-Z370&lt;=0,"",AB371/SQRT(Таблица_pr4[[#This Row],[Удельное сопротивление грунта, Ом·м]])),AB371/SQRT(Таблица_pr4[[#This Row],[Удельное сопротивление грунта, Ом·м]]))</f>
        <v/>
      </c>
      <c r="AE371" s="51"/>
      <c r="AF371" s="52"/>
      <c r="AG371" s="50"/>
      <c r="AH371" s="61" t="str">
        <f t="shared" si="32"/>
        <v/>
      </c>
      <c r="AI371" s="61" t="str">
        <f>IFERROR(IF(AF371-AF370&lt;=0,"",AH371/SQRT(Таблица_pr5[[#This Row],[Удельное сопротивление грунта, Ом·м]])),AH371/SQRT(Таблица_pr5[[#This Row],[Удельное сопротивление грунта, Ом·м]]))</f>
        <v/>
      </c>
      <c r="AK371" s="51"/>
      <c r="AL371" s="52"/>
      <c r="AM371" s="50"/>
      <c r="AN371" s="61" t="str">
        <f t="shared" si="38"/>
        <v/>
      </c>
      <c r="AO371" s="61" t="str">
        <f>IFERROR(IF(AL371-AL370&lt;=0,"",AN371/SQRT(Таблица_pr6[[#This Row],[Удельное сопротивление грунта, Ом·м]])),AN371/SQRT(Таблица_pr6[[#This Row],[Удельное сопротивление грунта, Ом·м]]))</f>
        <v/>
      </c>
      <c r="AQ371" s="51"/>
      <c r="AR371" s="52"/>
      <c r="AS371" s="50"/>
      <c r="AT371" s="61" t="str">
        <f t="shared" si="33"/>
        <v/>
      </c>
      <c r="AU371" s="61" t="str">
        <f>IFERROR(IF(AR371-AR370&lt;=0,"",AT371/SQRT(Таблица_pr7[[#This Row],[Удельное сопротивление грунта, Ом·м]])),AT371/SQRT(Таблица_pr7[[#This Row],[Удельное сопротивление грунта, Ом·м]]))</f>
        <v/>
      </c>
      <c r="AW371" s="51"/>
      <c r="AX371" s="52"/>
      <c r="AY371" s="50"/>
      <c r="AZ371" s="61" t="str">
        <f t="shared" si="39"/>
        <v/>
      </c>
      <c r="BA371" s="61" t="str">
        <f>IFERROR(IF(AX371-AX370&lt;=0,"",AZ371/SQRT(Таблица_pr8[[#This Row],[Удельное сопротивление грунта, Ом·м]])),AZ371/SQRT(Таблица_pr8[[#This Row],[Удельное сопротивление грунта, Ом·м]]))</f>
        <v/>
      </c>
      <c r="BC371" s="51"/>
      <c r="BD371" s="52"/>
      <c r="BE371" s="50"/>
      <c r="BF371" s="61" t="str">
        <f t="shared" si="40"/>
        <v/>
      </c>
      <c r="BG371" s="61" t="str">
        <f>IFERROR(IF(BD371-AX390&lt;=0,"",BF371/SQRT(Таблица_pr9[[#This Row],[Удельное сопротивление грунта, Ом·м]])),BF371/SQRT(Таблица_pr9[[#This Row],[Удельное сопротивление грунта, Ом·м]]))</f>
        <v/>
      </c>
      <c r="BI371" s="51"/>
      <c r="BJ371" s="52"/>
      <c r="BK371" s="50"/>
      <c r="BM371" s="61" t="str">
        <f>IFERROR(IF(BJ371-BD400&lt;=0,"",BL371/SQRT(Таблица_pr10[[#This Row],[Удельное сопротивление грунта, Ом·м]])),BL371/SQRT(Таблица_pr10[[#This Row],[Удельное сопротивление грунта, Ом·м]]))</f>
        <v/>
      </c>
    </row>
    <row r="372" spans="1:65">
      <c r="A372" s="53"/>
      <c r="B372" s="52"/>
      <c r="C372" s="50"/>
      <c r="D372" s="61" t="str">
        <f t="shared" si="34"/>
        <v/>
      </c>
      <c r="E372" s="61" t="str">
        <f>IFERROR(IF(B372-B371&lt;=0,"",D372/SQRT(Таблица_pr[[#This Row],[Удельное сопротивление грунта, Ом·м]])),D372/SQRT(Таблица_pr[[#This Row],[Удельное сопротивление грунта, Ом·м]]))</f>
        <v/>
      </c>
      <c r="G372" s="188"/>
      <c r="H372" s="184"/>
      <c r="I372" s="182"/>
      <c r="J372" s="181" t="str">
        <f t="shared" si="35"/>
        <v/>
      </c>
      <c r="K372" s="61" t="str">
        <f>IFERROR(IF(H372-H371&lt;=0,"",J372/SQRT(Таблица_pr1[[#This Row],[Удельное сопротивление грунта, Ом·м]])),J372/SQRT(Таблица_pr1[[#This Row],[Удельное сопротивление грунта, Ом·м]]))</f>
        <v/>
      </c>
      <c r="M372" s="53"/>
      <c r="N372" s="52"/>
      <c r="O372" s="50"/>
      <c r="P372" s="61" t="str">
        <f t="shared" si="36"/>
        <v/>
      </c>
      <c r="Q372" s="61" t="str">
        <f>IFERROR(IF(N372-N371&lt;=0,"",P372/SQRT(Таблица_pr2[[#This Row],[Удельное сопротивление грунта, Ом·м]])),P372/SQRT(Таблица_pr2[[#This Row],[Удельное сопротивление грунта, Ом·м]]))</f>
        <v/>
      </c>
      <c r="S372" s="53"/>
      <c r="T372" s="52"/>
      <c r="U372" s="50"/>
      <c r="V372" s="61" t="str">
        <f t="shared" si="31"/>
        <v/>
      </c>
      <c r="W372" s="61" t="str">
        <f>IFERROR(IF(T372-T371&lt;=0,"",V372/SQRT(Таблица_pr3[[#This Row],[Удельное сопротивление грунта, Ом·м]])),V372/SQRT(Таблица_pr3[[#This Row],[Удельное сопротивление грунта, Ом·м]]))</f>
        <v/>
      </c>
      <c r="Y372" s="53"/>
      <c r="Z372" s="52"/>
      <c r="AA372" s="50"/>
      <c r="AB372" s="61" t="str">
        <f t="shared" si="37"/>
        <v/>
      </c>
      <c r="AC372" s="61" t="str">
        <f>IFERROR(IF(Z372-Z371&lt;=0,"",AB372/SQRT(Таблица_pr4[[#This Row],[Удельное сопротивление грунта, Ом·м]])),AB372/SQRT(Таблица_pr4[[#This Row],[Удельное сопротивление грунта, Ом·м]]))</f>
        <v/>
      </c>
      <c r="AE372" s="53"/>
      <c r="AF372" s="52"/>
      <c r="AG372" s="50"/>
      <c r="AH372" s="61" t="str">
        <f t="shared" si="32"/>
        <v/>
      </c>
      <c r="AI372" s="61" t="str">
        <f>IFERROR(IF(AF372-AF371&lt;=0,"",AH372/SQRT(Таблица_pr5[[#This Row],[Удельное сопротивление грунта, Ом·м]])),AH372/SQRT(Таблица_pr5[[#This Row],[Удельное сопротивление грунта, Ом·м]]))</f>
        <v/>
      </c>
      <c r="AK372" s="53"/>
      <c r="AL372" s="52"/>
      <c r="AM372" s="50"/>
      <c r="AN372" s="61" t="str">
        <f t="shared" si="38"/>
        <v/>
      </c>
      <c r="AO372" s="61" t="str">
        <f>IFERROR(IF(AL372-AL371&lt;=0,"",AN372/SQRT(Таблица_pr6[[#This Row],[Удельное сопротивление грунта, Ом·м]])),AN372/SQRT(Таблица_pr6[[#This Row],[Удельное сопротивление грунта, Ом·м]]))</f>
        <v/>
      </c>
      <c r="AQ372" s="53"/>
      <c r="AR372" s="52"/>
      <c r="AS372" s="50"/>
      <c r="AT372" s="61" t="str">
        <f t="shared" si="33"/>
        <v/>
      </c>
      <c r="AU372" s="61" t="str">
        <f>IFERROR(IF(AR372-AR371&lt;=0,"",AT372/SQRT(Таблица_pr7[[#This Row],[Удельное сопротивление грунта, Ом·м]])),AT372/SQRT(Таблица_pr7[[#This Row],[Удельное сопротивление грунта, Ом·м]]))</f>
        <v/>
      </c>
      <c r="AW372" s="53"/>
      <c r="AX372" s="52"/>
      <c r="AY372" s="50"/>
      <c r="AZ372" s="61" t="str">
        <f t="shared" si="39"/>
        <v/>
      </c>
      <c r="BA372" s="61" t="str">
        <f>IFERROR(IF(AX372-AX371&lt;=0,"",AZ372/SQRT(Таблица_pr8[[#This Row],[Удельное сопротивление грунта, Ом·м]])),AZ372/SQRT(Таблица_pr8[[#This Row],[Удельное сопротивление грунта, Ом·м]]))</f>
        <v/>
      </c>
      <c r="BC372" s="53"/>
      <c r="BD372" s="52"/>
      <c r="BE372" s="50"/>
      <c r="BF372" s="61" t="str">
        <f t="shared" si="40"/>
        <v/>
      </c>
      <c r="BG372" s="61" t="str">
        <f>IFERROR(IF(BD372-AX391&lt;=0,"",BF372/SQRT(Таблица_pr9[[#This Row],[Удельное сопротивление грунта, Ом·м]])),BF372/SQRT(Таблица_pr9[[#This Row],[Удельное сопротивление грунта, Ом·м]]))</f>
        <v/>
      </c>
      <c r="BI372" s="53"/>
      <c r="BJ372" s="52"/>
      <c r="BK372" s="50"/>
      <c r="BM372" s="61" t="str">
        <f>IFERROR(IF(BJ372-BD401&lt;=0,"",BL372/SQRT(Таблица_pr10[[#This Row],[Удельное сопротивление грунта, Ом·м]])),BL372/SQRT(Таблица_pr10[[#This Row],[Удельное сопротивление грунта, Ом·м]]))</f>
        <v/>
      </c>
    </row>
    <row r="373" spans="1:65">
      <c r="A373" s="51"/>
      <c r="B373" s="52"/>
      <c r="C373" s="50"/>
      <c r="D373" s="61" t="str">
        <f t="shared" si="34"/>
        <v/>
      </c>
      <c r="E373" s="61" t="str">
        <f>IFERROR(IF(B373-B372&lt;=0,"",D373/SQRT(Таблица_pr[[#This Row],[Удельное сопротивление грунта, Ом·м]])),D373/SQRT(Таблица_pr[[#This Row],[Удельное сопротивление грунта, Ом·м]]))</f>
        <v/>
      </c>
      <c r="G373" s="189"/>
      <c r="H373" s="185"/>
      <c r="I373" s="183"/>
      <c r="J373" s="180" t="str">
        <f t="shared" si="35"/>
        <v/>
      </c>
      <c r="K373" s="61" t="str">
        <f>IFERROR(IF(H373-H372&lt;=0,"",J373/SQRT(Таблица_pr1[[#This Row],[Удельное сопротивление грунта, Ом·м]])),J373/SQRT(Таблица_pr1[[#This Row],[Удельное сопротивление грунта, Ом·м]]))</f>
        <v/>
      </c>
      <c r="M373" s="51"/>
      <c r="N373" s="52"/>
      <c r="O373" s="50"/>
      <c r="P373" s="61" t="str">
        <f t="shared" si="36"/>
        <v/>
      </c>
      <c r="Q373" s="61" t="str">
        <f>IFERROR(IF(N373-N372&lt;=0,"",P373/SQRT(Таблица_pr2[[#This Row],[Удельное сопротивление грунта, Ом·м]])),P373/SQRT(Таблица_pr2[[#This Row],[Удельное сопротивление грунта, Ом·м]]))</f>
        <v/>
      </c>
      <c r="S373" s="51"/>
      <c r="T373" s="52"/>
      <c r="U373" s="50"/>
      <c r="V373" s="61" t="str">
        <f t="shared" si="31"/>
        <v/>
      </c>
      <c r="W373" s="61" t="str">
        <f>IFERROR(IF(T373-T372&lt;=0,"",V373/SQRT(Таблица_pr3[[#This Row],[Удельное сопротивление грунта, Ом·м]])),V373/SQRT(Таблица_pr3[[#This Row],[Удельное сопротивление грунта, Ом·м]]))</f>
        <v/>
      </c>
      <c r="Y373" s="51"/>
      <c r="Z373" s="52"/>
      <c r="AA373" s="50"/>
      <c r="AB373" s="61" t="str">
        <f t="shared" si="37"/>
        <v/>
      </c>
      <c r="AC373" s="61" t="str">
        <f>IFERROR(IF(Z373-Z372&lt;=0,"",AB373/SQRT(Таблица_pr4[[#This Row],[Удельное сопротивление грунта, Ом·м]])),AB373/SQRT(Таблица_pr4[[#This Row],[Удельное сопротивление грунта, Ом·м]]))</f>
        <v/>
      </c>
      <c r="AE373" s="51"/>
      <c r="AF373" s="52"/>
      <c r="AG373" s="50"/>
      <c r="AH373" s="61" t="str">
        <f t="shared" si="32"/>
        <v/>
      </c>
      <c r="AI373" s="61" t="str">
        <f>IFERROR(IF(AF373-AF372&lt;=0,"",AH373/SQRT(Таблица_pr5[[#This Row],[Удельное сопротивление грунта, Ом·м]])),AH373/SQRT(Таблица_pr5[[#This Row],[Удельное сопротивление грунта, Ом·м]]))</f>
        <v/>
      </c>
      <c r="AK373" s="51"/>
      <c r="AL373" s="52"/>
      <c r="AM373" s="50"/>
      <c r="AN373" s="61" t="str">
        <f t="shared" si="38"/>
        <v/>
      </c>
      <c r="AO373" s="61" t="str">
        <f>IFERROR(IF(AL373-AL372&lt;=0,"",AN373/SQRT(Таблица_pr6[[#This Row],[Удельное сопротивление грунта, Ом·м]])),AN373/SQRT(Таблица_pr6[[#This Row],[Удельное сопротивление грунта, Ом·м]]))</f>
        <v/>
      </c>
      <c r="AQ373" s="51"/>
      <c r="AR373" s="52"/>
      <c r="AS373" s="50"/>
      <c r="AT373" s="61" t="str">
        <f t="shared" si="33"/>
        <v/>
      </c>
      <c r="AU373" s="61" t="str">
        <f>IFERROR(IF(AR373-AR372&lt;=0,"",AT373/SQRT(Таблица_pr7[[#This Row],[Удельное сопротивление грунта, Ом·м]])),AT373/SQRT(Таблица_pr7[[#This Row],[Удельное сопротивление грунта, Ом·м]]))</f>
        <v/>
      </c>
      <c r="AW373" s="51"/>
      <c r="AX373" s="52"/>
      <c r="AY373" s="50"/>
      <c r="AZ373" s="61" t="str">
        <f t="shared" si="39"/>
        <v/>
      </c>
      <c r="BA373" s="61" t="str">
        <f>IFERROR(IF(AX373-AX372&lt;=0,"",AZ373/SQRT(Таблица_pr8[[#This Row],[Удельное сопротивление грунта, Ом·м]])),AZ373/SQRT(Таблица_pr8[[#This Row],[Удельное сопротивление грунта, Ом·м]]))</f>
        <v/>
      </c>
      <c r="BC373" s="51"/>
      <c r="BD373" s="52"/>
      <c r="BE373" s="50"/>
      <c r="BF373" s="61" t="str">
        <f t="shared" si="40"/>
        <v/>
      </c>
      <c r="BG373" s="61" t="str">
        <f>IFERROR(IF(BD373-AX392&lt;=0,"",BF373/SQRT(Таблица_pr9[[#This Row],[Удельное сопротивление грунта, Ом·м]])),BF373/SQRT(Таблица_pr9[[#This Row],[Удельное сопротивление грунта, Ом·м]]))</f>
        <v/>
      </c>
      <c r="BI373" s="51"/>
      <c r="BJ373" s="52"/>
      <c r="BK373" s="50"/>
      <c r="BM373" s="61" t="str">
        <f>IFERROR(IF(BJ373-BD402&lt;=0,"",BL373/SQRT(Таблица_pr10[[#This Row],[Удельное сопротивление грунта, Ом·м]])),BL373/SQRT(Таблица_pr10[[#This Row],[Удельное сопротивление грунта, Ом·м]]))</f>
        <v/>
      </c>
    </row>
    <row r="374" spans="1:65">
      <c r="A374" s="53"/>
      <c r="B374" s="52"/>
      <c r="C374" s="50"/>
      <c r="D374" s="61" t="str">
        <f t="shared" si="34"/>
        <v/>
      </c>
      <c r="E374" s="61" t="str">
        <f>IFERROR(IF(B374-B373&lt;=0,"",D374/SQRT(Таблица_pr[[#This Row],[Удельное сопротивление грунта, Ом·м]])),D374/SQRT(Таблица_pr[[#This Row],[Удельное сопротивление грунта, Ом·м]]))</f>
        <v/>
      </c>
      <c r="G374" s="188"/>
      <c r="H374" s="184"/>
      <c r="I374" s="182"/>
      <c r="J374" s="181" t="str">
        <f t="shared" si="35"/>
        <v/>
      </c>
      <c r="K374" s="61" t="str">
        <f>IFERROR(IF(H374-H373&lt;=0,"",J374/SQRT(Таблица_pr1[[#This Row],[Удельное сопротивление грунта, Ом·м]])),J374/SQRT(Таблица_pr1[[#This Row],[Удельное сопротивление грунта, Ом·м]]))</f>
        <v/>
      </c>
      <c r="M374" s="53"/>
      <c r="N374" s="52"/>
      <c r="O374" s="50"/>
      <c r="P374" s="61" t="str">
        <f t="shared" si="36"/>
        <v/>
      </c>
      <c r="Q374" s="61" t="str">
        <f>IFERROR(IF(N374-N373&lt;=0,"",P374/SQRT(Таблица_pr2[[#This Row],[Удельное сопротивление грунта, Ом·м]])),P374/SQRT(Таблица_pr2[[#This Row],[Удельное сопротивление грунта, Ом·м]]))</f>
        <v/>
      </c>
      <c r="S374" s="53"/>
      <c r="T374" s="52"/>
      <c r="U374" s="50"/>
      <c r="V374" s="61" t="str">
        <f t="shared" si="31"/>
        <v/>
      </c>
      <c r="W374" s="61" t="str">
        <f>IFERROR(IF(T374-T373&lt;=0,"",V374/SQRT(Таблица_pr3[[#This Row],[Удельное сопротивление грунта, Ом·м]])),V374/SQRT(Таблица_pr3[[#This Row],[Удельное сопротивление грунта, Ом·м]]))</f>
        <v/>
      </c>
      <c r="Y374" s="53"/>
      <c r="Z374" s="52"/>
      <c r="AA374" s="50"/>
      <c r="AB374" s="61" t="str">
        <f t="shared" si="37"/>
        <v/>
      </c>
      <c r="AC374" s="61" t="str">
        <f>IFERROR(IF(Z374-Z373&lt;=0,"",AB374/SQRT(Таблица_pr4[[#This Row],[Удельное сопротивление грунта, Ом·м]])),AB374/SQRT(Таблица_pr4[[#This Row],[Удельное сопротивление грунта, Ом·м]]))</f>
        <v/>
      </c>
      <c r="AE374" s="53"/>
      <c r="AF374" s="52"/>
      <c r="AG374" s="50"/>
      <c r="AH374" s="61" t="str">
        <f t="shared" si="32"/>
        <v/>
      </c>
      <c r="AI374" s="61" t="str">
        <f>IFERROR(IF(AF374-AF373&lt;=0,"",AH374/SQRT(Таблица_pr5[[#This Row],[Удельное сопротивление грунта, Ом·м]])),AH374/SQRT(Таблица_pr5[[#This Row],[Удельное сопротивление грунта, Ом·м]]))</f>
        <v/>
      </c>
      <c r="AK374" s="53"/>
      <c r="AL374" s="52"/>
      <c r="AM374" s="50"/>
      <c r="AN374" s="61" t="str">
        <f t="shared" si="38"/>
        <v/>
      </c>
      <c r="AO374" s="61" t="str">
        <f>IFERROR(IF(AL374-AL373&lt;=0,"",AN374/SQRT(Таблица_pr6[[#This Row],[Удельное сопротивление грунта, Ом·м]])),AN374/SQRT(Таблица_pr6[[#This Row],[Удельное сопротивление грунта, Ом·м]]))</f>
        <v/>
      </c>
      <c r="AQ374" s="53"/>
      <c r="AR374" s="52"/>
      <c r="AS374" s="50"/>
      <c r="AT374" s="61" t="str">
        <f t="shared" si="33"/>
        <v/>
      </c>
      <c r="AU374" s="61" t="str">
        <f>IFERROR(IF(AR374-AR373&lt;=0,"",AT374/SQRT(Таблица_pr7[[#This Row],[Удельное сопротивление грунта, Ом·м]])),AT374/SQRT(Таблица_pr7[[#This Row],[Удельное сопротивление грунта, Ом·м]]))</f>
        <v/>
      </c>
      <c r="AW374" s="53"/>
      <c r="AX374" s="52"/>
      <c r="AY374" s="50"/>
      <c r="AZ374" s="61" t="str">
        <f t="shared" si="39"/>
        <v/>
      </c>
      <c r="BA374" s="61" t="str">
        <f>IFERROR(IF(AX374-AX373&lt;=0,"",AZ374/SQRT(Таблица_pr8[[#This Row],[Удельное сопротивление грунта, Ом·м]])),AZ374/SQRT(Таблица_pr8[[#This Row],[Удельное сопротивление грунта, Ом·м]]))</f>
        <v/>
      </c>
      <c r="BC374" s="53"/>
      <c r="BD374" s="52"/>
      <c r="BE374" s="50"/>
      <c r="BF374" s="61" t="str">
        <f t="shared" si="40"/>
        <v/>
      </c>
      <c r="BG374" s="61" t="str">
        <f>IFERROR(IF(BD374-AX393&lt;=0,"",BF374/SQRT(Таблица_pr9[[#This Row],[Удельное сопротивление грунта, Ом·м]])),BF374/SQRT(Таблица_pr9[[#This Row],[Удельное сопротивление грунта, Ом·м]]))</f>
        <v/>
      </c>
      <c r="BI374" s="53"/>
      <c r="BJ374" s="52"/>
      <c r="BK374" s="50"/>
      <c r="BM374" s="61" t="str">
        <f>IFERROR(IF(BJ374-BD403&lt;=0,"",BL374/SQRT(Таблица_pr10[[#This Row],[Удельное сопротивление грунта, Ом·м]])),BL374/SQRT(Таблица_pr10[[#This Row],[Удельное сопротивление грунта, Ом·м]]))</f>
        <v/>
      </c>
    </row>
    <row r="375" spans="1:65">
      <c r="A375" s="51"/>
      <c r="B375" s="52"/>
      <c r="C375" s="50"/>
      <c r="D375" s="61" t="str">
        <f t="shared" si="34"/>
        <v/>
      </c>
      <c r="E375" s="61" t="str">
        <f>IFERROR(IF(B375-B374&lt;=0,"",D375/SQRT(Таблица_pr[[#This Row],[Удельное сопротивление грунта, Ом·м]])),D375/SQRT(Таблица_pr[[#This Row],[Удельное сопротивление грунта, Ом·м]]))</f>
        <v/>
      </c>
      <c r="G375" s="189"/>
      <c r="H375" s="185"/>
      <c r="I375" s="183"/>
      <c r="J375" s="180" t="str">
        <f t="shared" si="35"/>
        <v/>
      </c>
      <c r="K375" s="61" t="str">
        <f>IFERROR(IF(H375-H374&lt;=0,"",J375/SQRT(Таблица_pr1[[#This Row],[Удельное сопротивление грунта, Ом·м]])),J375/SQRT(Таблица_pr1[[#This Row],[Удельное сопротивление грунта, Ом·м]]))</f>
        <v/>
      </c>
      <c r="M375" s="51"/>
      <c r="N375" s="52"/>
      <c r="O375" s="50"/>
      <c r="P375" s="61" t="str">
        <f t="shared" si="36"/>
        <v/>
      </c>
      <c r="Q375" s="61" t="str">
        <f>IFERROR(IF(N375-N374&lt;=0,"",P375/SQRT(Таблица_pr2[[#This Row],[Удельное сопротивление грунта, Ом·м]])),P375/SQRT(Таблица_pr2[[#This Row],[Удельное сопротивление грунта, Ом·м]]))</f>
        <v/>
      </c>
      <c r="S375" s="51"/>
      <c r="T375" s="52"/>
      <c r="U375" s="50"/>
      <c r="V375" s="61" t="str">
        <f t="shared" si="31"/>
        <v/>
      </c>
      <c r="W375" s="61" t="str">
        <f>IFERROR(IF(T375-T374&lt;=0,"",V375/SQRT(Таблица_pr3[[#This Row],[Удельное сопротивление грунта, Ом·м]])),V375/SQRT(Таблица_pr3[[#This Row],[Удельное сопротивление грунта, Ом·м]]))</f>
        <v/>
      </c>
      <c r="Y375" s="51"/>
      <c r="Z375" s="52"/>
      <c r="AA375" s="50"/>
      <c r="AB375" s="61" t="str">
        <f t="shared" si="37"/>
        <v/>
      </c>
      <c r="AC375" s="61" t="str">
        <f>IFERROR(IF(Z375-Z374&lt;=0,"",AB375/SQRT(Таблица_pr4[[#This Row],[Удельное сопротивление грунта, Ом·м]])),AB375/SQRT(Таблица_pr4[[#This Row],[Удельное сопротивление грунта, Ом·м]]))</f>
        <v/>
      </c>
      <c r="AE375" s="51"/>
      <c r="AF375" s="52"/>
      <c r="AG375" s="50"/>
      <c r="AH375" s="61" t="str">
        <f t="shared" si="32"/>
        <v/>
      </c>
      <c r="AI375" s="61" t="str">
        <f>IFERROR(IF(AF375-AF374&lt;=0,"",AH375/SQRT(Таблица_pr5[[#This Row],[Удельное сопротивление грунта, Ом·м]])),AH375/SQRT(Таблица_pr5[[#This Row],[Удельное сопротивление грунта, Ом·м]]))</f>
        <v/>
      </c>
      <c r="AK375" s="51"/>
      <c r="AL375" s="52"/>
      <c r="AM375" s="50"/>
      <c r="AN375" s="61" t="str">
        <f t="shared" si="38"/>
        <v/>
      </c>
      <c r="AO375" s="61" t="str">
        <f>IFERROR(IF(AL375-AL374&lt;=0,"",AN375/SQRT(Таблица_pr6[[#This Row],[Удельное сопротивление грунта, Ом·м]])),AN375/SQRT(Таблица_pr6[[#This Row],[Удельное сопротивление грунта, Ом·м]]))</f>
        <v/>
      </c>
      <c r="AQ375" s="51"/>
      <c r="AR375" s="52"/>
      <c r="AS375" s="50"/>
      <c r="AT375" s="61" t="str">
        <f t="shared" si="33"/>
        <v/>
      </c>
      <c r="AU375" s="61" t="str">
        <f>IFERROR(IF(AR375-AR374&lt;=0,"",AT375/SQRT(Таблица_pr7[[#This Row],[Удельное сопротивление грунта, Ом·м]])),AT375/SQRT(Таблица_pr7[[#This Row],[Удельное сопротивление грунта, Ом·м]]))</f>
        <v/>
      </c>
      <c r="AW375" s="51"/>
      <c r="AX375" s="52"/>
      <c r="AY375" s="50"/>
      <c r="AZ375" s="61" t="str">
        <f t="shared" si="39"/>
        <v/>
      </c>
      <c r="BA375" s="61" t="str">
        <f>IFERROR(IF(AX375-AX374&lt;=0,"",AZ375/SQRT(Таблица_pr8[[#This Row],[Удельное сопротивление грунта, Ом·м]])),AZ375/SQRT(Таблица_pr8[[#This Row],[Удельное сопротивление грунта, Ом·м]]))</f>
        <v/>
      </c>
      <c r="BC375" s="51"/>
      <c r="BD375" s="52"/>
      <c r="BE375" s="50"/>
      <c r="BF375" s="61" t="str">
        <f t="shared" si="40"/>
        <v/>
      </c>
      <c r="BG375" s="61" t="str">
        <f>IFERROR(IF(BD375-AX394&lt;=0,"",BF375/SQRT(Таблица_pr9[[#This Row],[Удельное сопротивление грунта, Ом·м]])),BF375/SQRT(Таблица_pr9[[#This Row],[Удельное сопротивление грунта, Ом·м]]))</f>
        <v/>
      </c>
      <c r="BI375" s="51"/>
      <c r="BJ375" s="52"/>
      <c r="BK375" s="50"/>
      <c r="BM375" s="61" t="str">
        <f>IFERROR(IF(BJ375-BD404&lt;=0,"",BL375/SQRT(Таблица_pr10[[#This Row],[Удельное сопротивление грунта, Ом·м]])),BL375/SQRT(Таблица_pr10[[#This Row],[Удельное сопротивление грунта, Ом·м]]))</f>
        <v/>
      </c>
    </row>
    <row r="376" spans="1:65">
      <c r="A376" s="53"/>
      <c r="B376" s="52"/>
      <c r="C376" s="50"/>
      <c r="D376" s="61" t="str">
        <f t="shared" si="34"/>
        <v/>
      </c>
      <c r="E376" s="61" t="str">
        <f>IFERROR(IF(B376-B375&lt;=0,"",D376/SQRT(Таблица_pr[[#This Row],[Удельное сопротивление грунта, Ом·м]])),D376/SQRT(Таблица_pr[[#This Row],[Удельное сопротивление грунта, Ом·м]]))</f>
        <v/>
      </c>
      <c r="G376" s="188"/>
      <c r="H376" s="184"/>
      <c r="I376" s="182"/>
      <c r="J376" s="181" t="str">
        <f t="shared" si="35"/>
        <v/>
      </c>
      <c r="K376" s="61" t="str">
        <f>IFERROR(IF(H376-H375&lt;=0,"",J376/SQRT(Таблица_pr1[[#This Row],[Удельное сопротивление грунта, Ом·м]])),J376/SQRT(Таблица_pr1[[#This Row],[Удельное сопротивление грунта, Ом·м]]))</f>
        <v/>
      </c>
      <c r="M376" s="53"/>
      <c r="N376" s="52"/>
      <c r="O376" s="50"/>
      <c r="P376" s="61" t="str">
        <f t="shared" si="36"/>
        <v/>
      </c>
      <c r="Q376" s="61" t="str">
        <f>IFERROR(IF(N376-N375&lt;=0,"",P376/SQRT(Таблица_pr2[[#This Row],[Удельное сопротивление грунта, Ом·м]])),P376/SQRT(Таблица_pr2[[#This Row],[Удельное сопротивление грунта, Ом·м]]))</f>
        <v/>
      </c>
      <c r="S376" s="53"/>
      <c r="T376" s="52"/>
      <c r="U376" s="50"/>
      <c r="V376" s="61" t="str">
        <f t="shared" si="31"/>
        <v/>
      </c>
      <c r="W376" s="61" t="str">
        <f>IFERROR(IF(T376-T375&lt;=0,"",V376/SQRT(Таблица_pr3[[#This Row],[Удельное сопротивление грунта, Ом·м]])),V376/SQRT(Таблица_pr3[[#This Row],[Удельное сопротивление грунта, Ом·м]]))</f>
        <v/>
      </c>
      <c r="Y376" s="53"/>
      <c r="Z376" s="52"/>
      <c r="AA376" s="50"/>
      <c r="AB376" s="61" t="str">
        <f t="shared" si="37"/>
        <v/>
      </c>
      <c r="AC376" s="61" t="str">
        <f>IFERROR(IF(Z376-Z375&lt;=0,"",AB376/SQRT(Таблица_pr4[[#This Row],[Удельное сопротивление грунта, Ом·м]])),AB376/SQRT(Таблица_pr4[[#This Row],[Удельное сопротивление грунта, Ом·м]]))</f>
        <v/>
      </c>
      <c r="AE376" s="53"/>
      <c r="AF376" s="52"/>
      <c r="AG376" s="50"/>
      <c r="AH376" s="61" t="str">
        <f t="shared" si="32"/>
        <v/>
      </c>
      <c r="AI376" s="61" t="str">
        <f>IFERROR(IF(AF376-AF375&lt;=0,"",AH376/SQRT(Таблица_pr5[[#This Row],[Удельное сопротивление грунта, Ом·м]])),AH376/SQRT(Таблица_pr5[[#This Row],[Удельное сопротивление грунта, Ом·м]]))</f>
        <v/>
      </c>
      <c r="AK376" s="53"/>
      <c r="AL376" s="52"/>
      <c r="AM376" s="50"/>
      <c r="AN376" s="61" t="str">
        <f t="shared" si="38"/>
        <v/>
      </c>
      <c r="AO376" s="61" t="str">
        <f>IFERROR(IF(AL376-AL375&lt;=0,"",AN376/SQRT(Таблица_pr6[[#This Row],[Удельное сопротивление грунта, Ом·м]])),AN376/SQRT(Таблица_pr6[[#This Row],[Удельное сопротивление грунта, Ом·м]]))</f>
        <v/>
      </c>
      <c r="AQ376" s="53"/>
      <c r="AR376" s="52"/>
      <c r="AS376" s="50"/>
      <c r="AT376" s="61" t="str">
        <f t="shared" si="33"/>
        <v/>
      </c>
      <c r="AU376" s="61" t="str">
        <f>IFERROR(IF(AR376-AR375&lt;=0,"",AT376/SQRT(Таблица_pr7[[#This Row],[Удельное сопротивление грунта, Ом·м]])),AT376/SQRT(Таблица_pr7[[#This Row],[Удельное сопротивление грунта, Ом·м]]))</f>
        <v/>
      </c>
      <c r="AW376" s="53"/>
      <c r="AX376" s="52"/>
      <c r="AY376" s="50"/>
      <c r="AZ376" s="61" t="str">
        <f t="shared" si="39"/>
        <v/>
      </c>
      <c r="BA376" s="61" t="str">
        <f>IFERROR(IF(AX376-AX375&lt;=0,"",AZ376/SQRT(Таблица_pr8[[#This Row],[Удельное сопротивление грунта, Ом·м]])),AZ376/SQRT(Таблица_pr8[[#This Row],[Удельное сопротивление грунта, Ом·м]]))</f>
        <v/>
      </c>
      <c r="BC376" s="53"/>
      <c r="BD376" s="52"/>
      <c r="BE376" s="50"/>
      <c r="BF376" s="61" t="str">
        <f t="shared" si="40"/>
        <v/>
      </c>
      <c r="BG376" s="61" t="str">
        <f>IFERROR(IF(BD376-AX395&lt;=0,"",BF376/SQRT(Таблица_pr9[[#This Row],[Удельное сопротивление грунта, Ом·м]])),BF376/SQRT(Таблица_pr9[[#This Row],[Удельное сопротивление грунта, Ом·м]]))</f>
        <v/>
      </c>
      <c r="BI376" s="53"/>
      <c r="BJ376" s="52"/>
      <c r="BK376" s="50"/>
      <c r="BM376" s="61" t="str">
        <f>IFERROR(IF(BJ376-BD405&lt;=0,"",BL376/SQRT(Таблица_pr10[[#This Row],[Удельное сопротивление грунта, Ом·м]])),BL376/SQRT(Таблица_pr10[[#This Row],[Удельное сопротивление грунта, Ом·м]]))</f>
        <v/>
      </c>
    </row>
    <row r="377" spans="1:65">
      <c r="A377" s="51"/>
      <c r="B377" s="52"/>
      <c r="C377" s="50"/>
      <c r="D377" s="61" t="str">
        <f t="shared" si="34"/>
        <v/>
      </c>
      <c r="E377" s="61" t="str">
        <f>IFERROR(IF(B377-B376&lt;=0,"",D377/SQRT(Таблица_pr[[#This Row],[Удельное сопротивление грунта, Ом·м]])),D377/SQRT(Таблица_pr[[#This Row],[Удельное сопротивление грунта, Ом·м]]))</f>
        <v/>
      </c>
      <c r="G377" s="189"/>
      <c r="H377" s="185"/>
      <c r="I377" s="183"/>
      <c r="J377" s="180" t="str">
        <f t="shared" si="35"/>
        <v/>
      </c>
      <c r="K377" s="61" t="str">
        <f>IFERROR(IF(H377-H376&lt;=0,"",J377/SQRT(Таблица_pr1[[#This Row],[Удельное сопротивление грунта, Ом·м]])),J377/SQRT(Таблица_pr1[[#This Row],[Удельное сопротивление грунта, Ом·м]]))</f>
        <v/>
      </c>
      <c r="M377" s="51"/>
      <c r="N377" s="52"/>
      <c r="O377" s="50"/>
      <c r="P377" s="61" t="str">
        <f t="shared" si="36"/>
        <v/>
      </c>
      <c r="Q377" s="61" t="str">
        <f>IFERROR(IF(N377-N376&lt;=0,"",P377/SQRT(Таблица_pr2[[#This Row],[Удельное сопротивление грунта, Ом·м]])),P377/SQRT(Таблица_pr2[[#This Row],[Удельное сопротивление грунта, Ом·м]]))</f>
        <v/>
      </c>
      <c r="S377" s="51"/>
      <c r="T377" s="52"/>
      <c r="U377" s="50"/>
      <c r="V377" s="61" t="str">
        <f t="shared" si="31"/>
        <v/>
      </c>
      <c r="W377" s="61" t="str">
        <f>IFERROR(IF(T377-T376&lt;=0,"",V377/SQRT(Таблица_pr3[[#This Row],[Удельное сопротивление грунта, Ом·м]])),V377/SQRT(Таблица_pr3[[#This Row],[Удельное сопротивление грунта, Ом·м]]))</f>
        <v/>
      </c>
      <c r="Y377" s="51"/>
      <c r="Z377" s="52"/>
      <c r="AA377" s="50"/>
      <c r="AB377" s="61" t="str">
        <f t="shared" si="37"/>
        <v/>
      </c>
      <c r="AC377" s="61" t="str">
        <f>IFERROR(IF(Z377-Z376&lt;=0,"",AB377/SQRT(Таблица_pr4[[#This Row],[Удельное сопротивление грунта, Ом·м]])),AB377/SQRT(Таблица_pr4[[#This Row],[Удельное сопротивление грунта, Ом·м]]))</f>
        <v/>
      </c>
      <c r="AE377" s="51"/>
      <c r="AF377" s="52"/>
      <c r="AG377" s="50"/>
      <c r="AH377" s="61" t="str">
        <f t="shared" si="32"/>
        <v/>
      </c>
      <c r="AI377" s="61" t="str">
        <f>IFERROR(IF(AF377-AF376&lt;=0,"",AH377/SQRT(Таблица_pr5[[#This Row],[Удельное сопротивление грунта, Ом·м]])),AH377/SQRT(Таблица_pr5[[#This Row],[Удельное сопротивление грунта, Ом·м]]))</f>
        <v/>
      </c>
      <c r="AK377" s="51"/>
      <c r="AL377" s="52"/>
      <c r="AM377" s="50"/>
      <c r="AN377" s="61" t="str">
        <f t="shared" si="38"/>
        <v/>
      </c>
      <c r="AO377" s="61" t="str">
        <f>IFERROR(IF(AL377-AL376&lt;=0,"",AN377/SQRT(Таблица_pr6[[#This Row],[Удельное сопротивление грунта, Ом·м]])),AN377/SQRT(Таблица_pr6[[#This Row],[Удельное сопротивление грунта, Ом·м]]))</f>
        <v/>
      </c>
      <c r="AQ377" s="51"/>
      <c r="AR377" s="52"/>
      <c r="AS377" s="50"/>
      <c r="AT377" s="61" t="str">
        <f t="shared" si="33"/>
        <v/>
      </c>
      <c r="AU377" s="61" t="str">
        <f>IFERROR(IF(AR377-AR376&lt;=0,"",AT377/SQRT(Таблица_pr7[[#This Row],[Удельное сопротивление грунта, Ом·м]])),AT377/SQRT(Таблица_pr7[[#This Row],[Удельное сопротивление грунта, Ом·м]]))</f>
        <v/>
      </c>
      <c r="AW377" s="51"/>
      <c r="AX377" s="52"/>
      <c r="AY377" s="50"/>
      <c r="AZ377" s="61" t="str">
        <f t="shared" si="39"/>
        <v/>
      </c>
      <c r="BA377" s="61" t="str">
        <f>IFERROR(IF(AX377-AX376&lt;=0,"",AZ377/SQRT(Таблица_pr8[[#This Row],[Удельное сопротивление грунта, Ом·м]])),AZ377/SQRT(Таблица_pr8[[#This Row],[Удельное сопротивление грунта, Ом·м]]))</f>
        <v/>
      </c>
      <c r="BC377" s="51"/>
      <c r="BD377" s="52"/>
      <c r="BE377" s="50"/>
      <c r="BF377" s="61" t="str">
        <f t="shared" si="40"/>
        <v/>
      </c>
      <c r="BG377" s="61" t="str">
        <f>IFERROR(IF(BD377-AX396&lt;=0,"",BF377/SQRT(Таблица_pr9[[#This Row],[Удельное сопротивление грунта, Ом·м]])),BF377/SQRT(Таблица_pr9[[#This Row],[Удельное сопротивление грунта, Ом·м]]))</f>
        <v/>
      </c>
      <c r="BI377" s="51"/>
      <c r="BJ377" s="52"/>
      <c r="BK377" s="50"/>
      <c r="BM377" s="61" t="str">
        <f>IFERROR(IF(BJ377-BD406&lt;=0,"",BL377/SQRT(Таблица_pr10[[#This Row],[Удельное сопротивление грунта, Ом·м]])),BL377/SQRT(Таблица_pr10[[#This Row],[Удельное сопротивление грунта, Ом·м]]))</f>
        <v/>
      </c>
    </row>
    <row r="378" spans="1:65">
      <c r="A378" s="53"/>
      <c r="B378" s="52"/>
      <c r="C378" s="50"/>
      <c r="D378" s="61" t="str">
        <f t="shared" si="34"/>
        <v/>
      </c>
      <c r="E378" s="61" t="str">
        <f>IFERROR(IF(B378-B377&lt;=0,"",D378/SQRT(Таблица_pr[[#This Row],[Удельное сопротивление грунта, Ом·м]])),D378/SQRT(Таблица_pr[[#This Row],[Удельное сопротивление грунта, Ом·м]]))</f>
        <v/>
      </c>
      <c r="G378" s="188"/>
      <c r="H378" s="184"/>
      <c r="I378" s="182"/>
      <c r="J378" s="181" t="str">
        <f t="shared" si="35"/>
        <v/>
      </c>
      <c r="K378" s="61" t="str">
        <f>IFERROR(IF(H378-H377&lt;=0,"",J378/SQRT(Таблица_pr1[[#This Row],[Удельное сопротивление грунта, Ом·м]])),J378/SQRT(Таблица_pr1[[#This Row],[Удельное сопротивление грунта, Ом·м]]))</f>
        <v/>
      </c>
      <c r="M378" s="53"/>
      <c r="N378" s="52"/>
      <c r="O378" s="50"/>
      <c r="P378" s="61" t="str">
        <f t="shared" si="36"/>
        <v/>
      </c>
      <c r="Q378" s="61" t="str">
        <f>IFERROR(IF(N378-N377&lt;=0,"",P378/SQRT(Таблица_pr2[[#This Row],[Удельное сопротивление грунта, Ом·м]])),P378/SQRT(Таблица_pr2[[#This Row],[Удельное сопротивление грунта, Ом·м]]))</f>
        <v/>
      </c>
      <c r="S378" s="53"/>
      <c r="T378" s="52"/>
      <c r="U378" s="50"/>
      <c r="V378" s="61" t="str">
        <f t="shared" si="31"/>
        <v/>
      </c>
      <c r="W378" s="61" t="str">
        <f>IFERROR(IF(T378-T377&lt;=0,"",V378/SQRT(Таблица_pr3[[#This Row],[Удельное сопротивление грунта, Ом·м]])),V378/SQRT(Таблица_pr3[[#This Row],[Удельное сопротивление грунта, Ом·м]]))</f>
        <v/>
      </c>
      <c r="Y378" s="53"/>
      <c r="Z378" s="52"/>
      <c r="AA378" s="50"/>
      <c r="AB378" s="61" t="str">
        <f t="shared" si="37"/>
        <v/>
      </c>
      <c r="AC378" s="61" t="str">
        <f>IFERROR(IF(Z378-Z377&lt;=0,"",AB378/SQRT(Таблица_pr4[[#This Row],[Удельное сопротивление грунта, Ом·м]])),AB378/SQRT(Таблица_pr4[[#This Row],[Удельное сопротивление грунта, Ом·м]]))</f>
        <v/>
      </c>
      <c r="AE378" s="53"/>
      <c r="AF378" s="52"/>
      <c r="AG378" s="50"/>
      <c r="AH378" s="61" t="str">
        <f t="shared" si="32"/>
        <v/>
      </c>
      <c r="AI378" s="61" t="str">
        <f>IFERROR(IF(AF378-AF377&lt;=0,"",AH378/SQRT(Таблица_pr5[[#This Row],[Удельное сопротивление грунта, Ом·м]])),AH378/SQRT(Таблица_pr5[[#This Row],[Удельное сопротивление грунта, Ом·м]]))</f>
        <v/>
      </c>
      <c r="AK378" s="53"/>
      <c r="AL378" s="52"/>
      <c r="AM378" s="50"/>
      <c r="AN378" s="61" t="str">
        <f t="shared" si="38"/>
        <v/>
      </c>
      <c r="AO378" s="61" t="str">
        <f>IFERROR(IF(AL378-AL377&lt;=0,"",AN378/SQRT(Таблица_pr6[[#This Row],[Удельное сопротивление грунта, Ом·м]])),AN378/SQRT(Таблица_pr6[[#This Row],[Удельное сопротивление грунта, Ом·м]]))</f>
        <v/>
      </c>
      <c r="AQ378" s="53"/>
      <c r="AR378" s="52"/>
      <c r="AS378" s="50"/>
      <c r="AT378" s="61" t="str">
        <f t="shared" si="33"/>
        <v/>
      </c>
      <c r="AU378" s="61" t="str">
        <f>IFERROR(IF(AR378-AR377&lt;=0,"",AT378/SQRT(Таблица_pr7[[#This Row],[Удельное сопротивление грунта, Ом·м]])),AT378/SQRT(Таблица_pr7[[#This Row],[Удельное сопротивление грунта, Ом·м]]))</f>
        <v/>
      </c>
      <c r="AW378" s="53"/>
      <c r="AX378" s="52"/>
      <c r="AY378" s="50"/>
      <c r="AZ378" s="61" t="str">
        <f t="shared" si="39"/>
        <v/>
      </c>
      <c r="BA378" s="61" t="str">
        <f>IFERROR(IF(AX378-AX377&lt;=0,"",AZ378/SQRT(Таблица_pr8[[#This Row],[Удельное сопротивление грунта, Ом·м]])),AZ378/SQRT(Таблица_pr8[[#This Row],[Удельное сопротивление грунта, Ом·м]]))</f>
        <v/>
      </c>
      <c r="BC378" s="53"/>
      <c r="BD378" s="52"/>
      <c r="BE378" s="50"/>
      <c r="BF378" s="61" t="str">
        <f t="shared" si="40"/>
        <v/>
      </c>
      <c r="BG378" s="61" t="str">
        <f>IFERROR(IF(BD378-AX397&lt;=0,"",BF378/SQRT(Таблица_pr9[[#This Row],[Удельное сопротивление грунта, Ом·м]])),BF378/SQRT(Таблица_pr9[[#This Row],[Удельное сопротивление грунта, Ом·м]]))</f>
        <v/>
      </c>
      <c r="BI378" s="53"/>
      <c r="BJ378" s="52"/>
      <c r="BK378" s="50"/>
      <c r="BM378" s="61" t="str">
        <f>IFERROR(IF(BJ378-BD407&lt;=0,"",BL378/SQRT(Таблица_pr10[[#This Row],[Удельное сопротивление грунта, Ом·м]])),BL378/SQRT(Таблица_pr10[[#This Row],[Удельное сопротивление грунта, Ом·м]]))</f>
        <v/>
      </c>
    </row>
    <row r="379" spans="1:65">
      <c r="A379" s="51"/>
      <c r="B379" s="52"/>
      <c r="C379" s="50"/>
      <c r="D379" s="61" t="str">
        <f t="shared" si="34"/>
        <v/>
      </c>
      <c r="E379" s="61" t="str">
        <f>IFERROR(IF(B379-B378&lt;=0,"",D379/SQRT(Таблица_pr[[#This Row],[Удельное сопротивление грунта, Ом·м]])),D379/SQRT(Таблица_pr[[#This Row],[Удельное сопротивление грунта, Ом·м]]))</f>
        <v/>
      </c>
      <c r="G379" s="189"/>
      <c r="H379" s="185"/>
      <c r="I379" s="183"/>
      <c r="J379" s="180" t="str">
        <f t="shared" si="35"/>
        <v/>
      </c>
      <c r="K379" s="61" t="str">
        <f>IFERROR(IF(H379-H378&lt;=0,"",J379/SQRT(Таблица_pr1[[#This Row],[Удельное сопротивление грунта, Ом·м]])),J379/SQRT(Таблица_pr1[[#This Row],[Удельное сопротивление грунта, Ом·м]]))</f>
        <v/>
      </c>
      <c r="M379" s="51"/>
      <c r="N379" s="52"/>
      <c r="O379" s="50"/>
      <c r="P379" s="61" t="str">
        <f t="shared" si="36"/>
        <v/>
      </c>
      <c r="Q379" s="61" t="str">
        <f>IFERROR(IF(N379-N378&lt;=0,"",P379/SQRT(Таблица_pr2[[#This Row],[Удельное сопротивление грунта, Ом·м]])),P379/SQRT(Таблица_pr2[[#This Row],[Удельное сопротивление грунта, Ом·м]]))</f>
        <v/>
      </c>
      <c r="S379" s="51"/>
      <c r="T379" s="52"/>
      <c r="U379" s="50"/>
      <c r="V379" s="61" t="str">
        <f t="shared" si="31"/>
        <v/>
      </c>
      <c r="W379" s="61" t="str">
        <f>IFERROR(IF(T379-T378&lt;=0,"",V379/SQRT(Таблица_pr3[[#This Row],[Удельное сопротивление грунта, Ом·м]])),V379/SQRT(Таблица_pr3[[#This Row],[Удельное сопротивление грунта, Ом·м]]))</f>
        <v/>
      </c>
      <c r="Y379" s="51"/>
      <c r="Z379" s="52"/>
      <c r="AA379" s="50"/>
      <c r="AB379" s="61" t="str">
        <f t="shared" si="37"/>
        <v/>
      </c>
      <c r="AC379" s="61" t="str">
        <f>IFERROR(IF(Z379-Z378&lt;=0,"",AB379/SQRT(Таблица_pr4[[#This Row],[Удельное сопротивление грунта, Ом·м]])),AB379/SQRT(Таблица_pr4[[#This Row],[Удельное сопротивление грунта, Ом·м]]))</f>
        <v/>
      </c>
      <c r="AE379" s="51"/>
      <c r="AF379" s="52"/>
      <c r="AG379" s="50"/>
      <c r="AH379" s="61" t="str">
        <f t="shared" si="32"/>
        <v/>
      </c>
      <c r="AI379" s="61" t="str">
        <f>IFERROR(IF(AF379-AF378&lt;=0,"",AH379/SQRT(Таблица_pr5[[#This Row],[Удельное сопротивление грунта, Ом·м]])),AH379/SQRT(Таблица_pr5[[#This Row],[Удельное сопротивление грунта, Ом·м]]))</f>
        <v/>
      </c>
      <c r="AK379" s="51"/>
      <c r="AL379" s="52"/>
      <c r="AM379" s="50"/>
      <c r="AN379" s="61" t="str">
        <f t="shared" si="38"/>
        <v/>
      </c>
      <c r="AO379" s="61" t="str">
        <f>IFERROR(IF(AL379-AL378&lt;=0,"",AN379/SQRT(Таблица_pr6[[#This Row],[Удельное сопротивление грунта, Ом·м]])),AN379/SQRT(Таблица_pr6[[#This Row],[Удельное сопротивление грунта, Ом·м]]))</f>
        <v/>
      </c>
      <c r="AQ379" s="51"/>
      <c r="AR379" s="52"/>
      <c r="AS379" s="50"/>
      <c r="AT379" s="61" t="str">
        <f t="shared" si="33"/>
        <v/>
      </c>
      <c r="AU379" s="61" t="str">
        <f>IFERROR(IF(AR379-AR378&lt;=0,"",AT379/SQRT(Таблица_pr7[[#This Row],[Удельное сопротивление грунта, Ом·м]])),AT379/SQRT(Таблица_pr7[[#This Row],[Удельное сопротивление грунта, Ом·м]]))</f>
        <v/>
      </c>
      <c r="AW379" s="51"/>
      <c r="AX379" s="52"/>
      <c r="AY379" s="50"/>
      <c r="AZ379" s="61" t="str">
        <f t="shared" si="39"/>
        <v/>
      </c>
      <c r="BA379" s="61" t="str">
        <f>IFERROR(IF(AX379-AX378&lt;=0,"",AZ379/SQRT(Таблица_pr8[[#This Row],[Удельное сопротивление грунта, Ом·м]])),AZ379/SQRT(Таблица_pr8[[#This Row],[Удельное сопротивление грунта, Ом·м]]))</f>
        <v/>
      </c>
      <c r="BC379" s="51"/>
      <c r="BD379" s="52"/>
      <c r="BE379" s="50"/>
      <c r="BF379" s="61" t="str">
        <f t="shared" si="40"/>
        <v/>
      </c>
      <c r="BG379" s="61" t="str">
        <f>IFERROR(IF(BD379-AX398&lt;=0,"",BF379/SQRT(Таблица_pr9[[#This Row],[Удельное сопротивление грунта, Ом·м]])),BF379/SQRT(Таблица_pr9[[#This Row],[Удельное сопротивление грунта, Ом·м]]))</f>
        <v/>
      </c>
      <c r="BI379" s="51"/>
      <c r="BJ379" s="52"/>
      <c r="BK379" s="50"/>
      <c r="BM379" s="61" t="str">
        <f>IFERROR(IF(BJ379-BD408&lt;=0,"",BL379/SQRT(Таблица_pr10[[#This Row],[Удельное сопротивление грунта, Ом·м]])),BL379/SQRT(Таблица_pr10[[#This Row],[Удельное сопротивление грунта, Ом·м]]))</f>
        <v/>
      </c>
    </row>
    <row r="380" spans="1:65">
      <c r="A380" s="53"/>
      <c r="B380" s="52"/>
      <c r="C380" s="50"/>
      <c r="D380" s="61" t="str">
        <f t="shared" si="34"/>
        <v/>
      </c>
      <c r="E380" s="61" t="str">
        <f>IFERROR(IF(B380-B379&lt;=0,"",D380/SQRT(Таблица_pr[[#This Row],[Удельное сопротивление грунта, Ом·м]])),D380/SQRT(Таблица_pr[[#This Row],[Удельное сопротивление грунта, Ом·м]]))</f>
        <v/>
      </c>
      <c r="G380" s="188"/>
      <c r="H380" s="184"/>
      <c r="I380" s="182"/>
      <c r="J380" s="181" t="str">
        <f t="shared" si="35"/>
        <v/>
      </c>
      <c r="K380" s="61" t="str">
        <f>IFERROR(IF(H380-H379&lt;=0,"",J380/SQRT(Таблица_pr1[[#This Row],[Удельное сопротивление грунта, Ом·м]])),J380/SQRT(Таблица_pr1[[#This Row],[Удельное сопротивление грунта, Ом·м]]))</f>
        <v/>
      </c>
      <c r="M380" s="53"/>
      <c r="N380" s="52"/>
      <c r="O380" s="50"/>
      <c r="P380" s="61" t="str">
        <f t="shared" si="36"/>
        <v/>
      </c>
      <c r="Q380" s="61" t="str">
        <f>IFERROR(IF(N380-N379&lt;=0,"",P380/SQRT(Таблица_pr2[[#This Row],[Удельное сопротивление грунта, Ом·м]])),P380/SQRT(Таблица_pr2[[#This Row],[Удельное сопротивление грунта, Ом·м]]))</f>
        <v/>
      </c>
      <c r="S380" s="53"/>
      <c r="T380" s="52"/>
      <c r="U380" s="50"/>
      <c r="V380" s="61" t="str">
        <f t="shared" si="31"/>
        <v/>
      </c>
      <c r="W380" s="61" t="str">
        <f>IFERROR(IF(T380-T379&lt;=0,"",V380/SQRT(Таблица_pr3[[#This Row],[Удельное сопротивление грунта, Ом·м]])),V380/SQRT(Таблица_pr3[[#This Row],[Удельное сопротивление грунта, Ом·м]]))</f>
        <v/>
      </c>
      <c r="Y380" s="53"/>
      <c r="Z380" s="52"/>
      <c r="AA380" s="50"/>
      <c r="AB380" s="61" t="str">
        <f t="shared" si="37"/>
        <v/>
      </c>
      <c r="AC380" s="61" t="str">
        <f>IFERROR(IF(Z380-Z379&lt;=0,"",AB380/SQRT(Таблица_pr4[[#This Row],[Удельное сопротивление грунта, Ом·м]])),AB380/SQRT(Таблица_pr4[[#This Row],[Удельное сопротивление грунта, Ом·м]]))</f>
        <v/>
      </c>
      <c r="AE380" s="53"/>
      <c r="AF380" s="52"/>
      <c r="AG380" s="50"/>
      <c r="AH380" s="61" t="str">
        <f t="shared" si="32"/>
        <v/>
      </c>
      <c r="AI380" s="61" t="str">
        <f>IFERROR(IF(AF380-AF379&lt;=0,"",AH380/SQRT(Таблица_pr5[[#This Row],[Удельное сопротивление грунта, Ом·м]])),AH380/SQRT(Таблица_pr5[[#This Row],[Удельное сопротивление грунта, Ом·м]]))</f>
        <v/>
      </c>
      <c r="AK380" s="53"/>
      <c r="AL380" s="52"/>
      <c r="AM380" s="50"/>
      <c r="AN380" s="61" t="str">
        <f t="shared" si="38"/>
        <v/>
      </c>
      <c r="AO380" s="61" t="str">
        <f>IFERROR(IF(AL380-AL379&lt;=0,"",AN380/SQRT(Таблица_pr6[[#This Row],[Удельное сопротивление грунта, Ом·м]])),AN380/SQRT(Таблица_pr6[[#This Row],[Удельное сопротивление грунта, Ом·м]]))</f>
        <v/>
      </c>
      <c r="AQ380" s="53"/>
      <c r="AR380" s="52"/>
      <c r="AS380" s="50"/>
      <c r="AT380" s="61" t="str">
        <f t="shared" si="33"/>
        <v/>
      </c>
      <c r="AU380" s="61" t="str">
        <f>IFERROR(IF(AR380-AR379&lt;=0,"",AT380/SQRT(Таблица_pr7[[#This Row],[Удельное сопротивление грунта, Ом·м]])),AT380/SQRT(Таблица_pr7[[#This Row],[Удельное сопротивление грунта, Ом·м]]))</f>
        <v/>
      </c>
      <c r="AW380" s="53"/>
      <c r="AX380" s="52"/>
      <c r="AY380" s="50"/>
      <c r="AZ380" s="61" t="str">
        <f t="shared" si="39"/>
        <v/>
      </c>
      <c r="BA380" s="61" t="str">
        <f>IFERROR(IF(AX380-AX379&lt;=0,"",AZ380/SQRT(Таблица_pr8[[#This Row],[Удельное сопротивление грунта, Ом·м]])),AZ380/SQRT(Таблица_pr8[[#This Row],[Удельное сопротивление грунта, Ом·м]]))</f>
        <v/>
      </c>
      <c r="BC380" s="53"/>
      <c r="BD380" s="52"/>
      <c r="BE380" s="50"/>
      <c r="BF380" s="61" t="str">
        <f t="shared" si="40"/>
        <v/>
      </c>
      <c r="BG380" s="61" t="str">
        <f>IFERROR(IF(BD380-AX399&lt;=0,"",BF380/SQRT(Таблица_pr9[[#This Row],[Удельное сопротивление грунта, Ом·м]])),BF380/SQRT(Таблица_pr9[[#This Row],[Удельное сопротивление грунта, Ом·м]]))</f>
        <v/>
      </c>
      <c r="BI380" s="53"/>
      <c r="BJ380" s="52"/>
      <c r="BK380" s="50"/>
      <c r="BM380" s="61" t="str">
        <f>IFERROR(IF(BJ380-BD409&lt;=0,"",BL380/SQRT(Таблица_pr10[[#This Row],[Удельное сопротивление грунта, Ом·м]])),BL380/SQRT(Таблица_pr10[[#This Row],[Удельное сопротивление грунта, Ом·м]]))</f>
        <v/>
      </c>
    </row>
    <row r="381" spans="1:65">
      <c r="A381" s="51"/>
      <c r="B381" s="52"/>
      <c r="C381" s="50"/>
      <c r="D381" s="61" t="str">
        <f t="shared" si="34"/>
        <v/>
      </c>
      <c r="E381" s="61" t="str">
        <f>IFERROR(IF(B381-B380&lt;=0,"",D381/SQRT(Таблица_pr[[#This Row],[Удельное сопротивление грунта, Ом·м]])),D381/SQRT(Таблица_pr[[#This Row],[Удельное сопротивление грунта, Ом·м]]))</f>
        <v/>
      </c>
      <c r="G381" s="189"/>
      <c r="H381" s="185"/>
      <c r="I381" s="183"/>
      <c r="J381" s="180" t="str">
        <f t="shared" si="35"/>
        <v/>
      </c>
      <c r="K381" s="61" t="str">
        <f>IFERROR(IF(H381-H380&lt;=0,"",J381/SQRT(Таблица_pr1[[#This Row],[Удельное сопротивление грунта, Ом·м]])),J381/SQRT(Таблица_pr1[[#This Row],[Удельное сопротивление грунта, Ом·м]]))</f>
        <v/>
      </c>
      <c r="M381" s="51"/>
      <c r="N381" s="52"/>
      <c r="O381" s="50"/>
      <c r="P381" s="61" t="str">
        <f t="shared" si="36"/>
        <v/>
      </c>
      <c r="Q381" s="61" t="str">
        <f>IFERROR(IF(N381-N380&lt;=0,"",P381/SQRT(Таблица_pr2[[#This Row],[Удельное сопротивление грунта, Ом·м]])),P381/SQRT(Таблица_pr2[[#This Row],[Удельное сопротивление грунта, Ом·м]]))</f>
        <v/>
      </c>
      <c r="S381" s="51"/>
      <c r="T381" s="52"/>
      <c r="U381" s="50"/>
      <c r="V381" s="61" t="str">
        <f t="shared" si="31"/>
        <v/>
      </c>
      <c r="W381" s="61" t="str">
        <f>IFERROR(IF(T381-T380&lt;=0,"",V381/SQRT(Таблица_pr3[[#This Row],[Удельное сопротивление грунта, Ом·м]])),V381/SQRT(Таблица_pr3[[#This Row],[Удельное сопротивление грунта, Ом·м]]))</f>
        <v/>
      </c>
      <c r="Y381" s="51"/>
      <c r="Z381" s="52"/>
      <c r="AA381" s="50"/>
      <c r="AB381" s="61" t="str">
        <f t="shared" si="37"/>
        <v/>
      </c>
      <c r="AC381" s="61" t="str">
        <f>IFERROR(IF(Z381-Z380&lt;=0,"",AB381/SQRT(Таблица_pr4[[#This Row],[Удельное сопротивление грунта, Ом·м]])),AB381/SQRT(Таблица_pr4[[#This Row],[Удельное сопротивление грунта, Ом·м]]))</f>
        <v/>
      </c>
      <c r="AE381" s="51"/>
      <c r="AF381" s="52"/>
      <c r="AG381" s="50"/>
      <c r="AH381" s="61" t="str">
        <f t="shared" si="32"/>
        <v/>
      </c>
      <c r="AI381" s="61" t="str">
        <f>IFERROR(IF(AF381-AF380&lt;=0,"",AH381/SQRT(Таблица_pr5[[#This Row],[Удельное сопротивление грунта, Ом·м]])),AH381/SQRT(Таблица_pr5[[#This Row],[Удельное сопротивление грунта, Ом·м]]))</f>
        <v/>
      </c>
      <c r="AK381" s="51"/>
      <c r="AL381" s="52"/>
      <c r="AM381" s="50"/>
      <c r="AN381" s="61" t="str">
        <f t="shared" si="38"/>
        <v/>
      </c>
      <c r="AO381" s="61" t="str">
        <f>IFERROR(IF(AL381-AL380&lt;=0,"",AN381/SQRT(Таблица_pr6[[#This Row],[Удельное сопротивление грунта, Ом·м]])),AN381/SQRT(Таблица_pr6[[#This Row],[Удельное сопротивление грунта, Ом·м]]))</f>
        <v/>
      </c>
      <c r="AQ381" s="51"/>
      <c r="AR381" s="52"/>
      <c r="AS381" s="50"/>
      <c r="AT381" s="61" t="str">
        <f t="shared" si="33"/>
        <v/>
      </c>
      <c r="AU381" s="61" t="str">
        <f>IFERROR(IF(AR381-AR380&lt;=0,"",AT381/SQRT(Таблица_pr7[[#This Row],[Удельное сопротивление грунта, Ом·м]])),AT381/SQRT(Таблица_pr7[[#This Row],[Удельное сопротивление грунта, Ом·м]]))</f>
        <v/>
      </c>
      <c r="AW381" s="51"/>
      <c r="AX381" s="52"/>
      <c r="AY381" s="50"/>
      <c r="AZ381" s="61" t="str">
        <f t="shared" si="39"/>
        <v/>
      </c>
      <c r="BA381" s="61" t="str">
        <f>IFERROR(IF(AX381-AX380&lt;=0,"",AZ381/SQRT(Таблица_pr8[[#This Row],[Удельное сопротивление грунта, Ом·м]])),AZ381/SQRT(Таблица_pr8[[#This Row],[Удельное сопротивление грунта, Ом·м]]))</f>
        <v/>
      </c>
      <c r="BC381" s="51"/>
      <c r="BD381" s="52"/>
      <c r="BE381" s="50"/>
      <c r="BF381" s="61" t="str">
        <f t="shared" si="40"/>
        <v/>
      </c>
      <c r="BG381" s="61" t="str">
        <f>IFERROR(IF(BD381-AX400&lt;=0,"",BF381/SQRT(Таблица_pr9[[#This Row],[Удельное сопротивление грунта, Ом·м]])),BF381/SQRT(Таблица_pr9[[#This Row],[Удельное сопротивление грунта, Ом·м]]))</f>
        <v/>
      </c>
      <c r="BI381" s="51"/>
      <c r="BJ381" s="52"/>
      <c r="BK381" s="50"/>
      <c r="BM381" s="61" t="str">
        <f>IFERROR(IF(BJ381-BD410&lt;=0,"",BL381/SQRT(Таблица_pr10[[#This Row],[Удельное сопротивление грунта, Ом·м]])),BL381/SQRT(Таблица_pr10[[#This Row],[Удельное сопротивление грунта, Ом·м]]))</f>
        <v/>
      </c>
    </row>
    <row r="382" spans="1:65">
      <c r="A382" s="53"/>
      <c r="B382" s="52"/>
      <c r="C382" s="50"/>
      <c r="D382" s="61" t="str">
        <f t="shared" si="34"/>
        <v/>
      </c>
      <c r="E382" s="61" t="str">
        <f>IFERROR(IF(B382-B381&lt;=0,"",D382/SQRT(Таблица_pr[[#This Row],[Удельное сопротивление грунта, Ом·м]])),D382/SQRT(Таблица_pr[[#This Row],[Удельное сопротивление грунта, Ом·м]]))</f>
        <v/>
      </c>
      <c r="G382" s="188"/>
      <c r="H382" s="184"/>
      <c r="I382" s="182"/>
      <c r="J382" s="181" t="str">
        <f t="shared" si="35"/>
        <v/>
      </c>
      <c r="K382" s="61" t="str">
        <f>IFERROR(IF(H382-H381&lt;=0,"",J382/SQRT(Таблица_pr1[[#This Row],[Удельное сопротивление грунта, Ом·м]])),J382/SQRT(Таблица_pr1[[#This Row],[Удельное сопротивление грунта, Ом·м]]))</f>
        <v/>
      </c>
      <c r="M382" s="53"/>
      <c r="N382" s="52"/>
      <c r="O382" s="50"/>
      <c r="P382" s="61" t="str">
        <f t="shared" si="36"/>
        <v/>
      </c>
      <c r="Q382" s="61" t="str">
        <f>IFERROR(IF(N382-N381&lt;=0,"",P382/SQRT(Таблица_pr2[[#This Row],[Удельное сопротивление грунта, Ом·м]])),P382/SQRT(Таблица_pr2[[#This Row],[Удельное сопротивление грунта, Ом·м]]))</f>
        <v/>
      </c>
      <c r="S382" s="53"/>
      <c r="T382" s="52"/>
      <c r="U382" s="50"/>
      <c r="V382" s="61" t="str">
        <f t="shared" si="31"/>
        <v/>
      </c>
      <c r="W382" s="61" t="str">
        <f>IFERROR(IF(T382-T381&lt;=0,"",V382/SQRT(Таблица_pr3[[#This Row],[Удельное сопротивление грунта, Ом·м]])),V382/SQRT(Таблица_pr3[[#This Row],[Удельное сопротивление грунта, Ом·м]]))</f>
        <v/>
      </c>
      <c r="Y382" s="53"/>
      <c r="Z382" s="52"/>
      <c r="AA382" s="50"/>
      <c r="AB382" s="61" t="str">
        <f t="shared" si="37"/>
        <v/>
      </c>
      <c r="AC382" s="61" t="str">
        <f>IFERROR(IF(Z382-Z381&lt;=0,"",AB382/SQRT(Таблица_pr4[[#This Row],[Удельное сопротивление грунта, Ом·м]])),AB382/SQRT(Таблица_pr4[[#This Row],[Удельное сопротивление грунта, Ом·м]]))</f>
        <v/>
      </c>
      <c r="AE382" s="53"/>
      <c r="AF382" s="52"/>
      <c r="AG382" s="50"/>
      <c r="AH382" s="61" t="str">
        <f t="shared" si="32"/>
        <v/>
      </c>
      <c r="AI382" s="61" t="str">
        <f>IFERROR(IF(AF382-AF381&lt;=0,"",AH382/SQRT(Таблица_pr5[[#This Row],[Удельное сопротивление грунта, Ом·м]])),AH382/SQRT(Таблица_pr5[[#This Row],[Удельное сопротивление грунта, Ом·м]]))</f>
        <v/>
      </c>
      <c r="AK382" s="53"/>
      <c r="AL382" s="52"/>
      <c r="AM382" s="50"/>
      <c r="AN382" s="61" t="str">
        <f t="shared" si="38"/>
        <v/>
      </c>
      <c r="AO382" s="61" t="str">
        <f>IFERROR(IF(AL382-AL381&lt;=0,"",AN382/SQRT(Таблица_pr6[[#This Row],[Удельное сопротивление грунта, Ом·м]])),AN382/SQRT(Таблица_pr6[[#This Row],[Удельное сопротивление грунта, Ом·м]]))</f>
        <v/>
      </c>
      <c r="AQ382" s="53"/>
      <c r="AR382" s="52"/>
      <c r="AS382" s="50"/>
      <c r="AT382" s="61" t="str">
        <f t="shared" si="33"/>
        <v/>
      </c>
      <c r="AU382" s="61" t="str">
        <f>IFERROR(IF(AR382-AR381&lt;=0,"",AT382/SQRT(Таблица_pr7[[#This Row],[Удельное сопротивление грунта, Ом·м]])),AT382/SQRT(Таблица_pr7[[#This Row],[Удельное сопротивление грунта, Ом·м]]))</f>
        <v/>
      </c>
      <c r="AW382" s="53"/>
      <c r="AX382" s="52"/>
      <c r="AY382" s="50"/>
      <c r="AZ382" s="61" t="str">
        <f t="shared" si="39"/>
        <v/>
      </c>
      <c r="BA382" s="61" t="str">
        <f>IFERROR(IF(AX382-AX381&lt;=0,"",AZ382/SQRT(Таблица_pr8[[#This Row],[Удельное сопротивление грунта, Ом·м]])),AZ382/SQRT(Таблица_pr8[[#This Row],[Удельное сопротивление грунта, Ом·м]]))</f>
        <v/>
      </c>
      <c r="BC382" s="53"/>
      <c r="BD382" s="52"/>
      <c r="BE382" s="50"/>
      <c r="BF382" s="61" t="str">
        <f t="shared" si="40"/>
        <v/>
      </c>
      <c r="BG382" s="61" t="str">
        <f>IFERROR(IF(BD382-AX401&lt;=0,"",BF382/SQRT(Таблица_pr9[[#This Row],[Удельное сопротивление грунта, Ом·м]])),BF382/SQRT(Таблица_pr9[[#This Row],[Удельное сопротивление грунта, Ом·м]]))</f>
        <v/>
      </c>
      <c r="BI382" s="53"/>
      <c r="BJ382" s="52"/>
      <c r="BK382" s="50"/>
      <c r="BL382" s="61" t="str">
        <f t="shared" ref="BL382:BL390" si="41">IFERROR(IF(BJ382-BJ381&lt;=0,"",(BJ382-BJ381)*1000),100)</f>
        <v/>
      </c>
      <c r="BM382" s="61" t="str">
        <f>IFERROR(IF(BJ382-BD411&lt;=0,"",BL382/SQRT(Таблица_pr10[[#This Row],[Удельное сопротивление грунта, Ом·м]])),BL382/SQRT(Таблица_pr10[[#This Row],[Удельное сопротивление грунта, Ом·м]]))</f>
        <v/>
      </c>
    </row>
    <row r="383" spans="1:65">
      <c r="A383" s="51"/>
      <c r="B383" s="52"/>
      <c r="C383" s="50"/>
      <c r="D383" s="61" t="str">
        <f t="shared" si="34"/>
        <v/>
      </c>
      <c r="E383" s="61" t="str">
        <f>IFERROR(IF(B383-B382&lt;=0,"",D383/SQRT(Таблица_pr[[#This Row],[Удельное сопротивление грунта, Ом·м]])),D383/SQRT(Таблица_pr[[#This Row],[Удельное сопротивление грунта, Ом·м]]))</f>
        <v/>
      </c>
      <c r="G383" s="189"/>
      <c r="H383" s="185"/>
      <c r="I383" s="183"/>
      <c r="J383" s="180" t="str">
        <f t="shared" si="35"/>
        <v/>
      </c>
      <c r="K383" s="61" t="str">
        <f>IFERROR(IF(H383-H382&lt;=0,"",J383/SQRT(Таблица_pr1[[#This Row],[Удельное сопротивление грунта, Ом·м]])),J383/SQRT(Таблица_pr1[[#This Row],[Удельное сопротивление грунта, Ом·м]]))</f>
        <v/>
      </c>
      <c r="M383" s="51"/>
      <c r="N383" s="52"/>
      <c r="O383" s="50"/>
      <c r="P383" s="61" t="str">
        <f t="shared" si="36"/>
        <v/>
      </c>
      <c r="Q383" s="61" t="str">
        <f>IFERROR(IF(N383-N382&lt;=0,"",P383/SQRT(Таблица_pr2[[#This Row],[Удельное сопротивление грунта, Ом·м]])),P383/SQRT(Таблица_pr2[[#This Row],[Удельное сопротивление грунта, Ом·м]]))</f>
        <v/>
      </c>
      <c r="S383" s="51"/>
      <c r="T383" s="52"/>
      <c r="U383" s="50"/>
      <c r="V383" s="61" t="str">
        <f t="shared" si="31"/>
        <v/>
      </c>
      <c r="W383" s="61" t="str">
        <f>IFERROR(IF(T383-T382&lt;=0,"",V383/SQRT(Таблица_pr3[[#This Row],[Удельное сопротивление грунта, Ом·м]])),V383/SQRT(Таблица_pr3[[#This Row],[Удельное сопротивление грунта, Ом·м]]))</f>
        <v/>
      </c>
      <c r="Y383" s="51"/>
      <c r="Z383" s="52"/>
      <c r="AA383" s="50"/>
      <c r="AB383" s="61" t="str">
        <f t="shared" si="37"/>
        <v/>
      </c>
      <c r="AC383" s="61" t="str">
        <f>IFERROR(IF(Z383-Z382&lt;=0,"",AB383/SQRT(Таблица_pr4[[#This Row],[Удельное сопротивление грунта, Ом·м]])),AB383/SQRT(Таблица_pr4[[#This Row],[Удельное сопротивление грунта, Ом·м]]))</f>
        <v/>
      </c>
      <c r="AE383" s="51"/>
      <c r="AF383" s="52"/>
      <c r="AG383" s="50"/>
      <c r="AH383" s="61" t="str">
        <f t="shared" si="32"/>
        <v/>
      </c>
      <c r="AI383" s="61" t="str">
        <f>IFERROR(IF(AF383-AF382&lt;=0,"",AH383/SQRT(Таблица_pr5[[#This Row],[Удельное сопротивление грунта, Ом·м]])),AH383/SQRT(Таблица_pr5[[#This Row],[Удельное сопротивление грунта, Ом·м]]))</f>
        <v/>
      </c>
      <c r="AK383" s="51"/>
      <c r="AL383" s="52"/>
      <c r="AM383" s="50"/>
      <c r="AN383" s="61" t="str">
        <f t="shared" si="38"/>
        <v/>
      </c>
      <c r="AO383" s="61" t="str">
        <f>IFERROR(IF(AL383-AL382&lt;=0,"",AN383/SQRT(Таблица_pr6[[#This Row],[Удельное сопротивление грунта, Ом·м]])),AN383/SQRT(Таблица_pr6[[#This Row],[Удельное сопротивление грунта, Ом·м]]))</f>
        <v/>
      </c>
      <c r="AQ383" s="51"/>
      <c r="AR383" s="52"/>
      <c r="AS383" s="50"/>
      <c r="AT383" s="61" t="str">
        <f t="shared" si="33"/>
        <v/>
      </c>
      <c r="AU383" s="61" t="str">
        <f>IFERROR(IF(AR383-AR382&lt;=0,"",AT383/SQRT(Таблица_pr7[[#This Row],[Удельное сопротивление грунта, Ом·м]])),AT383/SQRT(Таблица_pr7[[#This Row],[Удельное сопротивление грунта, Ом·м]]))</f>
        <v/>
      </c>
      <c r="AW383" s="51"/>
      <c r="AX383" s="52"/>
      <c r="AY383" s="50"/>
      <c r="AZ383" s="61" t="str">
        <f t="shared" si="39"/>
        <v/>
      </c>
      <c r="BA383" s="61" t="str">
        <f>IFERROR(IF(AX383-AX382&lt;=0,"",AZ383/SQRT(Таблица_pr8[[#This Row],[Удельное сопротивление грунта, Ом·м]])),AZ383/SQRT(Таблица_pr8[[#This Row],[Удельное сопротивление грунта, Ом·м]]))</f>
        <v/>
      </c>
      <c r="BC383" s="51"/>
      <c r="BD383" s="52"/>
      <c r="BE383" s="50"/>
      <c r="BF383" s="61" t="str">
        <f t="shared" si="40"/>
        <v/>
      </c>
      <c r="BG383" s="61" t="str">
        <f>IFERROR(IF(BD383-AX402&lt;=0,"",BF383/SQRT(Таблица_pr9[[#This Row],[Удельное сопротивление грунта, Ом·м]])),BF383/SQRT(Таблица_pr9[[#This Row],[Удельное сопротивление грунта, Ом·м]]))</f>
        <v/>
      </c>
      <c r="BI383" s="51"/>
      <c r="BJ383" s="52"/>
      <c r="BK383" s="50"/>
      <c r="BL383" s="61" t="str">
        <f t="shared" si="41"/>
        <v/>
      </c>
      <c r="BM383" s="61" t="str">
        <f>IFERROR(IF(BJ383-BD412&lt;=0,"",BL383/SQRT(Таблица_pr10[[#This Row],[Удельное сопротивление грунта, Ом·м]])),BL383/SQRT(Таблица_pr10[[#This Row],[Удельное сопротивление грунта, Ом·м]]))</f>
        <v/>
      </c>
    </row>
    <row r="384" spans="1:65">
      <c r="A384" s="53"/>
      <c r="B384" s="52"/>
      <c r="C384" s="50"/>
      <c r="D384" s="61" t="str">
        <f t="shared" si="34"/>
        <v/>
      </c>
      <c r="E384" s="61" t="str">
        <f>IFERROR(IF(B384-B383&lt;=0,"",D384/SQRT(Таблица_pr[[#This Row],[Удельное сопротивление грунта, Ом·м]])),D384/SQRT(Таблица_pr[[#This Row],[Удельное сопротивление грунта, Ом·м]]))</f>
        <v/>
      </c>
      <c r="G384" s="188"/>
      <c r="H384" s="184"/>
      <c r="I384" s="182"/>
      <c r="J384" s="181" t="str">
        <f t="shared" si="35"/>
        <v/>
      </c>
      <c r="K384" s="61" t="str">
        <f>IFERROR(IF(H384-H383&lt;=0,"",J384/SQRT(Таблица_pr1[[#This Row],[Удельное сопротивление грунта, Ом·м]])),J384/SQRT(Таблица_pr1[[#This Row],[Удельное сопротивление грунта, Ом·м]]))</f>
        <v/>
      </c>
      <c r="M384" s="53"/>
      <c r="N384" s="52"/>
      <c r="O384" s="50"/>
      <c r="P384" s="61" t="str">
        <f t="shared" si="36"/>
        <v/>
      </c>
      <c r="Q384" s="61" t="str">
        <f>IFERROR(IF(N384-N383&lt;=0,"",P384/SQRT(Таблица_pr2[[#This Row],[Удельное сопротивление грунта, Ом·м]])),P384/SQRT(Таблица_pr2[[#This Row],[Удельное сопротивление грунта, Ом·м]]))</f>
        <v/>
      </c>
      <c r="S384" s="53"/>
      <c r="T384" s="52"/>
      <c r="U384" s="50"/>
      <c r="V384" s="61" t="str">
        <f t="shared" ref="V384:V447" si="42">IFERROR(IF(T384-T383&lt;=0,"",(T384-T383)*1000),100)</f>
        <v/>
      </c>
      <c r="W384" s="61" t="str">
        <f>IFERROR(IF(T384-T383&lt;=0,"",V384/SQRT(Таблица_pr3[[#This Row],[Удельное сопротивление грунта, Ом·м]])),V384/SQRT(Таблица_pr3[[#This Row],[Удельное сопротивление грунта, Ом·м]]))</f>
        <v/>
      </c>
      <c r="Y384" s="53"/>
      <c r="Z384" s="52"/>
      <c r="AA384" s="50"/>
      <c r="AB384" s="61" t="str">
        <f t="shared" si="37"/>
        <v/>
      </c>
      <c r="AC384" s="61" t="str">
        <f>IFERROR(IF(Z384-Z383&lt;=0,"",AB384/SQRT(Таблица_pr4[[#This Row],[Удельное сопротивление грунта, Ом·м]])),AB384/SQRT(Таблица_pr4[[#This Row],[Удельное сопротивление грунта, Ом·м]]))</f>
        <v/>
      </c>
      <c r="AE384" s="53"/>
      <c r="AF384" s="52"/>
      <c r="AG384" s="50"/>
      <c r="AH384" s="61" t="str">
        <f t="shared" ref="AH384:AH447" si="43">IFERROR(IF(AF384-AF383&lt;=0,"",(AF384-AF383)*1000),100)</f>
        <v/>
      </c>
      <c r="AI384" s="61" t="str">
        <f>IFERROR(IF(AF384-AF383&lt;=0,"",AH384/SQRT(Таблица_pr5[[#This Row],[Удельное сопротивление грунта, Ом·м]])),AH384/SQRT(Таблица_pr5[[#This Row],[Удельное сопротивление грунта, Ом·м]]))</f>
        <v/>
      </c>
      <c r="AK384" s="53"/>
      <c r="AL384" s="52"/>
      <c r="AM384" s="50"/>
      <c r="AN384" s="61" t="str">
        <f t="shared" si="38"/>
        <v/>
      </c>
      <c r="AO384" s="61" t="str">
        <f>IFERROR(IF(AL384-AL383&lt;=0,"",AN384/SQRT(Таблица_pr6[[#This Row],[Удельное сопротивление грунта, Ом·м]])),AN384/SQRT(Таблица_pr6[[#This Row],[Удельное сопротивление грунта, Ом·м]]))</f>
        <v/>
      </c>
      <c r="AQ384" s="53"/>
      <c r="AR384" s="52"/>
      <c r="AS384" s="50"/>
      <c r="AT384" s="61" t="str">
        <f t="shared" ref="AT384:AT447" si="44">IFERROR(IF(AR384-AR383&lt;=0,"",(AR384-AR383)*1000),100)</f>
        <v/>
      </c>
      <c r="AU384" s="61" t="str">
        <f>IFERROR(IF(AR384-AR383&lt;=0,"",AT384/SQRT(Таблица_pr7[[#This Row],[Удельное сопротивление грунта, Ом·м]])),AT384/SQRT(Таблица_pr7[[#This Row],[Удельное сопротивление грунта, Ом·м]]))</f>
        <v/>
      </c>
      <c r="AW384" s="53"/>
      <c r="AX384" s="52"/>
      <c r="AY384" s="50"/>
      <c r="AZ384" s="61" t="str">
        <f t="shared" si="39"/>
        <v/>
      </c>
      <c r="BA384" s="61" t="str">
        <f>IFERROR(IF(AX384-AX383&lt;=0,"",AZ384/SQRT(Таблица_pr8[[#This Row],[Удельное сопротивление грунта, Ом·м]])),AZ384/SQRT(Таблица_pr8[[#This Row],[Удельное сопротивление грунта, Ом·м]]))</f>
        <v/>
      </c>
      <c r="BC384" s="53"/>
      <c r="BD384" s="52"/>
      <c r="BE384" s="50"/>
      <c r="BF384" s="61" t="str">
        <f t="shared" ref="BF384:BF447" si="45">IFERROR(IF(BD384-BD383&lt;=0,"",(BD384-BD383)*1000),100)</f>
        <v/>
      </c>
      <c r="BG384" s="61" t="str">
        <f>IFERROR(IF(BD384-AX403&lt;=0,"",BF384/SQRT(Таблица_pr9[[#This Row],[Удельное сопротивление грунта, Ом·м]])),BF384/SQRT(Таблица_pr9[[#This Row],[Удельное сопротивление грунта, Ом·м]]))</f>
        <v/>
      </c>
      <c r="BI384" s="53"/>
      <c r="BJ384" s="52"/>
      <c r="BK384" s="50"/>
      <c r="BL384" s="61" t="str">
        <f t="shared" si="41"/>
        <v/>
      </c>
      <c r="BM384" s="61" t="str">
        <f>IFERROR(IF(BJ384-BD413&lt;=0,"",BL384/SQRT(Таблица_pr10[[#This Row],[Удельное сопротивление грунта, Ом·м]])),BL384/SQRT(Таблица_pr10[[#This Row],[Удельное сопротивление грунта, Ом·м]]))</f>
        <v/>
      </c>
    </row>
    <row r="385" spans="1:65">
      <c r="A385" s="51"/>
      <c r="B385" s="52"/>
      <c r="C385" s="50"/>
      <c r="D385" s="61" t="str">
        <f t="shared" si="34"/>
        <v/>
      </c>
      <c r="E385" s="61" t="str">
        <f>IFERROR(IF(B385-B384&lt;=0,"",D385/SQRT(Таблица_pr[[#This Row],[Удельное сопротивление грунта, Ом·м]])),D385/SQRT(Таблица_pr[[#This Row],[Удельное сопротивление грунта, Ом·м]]))</f>
        <v/>
      </c>
      <c r="G385" s="189"/>
      <c r="H385" s="185"/>
      <c r="I385" s="183"/>
      <c r="J385" s="180" t="str">
        <f t="shared" si="35"/>
        <v/>
      </c>
      <c r="K385" s="61" t="str">
        <f>IFERROR(IF(H385-H384&lt;=0,"",J385/SQRT(Таблица_pr1[[#This Row],[Удельное сопротивление грунта, Ом·м]])),J385/SQRT(Таблица_pr1[[#This Row],[Удельное сопротивление грунта, Ом·м]]))</f>
        <v/>
      </c>
      <c r="M385" s="51"/>
      <c r="N385" s="52"/>
      <c r="O385" s="50"/>
      <c r="P385" s="61" t="str">
        <f t="shared" si="36"/>
        <v/>
      </c>
      <c r="Q385" s="61" t="str">
        <f>IFERROR(IF(N385-N384&lt;=0,"",P385/SQRT(Таблица_pr2[[#This Row],[Удельное сопротивление грунта, Ом·м]])),P385/SQRT(Таблица_pr2[[#This Row],[Удельное сопротивление грунта, Ом·м]]))</f>
        <v/>
      </c>
      <c r="S385" s="51"/>
      <c r="T385" s="52"/>
      <c r="U385" s="50"/>
      <c r="V385" s="61" t="str">
        <f t="shared" si="42"/>
        <v/>
      </c>
      <c r="W385" s="61" t="str">
        <f>IFERROR(IF(T385-T384&lt;=0,"",V385/SQRT(Таблица_pr3[[#This Row],[Удельное сопротивление грунта, Ом·м]])),V385/SQRT(Таблица_pr3[[#This Row],[Удельное сопротивление грунта, Ом·м]]))</f>
        <v/>
      </c>
      <c r="Y385" s="51"/>
      <c r="Z385" s="52"/>
      <c r="AA385" s="50"/>
      <c r="AB385" s="61" t="str">
        <f t="shared" si="37"/>
        <v/>
      </c>
      <c r="AC385" s="61" t="str">
        <f>IFERROR(IF(Z385-Z384&lt;=0,"",AB385/SQRT(Таблица_pr4[[#This Row],[Удельное сопротивление грунта, Ом·м]])),AB385/SQRT(Таблица_pr4[[#This Row],[Удельное сопротивление грунта, Ом·м]]))</f>
        <v/>
      </c>
      <c r="AE385" s="51"/>
      <c r="AF385" s="52"/>
      <c r="AG385" s="50"/>
      <c r="AH385" s="61" t="str">
        <f t="shared" si="43"/>
        <v/>
      </c>
      <c r="AI385" s="61" t="str">
        <f>IFERROR(IF(AF385-AF384&lt;=0,"",AH385/SQRT(Таблица_pr5[[#This Row],[Удельное сопротивление грунта, Ом·м]])),AH385/SQRT(Таблица_pr5[[#This Row],[Удельное сопротивление грунта, Ом·м]]))</f>
        <v/>
      </c>
      <c r="AK385" s="51"/>
      <c r="AL385" s="52"/>
      <c r="AM385" s="50"/>
      <c r="AN385" s="61" t="str">
        <f t="shared" si="38"/>
        <v/>
      </c>
      <c r="AO385" s="61" t="str">
        <f>IFERROR(IF(AL385-AL384&lt;=0,"",AN385/SQRT(Таблица_pr6[[#This Row],[Удельное сопротивление грунта, Ом·м]])),AN385/SQRT(Таблица_pr6[[#This Row],[Удельное сопротивление грунта, Ом·м]]))</f>
        <v/>
      </c>
      <c r="AQ385" s="51"/>
      <c r="AR385" s="52"/>
      <c r="AS385" s="50"/>
      <c r="AT385" s="61" t="str">
        <f t="shared" si="44"/>
        <v/>
      </c>
      <c r="AU385" s="61" t="str">
        <f>IFERROR(IF(AR385-AR384&lt;=0,"",AT385/SQRT(Таблица_pr7[[#This Row],[Удельное сопротивление грунта, Ом·м]])),AT385/SQRT(Таблица_pr7[[#This Row],[Удельное сопротивление грунта, Ом·м]]))</f>
        <v/>
      </c>
      <c r="AW385" s="51"/>
      <c r="AX385" s="52"/>
      <c r="AY385" s="50"/>
      <c r="AZ385" s="61" t="str">
        <f t="shared" si="39"/>
        <v/>
      </c>
      <c r="BA385" s="61" t="str">
        <f>IFERROR(IF(AX385-AX384&lt;=0,"",AZ385/SQRT(Таблица_pr8[[#This Row],[Удельное сопротивление грунта, Ом·м]])),AZ385/SQRT(Таблица_pr8[[#This Row],[Удельное сопротивление грунта, Ом·м]]))</f>
        <v/>
      </c>
      <c r="BC385" s="51"/>
      <c r="BD385" s="52"/>
      <c r="BE385" s="50"/>
      <c r="BF385" s="61" t="str">
        <f t="shared" si="45"/>
        <v/>
      </c>
      <c r="BG385" s="61" t="str">
        <f>IFERROR(IF(BD385-AX404&lt;=0,"",BF385/SQRT(Таблица_pr9[[#This Row],[Удельное сопротивление грунта, Ом·м]])),BF385/SQRT(Таблица_pr9[[#This Row],[Удельное сопротивление грунта, Ом·м]]))</f>
        <v/>
      </c>
      <c r="BI385" s="51"/>
      <c r="BJ385" s="52"/>
      <c r="BK385" s="50"/>
      <c r="BL385" s="61" t="str">
        <f t="shared" si="41"/>
        <v/>
      </c>
      <c r="BM385" s="61" t="str">
        <f>IFERROR(IF(BJ385-BD414&lt;=0,"",BL385/SQRT(Таблица_pr10[[#This Row],[Удельное сопротивление грунта, Ом·м]])),BL385/SQRT(Таблица_pr10[[#This Row],[Удельное сопротивление грунта, Ом·м]]))</f>
        <v/>
      </c>
    </row>
    <row r="386" spans="1:65">
      <c r="A386" s="53"/>
      <c r="B386" s="52"/>
      <c r="C386" s="50"/>
      <c r="D386" s="61" t="str">
        <f t="shared" si="34"/>
        <v/>
      </c>
      <c r="E386" s="61" t="str">
        <f>IFERROR(IF(B386-B385&lt;=0,"",D386/SQRT(Таблица_pr[[#This Row],[Удельное сопротивление грунта, Ом·м]])),D386/SQRT(Таблица_pr[[#This Row],[Удельное сопротивление грунта, Ом·м]]))</f>
        <v/>
      </c>
      <c r="G386" s="188"/>
      <c r="H386" s="184"/>
      <c r="I386" s="182"/>
      <c r="J386" s="181" t="str">
        <f t="shared" si="35"/>
        <v/>
      </c>
      <c r="K386" s="61" t="str">
        <f>IFERROR(IF(H386-H385&lt;=0,"",J386/SQRT(Таблица_pr1[[#This Row],[Удельное сопротивление грунта, Ом·м]])),J386/SQRT(Таблица_pr1[[#This Row],[Удельное сопротивление грунта, Ом·м]]))</f>
        <v/>
      </c>
      <c r="M386" s="53"/>
      <c r="N386" s="52"/>
      <c r="O386" s="50"/>
      <c r="P386" s="61" t="str">
        <f t="shared" si="36"/>
        <v/>
      </c>
      <c r="Q386" s="61" t="str">
        <f>IFERROR(IF(N386-N385&lt;=0,"",P386/SQRT(Таблица_pr2[[#This Row],[Удельное сопротивление грунта, Ом·м]])),P386/SQRT(Таблица_pr2[[#This Row],[Удельное сопротивление грунта, Ом·м]]))</f>
        <v/>
      </c>
      <c r="S386" s="53"/>
      <c r="T386" s="52"/>
      <c r="U386" s="50"/>
      <c r="V386" s="61" t="str">
        <f t="shared" si="42"/>
        <v/>
      </c>
      <c r="W386" s="61" t="str">
        <f>IFERROR(IF(T386-T385&lt;=0,"",V386/SQRT(Таблица_pr3[[#This Row],[Удельное сопротивление грунта, Ом·м]])),V386/SQRT(Таблица_pr3[[#This Row],[Удельное сопротивление грунта, Ом·м]]))</f>
        <v/>
      </c>
      <c r="Y386" s="53"/>
      <c r="Z386" s="52"/>
      <c r="AA386" s="50"/>
      <c r="AB386" s="61" t="str">
        <f t="shared" si="37"/>
        <v/>
      </c>
      <c r="AC386" s="61" t="str">
        <f>IFERROR(IF(Z386-Z385&lt;=0,"",AB386/SQRT(Таблица_pr4[[#This Row],[Удельное сопротивление грунта, Ом·м]])),AB386/SQRT(Таблица_pr4[[#This Row],[Удельное сопротивление грунта, Ом·м]]))</f>
        <v/>
      </c>
      <c r="AE386" s="53"/>
      <c r="AF386" s="52"/>
      <c r="AG386" s="50"/>
      <c r="AH386" s="61" t="str">
        <f t="shared" si="43"/>
        <v/>
      </c>
      <c r="AI386" s="61" t="str">
        <f>IFERROR(IF(AF386-AF385&lt;=0,"",AH386/SQRT(Таблица_pr5[[#This Row],[Удельное сопротивление грунта, Ом·м]])),AH386/SQRT(Таблица_pr5[[#This Row],[Удельное сопротивление грунта, Ом·м]]))</f>
        <v/>
      </c>
      <c r="AK386" s="53"/>
      <c r="AL386" s="52"/>
      <c r="AM386" s="50"/>
      <c r="AN386" s="61" t="str">
        <f t="shared" si="38"/>
        <v/>
      </c>
      <c r="AO386" s="61" t="str">
        <f>IFERROR(IF(AL386-AL385&lt;=0,"",AN386/SQRT(Таблица_pr6[[#This Row],[Удельное сопротивление грунта, Ом·м]])),AN386/SQRT(Таблица_pr6[[#This Row],[Удельное сопротивление грунта, Ом·м]]))</f>
        <v/>
      </c>
      <c r="AQ386" s="53"/>
      <c r="AR386" s="52"/>
      <c r="AS386" s="50"/>
      <c r="AT386" s="61" t="str">
        <f t="shared" si="44"/>
        <v/>
      </c>
      <c r="AU386" s="61" t="str">
        <f>IFERROR(IF(AR386-AR385&lt;=0,"",AT386/SQRT(Таблица_pr7[[#This Row],[Удельное сопротивление грунта, Ом·м]])),AT386/SQRT(Таблица_pr7[[#This Row],[Удельное сопротивление грунта, Ом·м]]))</f>
        <v/>
      </c>
      <c r="AW386" s="53"/>
      <c r="AX386" s="52"/>
      <c r="AY386" s="50"/>
      <c r="AZ386" s="61" t="str">
        <f t="shared" si="39"/>
        <v/>
      </c>
      <c r="BA386" s="61" t="str">
        <f>IFERROR(IF(AX386-AX385&lt;=0,"",AZ386/SQRT(Таблица_pr8[[#This Row],[Удельное сопротивление грунта, Ом·м]])),AZ386/SQRT(Таблица_pr8[[#This Row],[Удельное сопротивление грунта, Ом·м]]))</f>
        <v/>
      </c>
      <c r="BC386" s="53"/>
      <c r="BD386" s="52"/>
      <c r="BE386" s="50"/>
      <c r="BF386" s="61" t="str">
        <f t="shared" si="45"/>
        <v/>
      </c>
      <c r="BG386" s="61" t="str">
        <f>IFERROR(IF(BD386-AX405&lt;=0,"",BF386/SQRT(Таблица_pr9[[#This Row],[Удельное сопротивление грунта, Ом·м]])),BF386/SQRT(Таблица_pr9[[#This Row],[Удельное сопротивление грунта, Ом·м]]))</f>
        <v/>
      </c>
      <c r="BI386" s="53"/>
      <c r="BJ386" s="52"/>
      <c r="BK386" s="50"/>
      <c r="BL386" s="61" t="str">
        <f t="shared" si="41"/>
        <v/>
      </c>
      <c r="BM386" s="61" t="str">
        <f>IFERROR(IF(BJ386-BD415&lt;=0,"",BL386/SQRT(Таблица_pr10[[#This Row],[Удельное сопротивление грунта, Ом·м]])),BL386/SQRT(Таблица_pr10[[#This Row],[Удельное сопротивление грунта, Ом·м]]))</f>
        <v/>
      </c>
    </row>
    <row r="387" spans="1:65">
      <c r="A387" s="51"/>
      <c r="B387" s="52"/>
      <c r="C387" s="50"/>
      <c r="D387" s="61" t="str">
        <f t="shared" si="34"/>
        <v/>
      </c>
      <c r="E387" s="61" t="str">
        <f>IFERROR(IF(B387-B386&lt;=0,"",D387/SQRT(Таблица_pr[[#This Row],[Удельное сопротивление грунта, Ом·м]])),D387/SQRT(Таблица_pr[[#This Row],[Удельное сопротивление грунта, Ом·м]]))</f>
        <v/>
      </c>
      <c r="G387" s="189"/>
      <c r="H387" s="185"/>
      <c r="I387" s="183"/>
      <c r="J387" s="180" t="str">
        <f t="shared" si="35"/>
        <v/>
      </c>
      <c r="K387" s="61" t="str">
        <f>IFERROR(IF(H387-H386&lt;=0,"",J387/SQRT(Таблица_pr1[[#This Row],[Удельное сопротивление грунта, Ом·м]])),J387/SQRT(Таблица_pr1[[#This Row],[Удельное сопротивление грунта, Ом·м]]))</f>
        <v/>
      </c>
      <c r="M387" s="51"/>
      <c r="N387" s="52"/>
      <c r="O387" s="50"/>
      <c r="P387" s="61" t="str">
        <f t="shared" si="36"/>
        <v/>
      </c>
      <c r="Q387" s="61" t="str">
        <f>IFERROR(IF(N387-N386&lt;=0,"",P387/SQRT(Таблица_pr2[[#This Row],[Удельное сопротивление грунта, Ом·м]])),P387/SQRT(Таблица_pr2[[#This Row],[Удельное сопротивление грунта, Ом·м]]))</f>
        <v/>
      </c>
      <c r="S387" s="51"/>
      <c r="T387" s="52"/>
      <c r="U387" s="50"/>
      <c r="V387" s="61" t="str">
        <f t="shared" si="42"/>
        <v/>
      </c>
      <c r="W387" s="61" t="str">
        <f>IFERROR(IF(T387-T386&lt;=0,"",V387/SQRT(Таблица_pr3[[#This Row],[Удельное сопротивление грунта, Ом·м]])),V387/SQRT(Таблица_pr3[[#This Row],[Удельное сопротивление грунта, Ом·м]]))</f>
        <v/>
      </c>
      <c r="Y387" s="51"/>
      <c r="Z387" s="52"/>
      <c r="AA387" s="50"/>
      <c r="AB387" s="61" t="str">
        <f t="shared" si="37"/>
        <v/>
      </c>
      <c r="AC387" s="61" t="str">
        <f>IFERROR(IF(Z387-Z386&lt;=0,"",AB387/SQRT(Таблица_pr4[[#This Row],[Удельное сопротивление грунта, Ом·м]])),AB387/SQRT(Таблица_pr4[[#This Row],[Удельное сопротивление грунта, Ом·м]]))</f>
        <v/>
      </c>
      <c r="AE387" s="51"/>
      <c r="AF387" s="52"/>
      <c r="AG387" s="50"/>
      <c r="AH387" s="61" t="str">
        <f t="shared" si="43"/>
        <v/>
      </c>
      <c r="AI387" s="61" t="str">
        <f>IFERROR(IF(AF387-AF386&lt;=0,"",AH387/SQRT(Таблица_pr5[[#This Row],[Удельное сопротивление грунта, Ом·м]])),AH387/SQRT(Таблица_pr5[[#This Row],[Удельное сопротивление грунта, Ом·м]]))</f>
        <v/>
      </c>
      <c r="AK387" s="51"/>
      <c r="AL387" s="52"/>
      <c r="AM387" s="50"/>
      <c r="AN387" s="61" t="str">
        <f t="shared" si="38"/>
        <v/>
      </c>
      <c r="AO387" s="61" t="str">
        <f>IFERROR(IF(AL387-AL386&lt;=0,"",AN387/SQRT(Таблица_pr6[[#This Row],[Удельное сопротивление грунта, Ом·м]])),AN387/SQRT(Таблица_pr6[[#This Row],[Удельное сопротивление грунта, Ом·м]]))</f>
        <v/>
      </c>
      <c r="AQ387" s="51"/>
      <c r="AR387" s="52"/>
      <c r="AS387" s="50"/>
      <c r="AT387" s="61" t="str">
        <f t="shared" si="44"/>
        <v/>
      </c>
      <c r="AU387" s="61" t="str">
        <f>IFERROR(IF(AR387-AR386&lt;=0,"",AT387/SQRT(Таблица_pr7[[#This Row],[Удельное сопротивление грунта, Ом·м]])),AT387/SQRT(Таблица_pr7[[#This Row],[Удельное сопротивление грунта, Ом·м]]))</f>
        <v/>
      </c>
      <c r="AW387" s="51"/>
      <c r="AX387" s="52"/>
      <c r="AY387" s="50"/>
      <c r="AZ387" s="61" t="str">
        <f t="shared" si="39"/>
        <v/>
      </c>
      <c r="BA387" s="61" t="str">
        <f>IFERROR(IF(AX387-AX386&lt;=0,"",AZ387/SQRT(Таблица_pr8[[#This Row],[Удельное сопротивление грунта, Ом·м]])),AZ387/SQRT(Таблица_pr8[[#This Row],[Удельное сопротивление грунта, Ом·м]]))</f>
        <v/>
      </c>
      <c r="BC387" s="51"/>
      <c r="BD387" s="52"/>
      <c r="BE387" s="50"/>
      <c r="BF387" s="61" t="str">
        <f t="shared" si="45"/>
        <v/>
      </c>
      <c r="BG387" s="61" t="str">
        <f>IFERROR(IF(BD387-AX406&lt;=0,"",BF387/SQRT(Таблица_pr9[[#This Row],[Удельное сопротивление грунта, Ом·м]])),BF387/SQRT(Таблица_pr9[[#This Row],[Удельное сопротивление грунта, Ом·м]]))</f>
        <v/>
      </c>
      <c r="BI387" s="51"/>
      <c r="BJ387" s="52"/>
      <c r="BK387" s="50"/>
      <c r="BL387" s="61" t="str">
        <f t="shared" si="41"/>
        <v/>
      </c>
      <c r="BM387" s="61" t="str">
        <f>IFERROR(IF(BJ387-BD416&lt;=0,"",BL387/SQRT(Таблица_pr10[[#This Row],[Удельное сопротивление грунта, Ом·м]])),BL387/SQRT(Таблица_pr10[[#This Row],[Удельное сопротивление грунта, Ом·м]]))</f>
        <v/>
      </c>
    </row>
    <row r="388" spans="1:65">
      <c r="A388" s="53"/>
      <c r="B388" s="52"/>
      <c r="C388" s="50"/>
      <c r="D388" s="61" t="str">
        <f t="shared" si="34"/>
        <v/>
      </c>
      <c r="E388" s="61" t="str">
        <f>IFERROR(IF(B388-B387&lt;=0,"",D388/SQRT(Таблица_pr[[#This Row],[Удельное сопротивление грунта, Ом·м]])),D388/SQRT(Таблица_pr[[#This Row],[Удельное сопротивление грунта, Ом·м]]))</f>
        <v/>
      </c>
      <c r="G388" s="188"/>
      <c r="H388" s="184"/>
      <c r="I388" s="182"/>
      <c r="J388" s="181" t="str">
        <f t="shared" si="35"/>
        <v/>
      </c>
      <c r="K388" s="61" t="str">
        <f>IFERROR(IF(H388-H387&lt;=0,"",J388/SQRT(Таблица_pr1[[#This Row],[Удельное сопротивление грунта, Ом·м]])),J388/SQRT(Таблица_pr1[[#This Row],[Удельное сопротивление грунта, Ом·м]]))</f>
        <v/>
      </c>
      <c r="M388" s="53"/>
      <c r="N388" s="52"/>
      <c r="O388" s="50"/>
      <c r="P388" s="61" t="str">
        <f t="shared" si="36"/>
        <v/>
      </c>
      <c r="Q388" s="61" t="str">
        <f>IFERROR(IF(N388-N387&lt;=0,"",P388/SQRT(Таблица_pr2[[#This Row],[Удельное сопротивление грунта, Ом·м]])),P388/SQRT(Таблица_pr2[[#This Row],[Удельное сопротивление грунта, Ом·м]]))</f>
        <v/>
      </c>
      <c r="S388" s="53"/>
      <c r="T388" s="52"/>
      <c r="U388" s="50"/>
      <c r="V388" s="61" t="str">
        <f t="shared" si="42"/>
        <v/>
      </c>
      <c r="W388" s="61" t="str">
        <f>IFERROR(IF(T388-T387&lt;=0,"",V388/SQRT(Таблица_pr3[[#This Row],[Удельное сопротивление грунта, Ом·м]])),V388/SQRT(Таблица_pr3[[#This Row],[Удельное сопротивление грунта, Ом·м]]))</f>
        <v/>
      </c>
      <c r="Y388" s="53"/>
      <c r="Z388" s="52"/>
      <c r="AA388" s="50"/>
      <c r="AB388" s="61" t="str">
        <f t="shared" si="37"/>
        <v/>
      </c>
      <c r="AC388" s="61" t="str">
        <f>IFERROR(IF(Z388-Z387&lt;=0,"",AB388/SQRT(Таблица_pr4[[#This Row],[Удельное сопротивление грунта, Ом·м]])),AB388/SQRT(Таблица_pr4[[#This Row],[Удельное сопротивление грунта, Ом·м]]))</f>
        <v/>
      </c>
      <c r="AE388" s="53"/>
      <c r="AF388" s="52"/>
      <c r="AG388" s="50"/>
      <c r="AH388" s="61" t="str">
        <f t="shared" si="43"/>
        <v/>
      </c>
      <c r="AI388" s="61" t="str">
        <f>IFERROR(IF(AF388-AF387&lt;=0,"",AH388/SQRT(Таблица_pr5[[#This Row],[Удельное сопротивление грунта, Ом·м]])),AH388/SQRT(Таблица_pr5[[#This Row],[Удельное сопротивление грунта, Ом·м]]))</f>
        <v/>
      </c>
      <c r="AK388" s="53"/>
      <c r="AL388" s="52"/>
      <c r="AM388" s="50"/>
      <c r="AN388" s="61" t="str">
        <f t="shared" si="38"/>
        <v/>
      </c>
      <c r="AO388" s="61" t="str">
        <f>IFERROR(IF(AL388-AL387&lt;=0,"",AN388/SQRT(Таблица_pr6[[#This Row],[Удельное сопротивление грунта, Ом·м]])),AN388/SQRT(Таблица_pr6[[#This Row],[Удельное сопротивление грунта, Ом·м]]))</f>
        <v/>
      </c>
      <c r="AQ388" s="53"/>
      <c r="AR388" s="52"/>
      <c r="AS388" s="50"/>
      <c r="AT388" s="61" t="str">
        <f t="shared" si="44"/>
        <v/>
      </c>
      <c r="AU388" s="61" t="str">
        <f>IFERROR(IF(AR388-AR387&lt;=0,"",AT388/SQRT(Таблица_pr7[[#This Row],[Удельное сопротивление грунта, Ом·м]])),AT388/SQRT(Таблица_pr7[[#This Row],[Удельное сопротивление грунта, Ом·м]]))</f>
        <v/>
      </c>
      <c r="AW388" s="53"/>
      <c r="AX388" s="52"/>
      <c r="AY388" s="50"/>
      <c r="AZ388" s="61" t="str">
        <f t="shared" si="39"/>
        <v/>
      </c>
      <c r="BA388" s="61" t="str">
        <f>IFERROR(IF(AX388-AX387&lt;=0,"",AZ388/SQRT(Таблица_pr8[[#This Row],[Удельное сопротивление грунта, Ом·м]])),AZ388/SQRT(Таблица_pr8[[#This Row],[Удельное сопротивление грунта, Ом·м]]))</f>
        <v/>
      </c>
      <c r="BC388" s="53"/>
      <c r="BD388" s="52"/>
      <c r="BE388" s="50"/>
      <c r="BF388" s="61" t="str">
        <f t="shared" si="45"/>
        <v/>
      </c>
      <c r="BG388" s="61" t="str">
        <f>IFERROR(IF(BD388-AX407&lt;=0,"",BF388/SQRT(Таблица_pr9[[#This Row],[Удельное сопротивление грунта, Ом·м]])),BF388/SQRT(Таблица_pr9[[#This Row],[Удельное сопротивление грунта, Ом·м]]))</f>
        <v/>
      </c>
      <c r="BI388" s="53"/>
      <c r="BJ388" s="52"/>
      <c r="BK388" s="50"/>
      <c r="BL388" s="61" t="str">
        <f t="shared" si="41"/>
        <v/>
      </c>
      <c r="BM388" s="61" t="str">
        <f>IFERROR(IF(BJ388-BD417&lt;=0,"",BL388/SQRT(Таблица_pr10[[#This Row],[Удельное сопротивление грунта, Ом·м]])),BL388/SQRT(Таблица_pr10[[#This Row],[Удельное сопротивление грунта, Ом·м]]))</f>
        <v/>
      </c>
    </row>
    <row r="389" spans="1:65">
      <c r="A389" s="51"/>
      <c r="B389" s="52"/>
      <c r="C389" s="50"/>
      <c r="D389" s="61" t="str">
        <f t="shared" si="34"/>
        <v/>
      </c>
      <c r="E389" s="61" t="str">
        <f>IFERROR(IF(B389-B388&lt;=0,"",D389/SQRT(Таблица_pr[[#This Row],[Удельное сопротивление грунта, Ом·м]])),D389/SQRT(Таблица_pr[[#This Row],[Удельное сопротивление грунта, Ом·м]]))</f>
        <v/>
      </c>
      <c r="G389" s="189"/>
      <c r="H389" s="185"/>
      <c r="I389" s="183"/>
      <c r="J389" s="180" t="str">
        <f t="shared" si="35"/>
        <v/>
      </c>
      <c r="K389" s="61" t="str">
        <f>IFERROR(IF(H389-H388&lt;=0,"",J389/SQRT(Таблица_pr1[[#This Row],[Удельное сопротивление грунта, Ом·м]])),J389/SQRT(Таблица_pr1[[#This Row],[Удельное сопротивление грунта, Ом·м]]))</f>
        <v/>
      </c>
      <c r="M389" s="51"/>
      <c r="N389" s="52"/>
      <c r="O389" s="50"/>
      <c r="P389" s="61" t="str">
        <f t="shared" si="36"/>
        <v/>
      </c>
      <c r="Q389" s="61" t="str">
        <f>IFERROR(IF(N389-N388&lt;=0,"",P389/SQRT(Таблица_pr2[[#This Row],[Удельное сопротивление грунта, Ом·м]])),P389/SQRT(Таблица_pr2[[#This Row],[Удельное сопротивление грунта, Ом·м]]))</f>
        <v/>
      </c>
      <c r="S389" s="51"/>
      <c r="T389" s="52"/>
      <c r="U389" s="50"/>
      <c r="V389" s="61" t="str">
        <f t="shared" si="42"/>
        <v/>
      </c>
      <c r="W389" s="61" t="str">
        <f>IFERROR(IF(T389-T388&lt;=0,"",V389/SQRT(Таблица_pr3[[#This Row],[Удельное сопротивление грунта, Ом·м]])),V389/SQRT(Таблица_pr3[[#This Row],[Удельное сопротивление грунта, Ом·м]]))</f>
        <v/>
      </c>
      <c r="Y389" s="51"/>
      <c r="Z389" s="52"/>
      <c r="AA389" s="50"/>
      <c r="AB389" s="61" t="str">
        <f t="shared" si="37"/>
        <v/>
      </c>
      <c r="AC389" s="61" t="str">
        <f>IFERROR(IF(Z389-Z388&lt;=0,"",AB389/SQRT(Таблица_pr4[[#This Row],[Удельное сопротивление грунта, Ом·м]])),AB389/SQRT(Таблица_pr4[[#This Row],[Удельное сопротивление грунта, Ом·м]]))</f>
        <v/>
      </c>
      <c r="AE389" s="51"/>
      <c r="AF389" s="52"/>
      <c r="AG389" s="50"/>
      <c r="AH389" s="61" t="str">
        <f t="shared" si="43"/>
        <v/>
      </c>
      <c r="AI389" s="61" t="str">
        <f>IFERROR(IF(AF389-AF388&lt;=0,"",AH389/SQRT(Таблица_pr5[[#This Row],[Удельное сопротивление грунта, Ом·м]])),AH389/SQRT(Таблица_pr5[[#This Row],[Удельное сопротивление грунта, Ом·м]]))</f>
        <v/>
      </c>
      <c r="AK389" s="51"/>
      <c r="AL389" s="52"/>
      <c r="AM389" s="50"/>
      <c r="AN389" s="61" t="str">
        <f t="shared" si="38"/>
        <v/>
      </c>
      <c r="AO389" s="61" t="str">
        <f>IFERROR(IF(AL389-AL388&lt;=0,"",AN389/SQRT(Таблица_pr6[[#This Row],[Удельное сопротивление грунта, Ом·м]])),AN389/SQRT(Таблица_pr6[[#This Row],[Удельное сопротивление грунта, Ом·м]]))</f>
        <v/>
      </c>
      <c r="AQ389" s="51"/>
      <c r="AR389" s="52"/>
      <c r="AS389" s="50"/>
      <c r="AT389" s="61" t="str">
        <f t="shared" si="44"/>
        <v/>
      </c>
      <c r="AU389" s="61" t="str">
        <f>IFERROR(IF(AR389-AR388&lt;=0,"",AT389/SQRT(Таблица_pr7[[#This Row],[Удельное сопротивление грунта, Ом·м]])),AT389/SQRT(Таблица_pr7[[#This Row],[Удельное сопротивление грунта, Ом·м]]))</f>
        <v/>
      </c>
      <c r="AW389" s="51"/>
      <c r="AX389" s="52"/>
      <c r="AY389" s="50"/>
      <c r="AZ389" s="61" t="str">
        <f t="shared" si="39"/>
        <v/>
      </c>
      <c r="BA389" s="61" t="str">
        <f>IFERROR(IF(AX389-AX388&lt;=0,"",AZ389/SQRT(Таблица_pr8[[#This Row],[Удельное сопротивление грунта, Ом·м]])),AZ389/SQRT(Таблица_pr8[[#This Row],[Удельное сопротивление грунта, Ом·м]]))</f>
        <v/>
      </c>
      <c r="BC389" s="51"/>
      <c r="BD389" s="52"/>
      <c r="BE389" s="50"/>
      <c r="BF389" s="61" t="str">
        <f t="shared" si="45"/>
        <v/>
      </c>
      <c r="BG389" s="61" t="str">
        <f>IFERROR(IF(BD389-AX408&lt;=0,"",BF389/SQRT(Таблица_pr9[[#This Row],[Удельное сопротивление грунта, Ом·м]])),BF389/SQRT(Таблица_pr9[[#This Row],[Удельное сопротивление грунта, Ом·м]]))</f>
        <v/>
      </c>
      <c r="BI389" s="51"/>
      <c r="BJ389" s="52"/>
      <c r="BK389" s="50"/>
      <c r="BL389" s="61" t="str">
        <f t="shared" si="41"/>
        <v/>
      </c>
      <c r="BM389" s="61" t="str">
        <f>IFERROR(IF(BJ389-BD418&lt;=0,"",BL389/SQRT(Таблица_pr10[[#This Row],[Удельное сопротивление грунта, Ом·м]])),BL389/SQRT(Таблица_pr10[[#This Row],[Удельное сопротивление грунта, Ом·м]]))</f>
        <v/>
      </c>
    </row>
    <row r="390" spans="1:65">
      <c r="A390" s="53"/>
      <c r="B390" s="52"/>
      <c r="C390" s="50"/>
      <c r="D390" s="61" t="str">
        <f t="shared" ref="D390:D413" si="46">IFERROR(IF(B390-B389&lt;=0,"",(B390-B389)*1000),100)</f>
        <v/>
      </c>
      <c r="E390" s="61" t="str">
        <f>IFERROR(IF(B390-B389&lt;=0,"",D390/SQRT(Таблица_pr[[#This Row],[Удельное сопротивление грунта, Ом·м]])),D390/SQRT(Таблица_pr[[#This Row],[Удельное сопротивление грунта, Ом·м]]))</f>
        <v/>
      </c>
      <c r="G390" s="188"/>
      <c r="H390" s="184"/>
      <c r="I390" s="182"/>
      <c r="J390" s="181" t="str">
        <f t="shared" ref="J390:J413" si="47">IFERROR(IF(H390-H389&lt;=0,"",(H390-H389)*1000),100)</f>
        <v/>
      </c>
      <c r="K390" s="61" t="str">
        <f>IFERROR(IF(H390-H389&lt;=0,"",J390/SQRT(Таблица_pr1[[#This Row],[Удельное сопротивление грунта, Ом·м]])),J390/SQRT(Таблица_pr1[[#This Row],[Удельное сопротивление грунта, Ом·м]]))</f>
        <v/>
      </c>
      <c r="M390" s="53"/>
      <c r="N390" s="52"/>
      <c r="O390" s="50"/>
      <c r="P390" s="61" t="str">
        <f t="shared" ref="P390:P453" si="48">IFERROR(IF(N390-N389&lt;=0,"",(N390-N389)*1000),100)</f>
        <v/>
      </c>
      <c r="Q390" s="61" t="str">
        <f>IFERROR(IF(N390-N389&lt;=0,"",P390/SQRT(Таблица_pr2[[#This Row],[Удельное сопротивление грунта, Ом·м]])),P390/SQRT(Таблица_pr2[[#This Row],[Удельное сопротивление грунта, Ом·м]]))</f>
        <v/>
      </c>
      <c r="S390" s="53"/>
      <c r="T390" s="52"/>
      <c r="U390" s="50"/>
      <c r="V390" s="61" t="str">
        <f t="shared" si="42"/>
        <v/>
      </c>
      <c r="W390" s="61" t="str">
        <f>IFERROR(IF(T390-T389&lt;=0,"",V390/SQRT(Таблица_pr3[[#This Row],[Удельное сопротивление грунта, Ом·м]])),V390/SQRT(Таблица_pr3[[#This Row],[Удельное сопротивление грунта, Ом·м]]))</f>
        <v/>
      </c>
      <c r="Y390" s="53"/>
      <c r="Z390" s="52"/>
      <c r="AA390" s="50"/>
      <c r="AB390" s="61" t="str">
        <f t="shared" si="37"/>
        <v/>
      </c>
      <c r="AC390" s="61" t="str">
        <f>IFERROR(IF(Z390-Z389&lt;=0,"",AB390/SQRT(Таблица_pr4[[#This Row],[Удельное сопротивление грунта, Ом·м]])),AB390/SQRT(Таблица_pr4[[#This Row],[Удельное сопротивление грунта, Ом·м]]))</f>
        <v/>
      </c>
      <c r="AE390" s="53"/>
      <c r="AF390" s="52"/>
      <c r="AG390" s="50"/>
      <c r="AH390" s="61" t="str">
        <f t="shared" si="43"/>
        <v/>
      </c>
      <c r="AI390" s="61" t="str">
        <f>IFERROR(IF(AF390-AF389&lt;=0,"",AH390/SQRT(Таблица_pr5[[#This Row],[Удельное сопротивление грунта, Ом·м]])),AH390/SQRT(Таблица_pr5[[#This Row],[Удельное сопротивление грунта, Ом·м]]))</f>
        <v/>
      </c>
      <c r="AK390" s="53"/>
      <c r="AL390" s="52"/>
      <c r="AM390" s="50"/>
      <c r="AN390" s="61" t="str">
        <f t="shared" si="38"/>
        <v/>
      </c>
      <c r="AO390" s="61" t="str">
        <f>IFERROR(IF(AL390-AL389&lt;=0,"",AN390/SQRT(Таблица_pr6[[#This Row],[Удельное сопротивление грунта, Ом·м]])),AN390/SQRT(Таблица_pr6[[#This Row],[Удельное сопротивление грунта, Ом·м]]))</f>
        <v/>
      </c>
      <c r="AQ390" s="53"/>
      <c r="AR390" s="52"/>
      <c r="AS390" s="50"/>
      <c r="AT390" s="61" t="str">
        <f t="shared" si="44"/>
        <v/>
      </c>
      <c r="AU390" s="61" t="str">
        <f>IFERROR(IF(AR390-AR389&lt;=0,"",AT390/SQRT(Таблица_pr7[[#This Row],[Удельное сопротивление грунта, Ом·м]])),AT390/SQRT(Таблица_pr7[[#This Row],[Удельное сопротивление грунта, Ом·м]]))</f>
        <v/>
      </c>
      <c r="AW390" s="53"/>
      <c r="AX390" s="52"/>
      <c r="AY390" s="50"/>
      <c r="AZ390" s="61" t="str">
        <f t="shared" si="39"/>
        <v/>
      </c>
      <c r="BA390" s="61" t="str">
        <f>IFERROR(IF(AX390-AX389&lt;=0,"",AZ390/SQRT(Таблица_pr8[[#This Row],[Удельное сопротивление грунта, Ом·м]])),AZ390/SQRT(Таблица_pr8[[#This Row],[Удельное сопротивление грунта, Ом·м]]))</f>
        <v/>
      </c>
      <c r="BC390" s="53"/>
      <c r="BD390" s="52"/>
      <c r="BE390" s="50"/>
      <c r="BF390" s="61" t="str">
        <f t="shared" si="45"/>
        <v/>
      </c>
      <c r="BG390" s="61" t="str">
        <f>IFERROR(IF(BD390-AX409&lt;=0,"",BF390/SQRT(Таблица_pr9[[#This Row],[Удельное сопротивление грунта, Ом·м]])),BF390/SQRT(Таблица_pr9[[#This Row],[Удельное сопротивление грунта, Ом·м]]))</f>
        <v/>
      </c>
      <c r="BI390" s="53"/>
      <c r="BJ390" s="52"/>
      <c r="BK390" s="50"/>
      <c r="BL390" s="61" t="str">
        <f t="shared" si="41"/>
        <v/>
      </c>
      <c r="BM390" s="61" t="str">
        <f>IFERROR(IF(BJ390-BD419&lt;=0,"",BL390/SQRT(Таблица_pr10[[#This Row],[Удельное сопротивление грунта, Ом·м]])),BL390/SQRT(Таблица_pr10[[#This Row],[Удельное сопротивление грунта, Ом·м]]))</f>
        <v/>
      </c>
    </row>
    <row r="391" spans="1:65">
      <c r="A391" s="51"/>
      <c r="B391" s="52"/>
      <c r="C391" s="50"/>
      <c r="D391" s="61" t="str">
        <f t="shared" si="46"/>
        <v/>
      </c>
      <c r="E391" s="61" t="str">
        <f>IFERROR(IF(B391-B390&lt;=0,"",D391/SQRT(Таблица_pr[[#This Row],[Удельное сопротивление грунта, Ом·м]])),D391/SQRT(Таблица_pr[[#This Row],[Удельное сопротивление грунта, Ом·м]]))</f>
        <v/>
      </c>
      <c r="G391" s="189"/>
      <c r="H391" s="185"/>
      <c r="I391" s="183"/>
      <c r="J391" s="180" t="str">
        <f t="shared" si="47"/>
        <v/>
      </c>
      <c r="K391" s="61" t="str">
        <f>IFERROR(IF(H391-H390&lt;=0,"",J391/SQRT(Таблица_pr1[[#This Row],[Удельное сопротивление грунта, Ом·м]])),J391/SQRT(Таблица_pr1[[#This Row],[Удельное сопротивление грунта, Ом·м]]))</f>
        <v/>
      </c>
      <c r="M391" s="51"/>
      <c r="N391" s="52"/>
      <c r="O391" s="50"/>
      <c r="P391" s="61" t="str">
        <f t="shared" si="48"/>
        <v/>
      </c>
      <c r="Q391" s="61" t="str">
        <f>IFERROR(IF(N391-N390&lt;=0,"",P391/SQRT(Таблица_pr2[[#This Row],[Удельное сопротивление грунта, Ом·м]])),P391/SQRT(Таблица_pr2[[#This Row],[Удельное сопротивление грунта, Ом·м]]))</f>
        <v/>
      </c>
      <c r="S391" s="51"/>
      <c r="T391" s="52"/>
      <c r="U391" s="50"/>
      <c r="V391" s="61" t="str">
        <f t="shared" si="42"/>
        <v/>
      </c>
      <c r="W391" s="61" t="str">
        <f>IFERROR(IF(T391-T390&lt;=0,"",V391/SQRT(Таблица_pr3[[#This Row],[Удельное сопротивление грунта, Ом·м]])),V391/SQRT(Таблица_pr3[[#This Row],[Удельное сопротивление грунта, Ом·м]]))</f>
        <v/>
      </c>
      <c r="Y391" s="51"/>
      <c r="Z391" s="52"/>
      <c r="AA391" s="50"/>
      <c r="AB391" s="61" t="str">
        <f t="shared" ref="AB391:AB454" si="49">IFERROR(IF(Z391-Z390&lt;=0,"",(Z391-Z390)*1000),100)</f>
        <v/>
      </c>
      <c r="AC391" s="61" t="str">
        <f>IFERROR(IF(Z391-Z390&lt;=0,"",AB391/SQRT(Таблица_pr4[[#This Row],[Удельное сопротивление грунта, Ом·м]])),AB391/SQRT(Таблица_pr4[[#This Row],[Удельное сопротивление грунта, Ом·м]]))</f>
        <v/>
      </c>
      <c r="AE391" s="51"/>
      <c r="AF391" s="52"/>
      <c r="AG391" s="50"/>
      <c r="AH391" s="61" t="str">
        <f t="shared" si="43"/>
        <v/>
      </c>
      <c r="AI391" s="61" t="str">
        <f>IFERROR(IF(AF391-AF390&lt;=0,"",AH391/SQRT(Таблица_pr5[[#This Row],[Удельное сопротивление грунта, Ом·м]])),AH391/SQRT(Таблица_pr5[[#This Row],[Удельное сопротивление грунта, Ом·м]]))</f>
        <v/>
      </c>
      <c r="AK391" s="51"/>
      <c r="AL391" s="52"/>
      <c r="AM391" s="50"/>
      <c r="AN391" s="61" t="str">
        <f t="shared" ref="AN391:AN454" si="50">IFERROR(IF(AL391-AL390&lt;=0,"",(AL391-AL390)*1000),100)</f>
        <v/>
      </c>
      <c r="AO391" s="61" t="str">
        <f>IFERROR(IF(AL391-AL390&lt;=0,"",AN391/SQRT(Таблица_pr6[[#This Row],[Удельное сопротивление грунта, Ом·м]])),AN391/SQRT(Таблица_pr6[[#This Row],[Удельное сопротивление грунта, Ом·м]]))</f>
        <v/>
      </c>
      <c r="AQ391" s="51"/>
      <c r="AR391" s="52"/>
      <c r="AS391" s="50"/>
      <c r="AT391" s="61" t="str">
        <f t="shared" si="44"/>
        <v/>
      </c>
      <c r="AU391" s="61" t="str">
        <f>IFERROR(IF(AR391-AR390&lt;=0,"",AT391/SQRT(Таблица_pr7[[#This Row],[Удельное сопротивление грунта, Ом·м]])),AT391/SQRT(Таблица_pr7[[#This Row],[Удельное сопротивление грунта, Ом·м]]))</f>
        <v/>
      </c>
      <c r="AW391" s="51"/>
      <c r="AX391" s="52"/>
      <c r="AY391" s="50"/>
      <c r="AZ391" s="61" t="str">
        <f t="shared" ref="AZ391:AZ454" si="51">IFERROR(IF(AX391-AX390&lt;=0,"",(AX391-AX390)*1000),100)</f>
        <v/>
      </c>
      <c r="BA391" s="61" t="str">
        <f>IFERROR(IF(AX391-AX390&lt;=0,"",AZ391/SQRT(Таблица_pr8[[#This Row],[Удельное сопротивление грунта, Ом·м]])),AZ391/SQRT(Таблица_pr8[[#This Row],[Удельное сопротивление грунта, Ом·м]]))</f>
        <v/>
      </c>
      <c r="BC391" s="51"/>
      <c r="BD391" s="52"/>
      <c r="BE391" s="50"/>
      <c r="BF391" s="61" t="str">
        <f t="shared" si="45"/>
        <v/>
      </c>
      <c r="BG391" s="61" t="str">
        <f>IFERROR(IF(BD391-AX410&lt;=0,"",BF391/SQRT(Таблица_pr9[[#This Row],[Удельное сопротивление грунта, Ом·м]])),BF391/SQRT(Таблица_pr9[[#This Row],[Удельное сопротивление грунта, Ом·м]]))</f>
        <v/>
      </c>
      <c r="BI391" s="51"/>
      <c r="BJ391" s="52"/>
      <c r="BK391" s="50"/>
      <c r="BL391" s="61" t="str">
        <f t="shared" ref="BL391:BL454" si="52">IFERROR(IF(BJ391-BJ390&lt;=0,"",(BJ391-BJ390)*1000),100)</f>
        <v/>
      </c>
      <c r="BM391" s="61" t="str">
        <f>IFERROR(IF(BJ391-BD420&lt;=0,"",BL391/SQRT(Таблица_pr10[[#This Row],[Удельное сопротивление грунта, Ом·м]])),BL391/SQRT(Таблица_pr10[[#This Row],[Удельное сопротивление грунта, Ом·м]]))</f>
        <v/>
      </c>
    </row>
    <row r="392" spans="1:65">
      <c r="A392" s="53"/>
      <c r="B392" s="52"/>
      <c r="C392" s="50"/>
      <c r="D392" s="61" t="str">
        <f t="shared" si="46"/>
        <v/>
      </c>
      <c r="E392" s="61" t="str">
        <f>IFERROR(IF(B392-B391&lt;=0,"",D392/SQRT(Таблица_pr[[#This Row],[Удельное сопротивление грунта, Ом·м]])),D392/SQRT(Таблица_pr[[#This Row],[Удельное сопротивление грунта, Ом·м]]))</f>
        <v/>
      </c>
      <c r="G392" s="188"/>
      <c r="H392" s="184"/>
      <c r="I392" s="182"/>
      <c r="J392" s="181" t="str">
        <f t="shared" si="47"/>
        <v/>
      </c>
      <c r="K392" s="61" t="str">
        <f>IFERROR(IF(H392-H391&lt;=0,"",J392/SQRT(Таблица_pr1[[#This Row],[Удельное сопротивление грунта, Ом·м]])),J392/SQRT(Таблица_pr1[[#This Row],[Удельное сопротивление грунта, Ом·м]]))</f>
        <v/>
      </c>
      <c r="M392" s="53"/>
      <c r="N392" s="52"/>
      <c r="O392" s="50"/>
      <c r="P392" s="61" t="str">
        <f t="shared" si="48"/>
        <v/>
      </c>
      <c r="Q392" s="61" t="str">
        <f>IFERROR(IF(N392-N391&lt;=0,"",P392/SQRT(Таблица_pr2[[#This Row],[Удельное сопротивление грунта, Ом·м]])),P392/SQRT(Таблица_pr2[[#This Row],[Удельное сопротивление грунта, Ом·м]]))</f>
        <v/>
      </c>
      <c r="S392" s="53"/>
      <c r="T392" s="52"/>
      <c r="U392" s="50"/>
      <c r="V392" s="61" t="str">
        <f t="shared" si="42"/>
        <v/>
      </c>
      <c r="W392" s="61" t="str">
        <f>IFERROR(IF(T392-T391&lt;=0,"",V392/SQRT(Таблица_pr3[[#This Row],[Удельное сопротивление грунта, Ом·м]])),V392/SQRT(Таблица_pr3[[#This Row],[Удельное сопротивление грунта, Ом·м]]))</f>
        <v/>
      </c>
      <c r="Y392" s="53"/>
      <c r="Z392" s="52"/>
      <c r="AA392" s="50"/>
      <c r="AB392" s="61" t="str">
        <f t="shared" si="49"/>
        <v/>
      </c>
      <c r="AC392" s="61" t="str">
        <f>IFERROR(IF(Z392-Z391&lt;=0,"",AB392/SQRT(Таблица_pr4[[#This Row],[Удельное сопротивление грунта, Ом·м]])),AB392/SQRT(Таблица_pr4[[#This Row],[Удельное сопротивление грунта, Ом·м]]))</f>
        <v/>
      </c>
      <c r="AE392" s="53"/>
      <c r="AF392" s="52"/>
      <c r="AG392" s="50"/>
      <c r="AH392" s="61" t="str">
        <f t="shared" si="43"/>
        <v/>
      </c>
      <c r="AI392" s="61" t="str">
        <f>IFERROR(IF(AF392-AF391&lt;=0,"",AH392/SQRT(Таблица_pr5[[#This Row],[Удельное сопротивление грунта, Ом·м]])),AH392/SQRT(Таблица_pr5[[#This Row],[Удельное сопротивление грунта, Ом·м]]))</f>
        <v/>
      </c>
      <c r="AK392" s="53"/>
      <c r="AL392" s="52"/>
      <c r="AM392" s="50"/>
      <c r="AN392" s="61" t="str">
        <f t="shared" si="50"/>
        <v/>
      </c>
      <c r="AO392" s="61" t="str">
        <f>IFERROR(IF(AL392-AL391&lt;=0,"",AN392/SQRT(Таблица_pr6[[#This Row],[Удельное сопротивление грунта, Ом·м]])),AN392/SQRT(Таблица_pr6[[#This Row],[Удельное сопротивление грунта, Ом·м]]))</f>
        <v/>
      </c>
      <c r="AQ392" s="53"/>
      <c r="AR392" s="52"/>
      <c r="AS392" s="50"/>
      <c r="AT392" s="61" t="str">
        <f t="shared" si="44"/>
        <v/>
      </c>
      <c r="AU392" s="61" t="str">
        <f>IFERROR(IF(AR392-AR391&lt;=0,"",AT392/SQRT(Таблица_pr7[[#This Row],[Удельное сопротивление грунта, Ом·м]])),AT392/SQRT(Таблица_pr7[[#This Row],[Удельное сопротивление грунта, Ом·м]]))</f>
        <v/>
      </c>
      <c r="AW392" s="53"/>
      <c r="AX392" s="52"/>
      <c r="AY392" s="50"/>
      <c r="AZ392" s="61" t="str">
        <f t="shared" si="51"/>
        <v/>
      </c>
      <c r="BA392" s="61" t="str">
        <f>IFERROR(IF(AX392-AX391&lt;=0,"",AZ392/SQRT(Таблица_pr8[[#This Row],[Удельное сопротивление грунта, Ом·м]])),AZ392/SQRT(Таблица_pr8[[#This Row],[Удельное сопротивление грунта, Ом·м]]))</f>
        <v/>
      </c>
      <c r="BC392" s="53"/>
      <c r="BD392" s="52"/>
      <c r="BE392" s="50"/>
      <c r="BF392" s="61" t="str">
        <f t="shared" si="45"/>
        <v/>
      </c>
      <c r="BG392" s="61" t="str">
        <f>IFERROR(IF(BD392-AX411&lt;=0,"",BF392/SQRT(Таблица_pr9[[#This Row],[Удельное сопротивление грунта, Ом·м]])),BF392/SQRT(Таблица_pr9[[#This Row],[Удельное сопротивление грунта, Ом·м]]))</f>
        <v/>
      </c>
      <c r="BI392" s="53"/>
      <c r="BJ392" s="52"/>
      <c r="BK392" s="50"/>
      <c r="BL392" s="61" t="str">
        <f t="shared" si="52"/>
        <v/>
      </c>
      <c r="BM392" s="61" t="str">
        <f>IFERROR(IF(BJ392-BD421&lt;=0,"",BL392/SQRT(Таблица_pr10[[#This Row],[Удельное сопротивление грунта, Ом·м]])),BL392/SQRT(Таблица_pr10[[#This Row],[Удельное сопротивление грунта, Ом·м]]))</f>
        <v/>
      </c>
    </row>
    <row r="393" spans="1:65">
      <c r="A393" s="51"/>
      <c r="B393" s="52"/>
      <c r="C393" s="50"/>
      <c r="D393" s="61" t="str">
        <f t="shared" si="46"/>
        <v/>
      </c>
      <c r="E393" s="61" t="str">
        <f>IFERROR(IF(B393-B392&lt;=0,"",D393/SQRT(Таблица_pr[[#This Row],[Удельное сопротивление грунта, Ом·м]])),D393/SQRT(Таблица_pr[[#This Row],[Удельное сопротивление грунта, Ом·м]]))</f>
        <v/>
      </c>
      <c r="G393" s="189"/>
      <c r="H393" s="185"/>
      <c r="I393" s="183"/>
      <c r="J393" s="180" t="str">
        <f t="shared" si="47"/>
        <v/>
      </c>
      <c r="K393" s="61" t="str">
        <f>IFERROR(IF(H393-H392&lt;=0,"",J393/SQRT(Таблица_pr1[[#This Row],[Удельное сопротивление грунта, Ом·м]])),J393/SQRT(Таблица_pr1[[#This Row],[Удельное сопротивление грунта, Ом·м]]))</f>
        <v/>
      </c>
      <c r="M393" s="51"/>
      <c r="N393" s="52"/>
      <c r="O393" s="50"/>
      <c r="P393" s="61" t="str">
        <f t="shared" si="48"/>
        <v/>
      </c>
      <c r="Q393" s="61" t="str">
        <f>IFERROR(IF(N393-N392&lt;=0,"",P393/SQRT(Таблица_pr2[[#This Row],[Удельное сопротивление грунта, Ом·м]])),P393/SQRT(Таблица_pr2[[#This Row],[Удельное сопротивление грунта, Ом·м]]))</f>
        <v/>
      </c>
      <c r="S393" s="51"/>
      <c r="T393" s="52"/>
      <c r="U393" s="50"/>
      <c r="V393" s="61" t="str">
        <f t="shared" si="42"/>
        <v/>
      </c>
      <c r="W393" s="61" t="str">
        <f>IFERROR(IF(T393-T392&lt;=0,"",V393/SQRT(Таблица_pr3[[#This Row],[Удельное сопротивление грунта, Ом·м]])),V393/SQRT(Таблица_pr3[[#This Row],[Удельное сопротивление грунта, Ом·м]]))</f>
        <v/>
      </c>
      <c r="Y393" s="51"/>
      <c r="Z393" s="52"/>
      <c r="AA393" s="50"/>
      <c r="AB393" s="61" t="str">
        <f t="shared" si="49"/>
        <v/>
      </c>
      <c r="AC393" s="61" t="str">
        <f>IFERROR(IF(Z393-Z392&lt;=0,"",AB393/SQRT(Таблица_pr4[[#This Row],[Удельное сопротивление грунта, Ом·м]])),AB393/SQRT(Таблица_pr4[[#This Row],[Удельное сопротивление грунта, Ом·м]]))</f>
        <v/>
      </c>
      <c r="AE393" s="51"/>
      <c r="AF393" s="52"/>
      <c r="AG393" s="50"/>
      <c r="AH393" s="61" t="str">
        <f t="shared" si="43"/>
        <v/>
      </c>
      <c r="AI393" s="61" t="str">
        <f>IFERROR(IF(AF393-AF392&lt;=0,"",AH393/SQRT(Таблица_pr5[[#This Row],[Удельное сопротивление грунта, Ом·м]])),AH393/SQRT(Таблица_pr5[[#This Row],[Удельное сопротивление грунта, Ом·м]]))</f>
        <v/>
      </c>
      <c r="AK393" s="51"/>
      <c r="AL393" s="52"/>
      <c r="AM393" s="50"/>
      <c r="AN393" s="61" t="str">
        <f t="shared" si="50"/>
        <v/>
      </c>
      <c r="AO393" s="61" t="str">
        <f>IFERROR(IF(AL393-AL392&lt;=0,"",AN393/SQRT(Таблица_pr6[[#This Row],[Удельное сопротивление грунта, Ом·м]])),AN393/SQRT(Таблица_pr6[[#This Row],[Удельное сопротивление грунта, Ом·м]]))</f>
        <v/>
      </c>
      <c r="AQ393" s="51"/>
      <c r="AR393" s="52"/>
      <c r="AS393" s="50"/>
      <c r="AT393" s="61" t="str">
        <f t="shared" si="44"/>
        <v/>
      </c>
      <c r="AU393" s="61" t="str">
        <f>IFERROR(IF(AR393-AR392&lt;=0,"",AT393/SQRT(Таблица_pr7[[#This Row],[Удельное сопротивление грунта, Ом·м]])),AT393/SQRT(Таблица_pr7[[#This Row],[Удельное сопротивление грунта, Ом·м]]))</f>
        <v/>
      </c>
      <c r="AW393" s="51"/>
      <c r="AX393" s="52"/>
      <c r="AY393" s="50"/>
      <c r="AZ393" s="61" t="str">
        <f t="shared" si="51"/>
        <v/>
      </c>
      <c r="BA393" s="61" t="str">
        <f>IFERROR(IF(AX393-AX392&lt;=0,"",AZ393/SQRT(Таблица_pr8[[#This Row],[Удельное сопротивление грунта, Ом·м]])),AZ393/SQRT(Таблица_pr8[[#This Row],[Удельное сопротивление грунта, Ом·м]]))</f>
        <v/>
      </c>
      <c r="BC393" s="51"/>
      <c r="BD393" s="52"/>
      <c r="BE393" s="50"/>
      <c r="BF393" s="61" t="str">
        <f t="shared" si="45"/>
        <v/>
      </c>
      <c r="BG393" s="61" t="str">
        <f>IFERROR(IF(BD393-AX412&lt;=0,"",BF393/SQRT(Таблица_pr9[[#This Row],[Удельное сопротивление грунта, Ом·м]])),BF393/SQRT(Таблица_pr9[[#This Row],[Удельное сопротивление грунта, Ом·м]]))</f>
        <v/>
      </c>
      <c r="BI393" s="51"/>
      <c r="BJ393" s="52"/>
      <c r="BK393" s="50"/>
      <c r="BL393" s="61" t="str">
        <f t="shared" si="52"/>
        <v/>
      </c>
      <c r="BM393" s="61" t="str">
        <f>IFERROR(IF(BJ393-BD422&lt;=0,"",BL393/SQRT(Таблица_pr10[[#This Row],[Удельное сопротивление грунта, Ом·м]])),BL393/SQRT(Таблица_pr10[[#This Row],[Удельное сопротивление грунта, Ом·м]]))</f>
        <v/>
      </c>
    </row>
    <row r="394" spans="1:65">
      <c r="A394" s="53"/>
      <c r="B394" s="52"/>
      <c r="C394" s="50"/>
      <c r="D394" s="61" t="str">
        <f t="shared" si="46"/>
        <v/>
      </c>
      <c r="E394" s="61" t="str">
        <f>IFERROR(IF(B394-B393&lt;=0,"",D394/SQRT(Таблица_pr[[#This Row],[Удельное сопротивление грунта, Ом·м]])),D394/SQRT(Таблица_pr[[#This Row],[Удельное сопротивление грунта, Ом·м]]))</f>
        <v/>
      </c>
      <c r="G394" s="188"/>
      <c r="H394" s="184"/>
      <c r="I394" s="182"/>
      <c r="J394" s="181" t="str">
        <f t="shared" si="47"/>
        <v/>
      </c>
      <c r="K394" s="61" t="str">
        <f>IFERROR(IF(H394-H393&lt;=0,"",J394/SQRT(Таблица_pr1[[#This Row],[Удельное сопротивление грунта, Ом·м]])),J394/SQRT(Таблица_pr1[[#This Row],[Удельное сопротивление грунта, Ом·м]]))</f>
        <v/>
      </c>
      <c r="M394" s="53"/>
      <c r="N394" s="52"/>
      <c r="O394" s="50"/>
      <c r="P394" s="61" t="str">
        <f t="shared" si="48"/>
        <v/>
      </c>
      <c r="Q394" s="61" t="str">
        <f>IFERROR(IF(N394-N393&lt;=0,"",P394/SQRT(Таблица_pr2[[#This Row],[Удельное сопротивление грунта, Ом·м]])),P394/SQRT(Таблица_pr2[[#This Row],[Удельное сопротивление грунта, Ом·м]]))</f>
        <v/>
      </c>
      <c r="S394" s="53"/>
      <c r="T394" s="52"/>
      <c r="U394" s="50"/>
      <c r="V394" s="61" t="str">
        <f t="shared" si="42"/>
        <v/>
      </c>
      <c r="W394" s="61" t="str">
        <f>IFERROR(IF(T394-T393&lt;=0,"",V394/SQRT(Таблица_pr3[[#This Row],[Удельное сопротивление грунта, Ом·м]])),V394/SQRT(Таблица_pr3[[#This Row],[Удельное сопротивление грунта, Ом·м]]))</f>
        <v/>
      </c>
      <c r="Y394" s="53"/>
      <c r="Z394" s="52"/>
      <c r="AA394" s="50"/>
      <c r="AB394" s="61" t="str">
        <f t="shared" si="49"/>
        <v/>
      </c>
      <c r="AC394" s="61" t="str">
        <f>IFERROR(IF(Z394-Z393&lt;=0,"",AB394/SQRT(Таблица_pr4[[#This Row],[Удельное сопротивление грунта, Ом·м]])),AB394/SQRT(Таблица_pr4[[#This Row],[Удельное сопротивление грунта, Ом·м]]))</f>
        <v/>
      </c>
      <c r="AE394" s="53"/>
      <c r="AF394" s="52"/>
      <c r="AG394" s="50"/>
      <c r="AH394" s="61" t="str">
        <f t="shared" si="43"/>
        <v/>
      </c>
      <c r="AI394" s="61" t="str">
        <f>IFERROR(IF(AF394-AF393&lt;=0,"",AH394/SQRT(Таблица_pr5[[#This Row],[Удельное сопротивление грунта, Ом·м]])),AH394/SQRT(Таблица_pr5[[#This Row],[Удельное сопротивление грунта, Ом·м]]))</f>
        <v/>
      </c>
      <c r="AK394" s="53"/>
      <c r="AL394" s="52"/>
      <c r="AM394" s="50"/>
      <c r="AN394" s="61" t="str">
        <f t="shared" si="50"/>
        <v/>
      </c>
      <c r="AO394" s="61" t="str">
        <f>IFERROR(IF(AL394-AL393&lt;=0,"",AN394/SQRT(Таблица_pr6[[#This Row],[Удельное сопротивление грунта, Ом·м]])),AN394/SQRT(Таблица_pr6[[#This Row],[Удельное сопротивление грунта, Ом·м]]))</f>
        <v/>
      </c>
      <c r="AQ394" s="53"/>
      <c r="AR394" s="52"/>
      <c r="AS394" s="50"/>
      <c r="AT394" s="61" t="str">
        <f t="shared" si="44"/>
        <v/>
      </c>
      <c r="AU394" s="61" t="str">
        <f>IFERROR(IF(AR394-AR393&lt;=0,"",AT394/SQRT(Таблица_pr7[[#This Row],[Удельное сопротивление грунта, Ом·м]])),AT394/SQRT(Таблица_pr7[[#This Row],[Удельное сопротивление грунта, Ом·м]]))</f>
        <v/>
      </c>
      <c r="AW394" s="53"/>
      <c r="AX394" s="52"/>
      <c r="AY394" s="50"/>
      <c r="AZ394" s="61" t="str">
        <f t="shared" si="51"/>
        <v/>
      </c>
      <c r="BA394" s="61" t="str">
        <f>IFERROR(IF(AX394-AX393&lt;=0,"",AZ394/SQRT(Таблица_pr8[[#This Row],[Удельное сопротивление грунта, Ом·м]])),AZ394/SQRT(Таблица_pr8[[#This Row],[Удельное сопротивление грунта, Ом·м]]))</f>
        <v/>
      </c>
      <c r="BC394" s="53"/>
      <c r="BD394" s="52"/>
      <c r="BE394" s="50"/>
      <c r="BF394" s="61" t="str">
        <f t="shared" si="45"/>
        <v/>
      </c>
      <c r="BG394" s="61" t="str">
        <f>IFERROR(IF(BD394-AX413&lt;=0,"",BF394/SQRT(Таблица_pr9[[#This Row],[Удельное сопротивление грунта, Ом·м]])),BF394/SQRT(Таблица_pr9[[#This Row],[Удельное сопротивление грунта, Ом·м]]))</f>
        <v/>
      </c>
      <c r="BI394" s="53"/>
      <c r="BJ394" s="52"/>
      <c r="BK394" s="50"/>
      <c r="BL394" s="61" t="str">
        <f t="shared" si="52"/>
        <v/>
      </c>
      <c r="BM394" s="61" t="str">
        <f>IFERROR(IF(BJ394-BD423&lt;=0,"",BL394/SQRT(Таблица_pr10[[#This Row],[Удельное сопротивление грунта, Ом·м]])),BL394/SQRT(Таблица_pr10[[#This Row],[Удельное сопротивление грунта, Ом·м]]))</f>
        <v/>
      </c>
    </row>
    <row r="395" spans="1:65">
      <c r="A395" s="51"/>
      <c r="B395" s="52"/>
      <c r="C395" s="50"/>
      <c r="D395" s="61" t="str">
        <f t="shared" si="46"/>
        <v/>
      </c>
      <c r="E395" s="61" t="str">
        <f>IFERROR(IF(B395-B394&lt;=0,"",D395/SQRT(Таблица_pr[[#This Row],[Удельное сопротивление грунта, Ом·м]])),D395/SQRT(Таблица_pr[[#This Row],[Удельное сопротивление грунта, Ом·м]]))</f>
        <v/>
      </c>
      <c r="G395" s="189"/>
      <c r="H395" s="185"/>
      <c r="I395" s="183"/>
      <c r="J395" s="180" t="str">
        <f t="shared" si="47"/>
        <v/>
      </c>
      <c r="K395" s="61" t="str">
        <f>IFERROR(IF(H395-H394&lt;=0,"",J395/SQRT(Таблица_pr1[[#This Row],[Удельное сопротивление грунта, Ом·м]])),J395/SQRT(Таблица_pr1[[#This Row],[Удельное сопротивление грунта, Ом·м]]))</f>
        <v/>
      </c>
      <c r="M395" s="51"/>
      <c r="N395" s="52"/>
      <c r="O395" s="50"/>
      <c r="P395" s="61" t="str">
        <f t="shared" si="48"/>
        <v/>
      </c>
      <c r="Q395" s="61" t="str">
        <f>IFERROR(IF(N395-N394&lt;=0,"",P395/SQRT(Таблица_pr2[[#This Row],[Удельное сопротивление грунта, Ом·м]])),P395/SQRT(Таблица_pr2[[#This Row],[Удельное сопротивление грунта, Ом·м]]))</f>
        <v/>
      </c>
      <c r="S395" s="51"/>
      <c r="T395" s="52"/>
      <c r="U395" s="50"/>
      <c r="V395" s="61" t="str">
        <f t="shared" si="42"/>
        <v/>
      </c>
      <c r="W395" s="61" t="str">
        <f>IFERROR(IF(T395-T394&lt;=0,"",V395/SQRT(Таблица_pr3[[#This Row],[Удельное сопротивление грунта, Ом·м]])),V395/SQRT(Таблица_pr3[[#This Row],[Удельное сопротивление грунта, Ом·м]]))</f>
        <v/>
      </c>
      <c r="Y395" s="51"/>
      <c r="Z395" s="52"/>
      <c r="AA395" s="50"/>
      <c r="AB395" s="61" t="str">
        <f t="shared" si="49"/>
        <v/>
      </c>
      <c r="AC395" s="61" t="str">
        <f>IFERROR(IF(Z395-Z394&lt;=0,"",AB395/SQRT(Таблица_pr4[[#This Row],[Удельное сопротивление грунта, Ом·м]])),AB395/SQRT(Таблица_pr4[[#This Row],[Удельное сопротивление грунта, Ом·м]]))</f>
        <v/>
      </c>
      <c r="AE395" s="51"/>
      <c r="AF395" s="52"/>
      <c r="AG395" s="50"/>
      <c r="AH395" s="61" t="str">
        <f t="shared" si="43"/>
        <v/>
      </c>
      <c r="AI395" s="61" t="str">
        <f>IFERROR(IF(AF395-AF394&lt;=0,"",AH395/SQRT(Таблица_pr5[[#This Row],[Удельное сопротивление грунта, Ом·м]])),AH395/SQRT(Таблица_pr5[[#This Row],[Удельное сопротивление грунта, Ом·м]]))</f>
        <v/>
      </c>
      <c r="AK395" s="51"/>
      <c r="AL395" s="52"/>
      <c r="AM395" s="50"/>
      <c r="AN395" s="61" t="str">
        <f t="shared" si="50"/>
        <v/>
      </c>
      <c r="AO395" s="61" t="str">
        <f>IFERROR(IF(AL395-AL394&lt;=0,"",AN395/SQRT(Таблица_pr6[[#This Row],[Удельное сопротивление грунта, Ом·м]])),AN395/SQRT(Таблица_pr6[[#This Row],[Удельное сопротивление грунта, Ом·м]]))</f>
        <v/>
      </c>
      <c r="AQ395" s="51"/>
      <c r="AR395" s="52"/>
      <c r="AS395" s="50"/>
      <c r="AT395" s="61" t="str">
        <f t="shared" si="44"/>
        <v/>
      </c>
      <c r="AU395" s="61" t="str">
        <f>IFERROR(IF(AR395-AR394&lt;=0,"",AT395/SQRT(Таблица_pr7[[#This Row],[Удельное сопротивление грунта, Ом·м]])),AT395/SQRT(Таблица_pr7[[#This Row],[Удельное сопротивление грунта, Ом·м]]))</f>
        <v/>
      </c>
      <c r="AW395" s="51"/>
      <c r="AX395" s="52"/>
      <c r="AY395" s="50"/>
      <c r="AZ395" s="61" t="str">
        <f t="shared" si="51"/>
        <v/>
      </c>
      <c r="BA395" s="61" t="str">
        <f>IFERROR(IF(AX395-AX394&lt;=0,"",AZ395/SQRT(Таблица_pr8[[#This Row],[Удельное сопротивление грунта, Ом·м]])),AZ395/SQRT(Таблица_pr8[[#This Row],[Удельное сопротивление грунта, Ом·м]]))</f>
        <v/>
      </c>
      <c r="BC395" s="51"/>
      <c r="BD395" s="52"/>
      <c r="BE395" s="50"/>
      <c r="BF395" s="61" t="str">
        <f t="shared" si="45"/>
        <v/>
      </c>
      <c r="BG395" s="61" t="str">
        <f>IFERROR(IF(BD395-AX414&lt;=0,"",BF395/SQRT(Таблица_pr9[[#This Row],[Удельное сопротивление грунта, Ом·м]])),BF395/SQRT(Таблица_pr9[[#This Row],[Удельное сопротивление грунта, Ом·м]]))</f>
        <v/>
      </c>
      <c r="BI395" s="51"/>
      <c r="BJ395" s="52"/>
      <c r="BK395" s="50"/>
      <c r="BL395" s="61" t="str">
        <f t="shared" si="52"/>
        <v/>
      </c>
      <c r="BM395" s="61" t="str">
        <f>IFERROR(IF(BJ395-BD424&lt;=0,"",BL395/SQRT(Таблица_pr10[[#This Row],[Удельное сопротивление грунта, Ом·м]])),BL395/SQRT(Таблица_pr10[[#This Row],[Удельное сопротивление грунта, Ом·м]]))</f>
        <v/>
      </c>
    </row>
    <row r="396" spans="1:65">
      <c r="A396" s="53"/>
      <c r="B396" s="52"/>
      <c r="C396" s="50"/>
      <c r="D396" s="61" t="str">
        <f t="shared" si="46"/>
        <v/>
      </c>
      <c r="E396" s="61" t="str">
        <f>IFERROR(IF(B396-B395&lt;=0,"",D396/SQRT(Таблица_pr[[#This Row],[Удельное сопротивление грунта, Ом·м]])),D396/SQRT(Таблица_pr[[#This Row],[Удельное сопротивление грунта, Ом·м]]))</f>
        <v/>
      </c>
      <c r="G396" s="188"/>
      <c r="H396" s="184"/>
      <c r="I396" s="182"/>
      <c r="J396" s="181" t="str">
        <f t="shared" si="47"/>
        <v/>
      </c>
      <c r="K396" s="61" t="str">
        <f>IFERROR(IF(H396-H395&lt;=0,"",J396/SQRT(Таблица_pr1[[#This Row],[Удельное сопротивление грунта, Ом·м]])),J396/SQRT(Таблица_pr1[[#This Row],[Удельное сопротивление грунта, Ом·м]]))</f>
        <v/>
      </c>
      <c r="M396" s="53"/>
      <c r="N396" s="52"/>
      <c r="O396" s="50"/>
      <c r="P396" s="61" t="str">
        <f t="shared" si="48"/>
        <v/>
      </c>
      <c r="Q396" s="61" t="str">
        <f>IFERROR(IF(N396-N395&lt;=0,"",P396/SQRT(Таблица_pr2[[#This Row],[Удельное сопротивление грунта, Ом·м]])),P396/SQRT(Таблица_pr2[[#This Row],[Удельное сопротивление грунта, Ом·м]]))</f>
        <v/>
      </c>
      <c r="S396" s="53"/>
      <c r="T396" s="52"/>
      <c r="U396" s="50"/>
      <c r="V396" s="61" t="str">
        <f t="shared" si="42"/>
        <v/>
      </c>
      <c r="W396" s="61" t="str">
        <f>IFERROR(IF(T396-T395&lt;=0,"",V396/SQRT(Таблица_pr3[[#This Row],[Удельное сопротивление грунта, Ом·м]])),V396/SQRT(Таблица_pr3[[#This Row],[Удельное сопротивление грунта, Ом·м]]))</f>
        <v/>
      </c>
      <c r="Y396" s="53"/>
      <c r="Z396" s="52"/>
      <c r="AA396" s="50"/>
      <c r="AB396" s="61" t="str">
        <f t="shared" si="49"/>
        <v/>
      </c>
      <c r="AC396" s="61" t="str">
        <f>IFERROR(IF(Z396-Z395&lt;=0,"",AB396/SQRT(Таблица_pr4[[#This Row],[Удельное сопротивление грунта, Ом·м]])),AB396/SQRT(Таблица_pr4[[#This Row],[Удельное сопротивление грунта, Ом·м]]))</f>
        <v/>
      </c>
      <c r="AE396" s="53"/>
      <c r="AF396" s="52"/>
      <c r="AG396" s="50"/>
      <c r="AH396" s="61" t="str">
        <f t="shared" si="43"/>
        <v/>
      </c>
      <c r="AI396" s="61" t="str">
        <f>IFERROR(IF(AF396-AF395&lt;=0,"",AH396/SQRT(Таблица_pr5[[#This Row],[Удельное сопротивление грунта, Ом·м]])),AH396/SQRT(Таблица_pr5[[#This Row],[Удельное сопротивление грунта, Ом·м]]))</f>
        <v/>
      </c>
      <c r="AK396" s="53"/>
      <c r="AL396" s="52"/>
      <c r="AM396" s="50"/>
      <c r="AN396" s="61" t="str">
        <f t="shared" si="50"/>
        <v/>
      </c>
      <c r="AO396" s="61" t="str">
        <f>IFERROR(IF(AL396-AL395&lt;=0,"",AN396/SQRT(Таблица_pr6[[#This Row],[Удельное сопротивление грунта, Ом·м]])),AN396/SQRT(Таблица_pr6[[#This Row],[Удельное сопротивление грунта, Ом·м]]))</f>
        <v/>
      </c>
      <c r="AQ396" s="53"/>
      <c r="AR396" s="52"/>
      <c r="AS396" s="50"/>
      <c r="AT396" s="61" t="str">
        <f t="shared" si="44"/>
        <v/>
      </c>
      <c r="AU396" s="61" t="str">
        <f>IFERROR(IF(AR396-AR395&lt;=0,"",AT396/SQRT(Таблица_pr7[[#This Row],[Удельное сопротивление грунта, Ом·м]])),AT396/SQRT(Таблица_pr7[[#This Row],[Удельное сопротивление грунта, Ом·м]]))</f>
        <v/>
      </c>
      <c r="AW396" s="53"/>
      <c r="AX396" s="52"/>
      <c r="AY396" s="50"/>
      <c r="AZ396" s="61" t="str">
        <f t="shared" si="51"/>
        <v/>
      </c>
      <c r="BA396" s="61" t="str">
        <f>IFERROR(IF(AX396-AX395&lt;=0,"",AZ396/SQRT(Таблица_pr8[[#This Row],[Удельное сопротивление грунта, Ом·м]])),AZ396/SQRT(Таблица_pr8[[#This Row],[Удельное сопротивление грунта, Ом·м]]))</f>
        <v/>
      </c>
      <c r="BC396" s="53"/>
      <c r="BD396" s="52"/>
      <c r="BE396" s="50"/>
      <c r="BF396" s="61" t="str">
        <f t="shared" si="45"/>
        <v/>
      </c>
      <c r="BG396" s="61" t="str">
        <f>IFERROR(IF(BD396-AX415&lt;=0,"",BF396/SQRT(Таблица_pr9[[#This Row],[Удельное сопротивление грунта, Ом·м]])),BF396/SQRT(Таблица_pr9[[#This Row],[Удельное сопротивление грунта, Ом·м]]))</f>
        <v/>
      </c>
      <c r="BI396" s="53"/>
      <c r="BJ396" s="52"/>
      <c r="BK396" s="50"/>
      <c r="BL396" s="61" t="str">
        <f t="shared" si="52"/>
        <v/>
      </c>
      <c r="BM396" s="61" t="str">
        <f>IFERROR(IF(BJ396-BD425&lt;=0,"",BL396/SQRT(Таблица_pr10[[#This Row],[Удельное сопротивление грунта, Ом·м]])),BL396/SQRT(Таблица_pr10[[#This Row],[Удельное сопротивление грунта, Ом·м]]))</f>
        <v/>
      </c>
    </row>
    <row r="397" spans="1:65">
      <c r="A397" s="51"/>
      <c r="B397" s="52"/>
      <c r="C397" s="50"/>
      <c r="D397" s="61" t="str">
        <f t="shared" si="46"/>
        <v/>
      </c>
      <c r="E397" s="61" t="str">
        <f>IFERROR(IF(B397-B396&lt;=0,"",D397/SQRT(Таблица_pr[[#This Row],[Удельное сопротивление грунта, Ом·м]])),D397/SQRT(Таблица_pr[[#This Row],[Удельное сопротивление грунта, Ом·м]]))</f>
        <v/>
      </c>
      <c r="G397" s="189"/>
      <c r="H397" s="185"/>
      <c r="I397" s="183"/>
      <c r="J397" s="180" t="str">
        <f t="shared" si="47"/>
        <v/>
      </c>
      <c r="K397" s="61" t="str">
        <f>IFERROR(IF(H397-H396&lt;=0,"",J397/SQRT(Таблица_pr1[[#This Row],[Удельное сопротивление грунта, Ом·м]])),J397/SQRT(Таблица_pr1[[#This Row],[Удельное сопротивление грунта, Ом·м]]))</f>
        <v/>
      </c>
      <c r="M397" s="51"/>
      <c r="N397" s="52"/>
      <c r="O397" s="50"/>
      <c r="P397" s="61" t="str">
        <f t="shared" si="48"/>
        <v/>
      </c>
      <c r="Q397" s="61" t="str">
        <f>IFERROR(IF(N397-N396&lt;=0,"",P397/SQRT(Таблица_pr2[[#This Row],[Удельное сопротивление грунта, Ом·м]])),P397/SQRT(Таблица_pr2[[#This Row],[Удельное сопротивление грунта, Ом·м]]))</f>
        <v/>
      </c>
      <c r="S397" s="51"/>
      <c r="T397" s="52"/>
      <c r="U397" s="50"/>
      <c r="V397" s="61" t="str">
        <f t="shared" si="42"/>
        <v/>
      </c>
      <c r="W397" s="61" t="str">
        <f>IFERROR(IF(T397-T396&lt;=0,"",V397/SQRT(Таблица_pr3[[#This Row],[Удельное сопротивление грунта, Ом·м]])),V397/SQRT(Таблица_pr3[[#This Row],[Удельное сопротивление грунта, Ом·м]]))</f>
        <v/>
      </c>
      <c r="Y397" s="51"/>
      <c r="Z397" s="52"/>
      <c r="AA397" s="50"/>
      <c r="AB397" s="61" t="str">
        <f t="shared" si="49"/>
        <v/>
      </c>
      <c r="AC397" s="61" t="str">
        <f>IFERROR(IF(Z397-Z396&lt;=0,"",AB397/SQRT(Таблица_pr4[[#This Row],[Удельное сопротивление грунта, Ом·м]])),AB397/SQRT(Таблица_pr4[[#This Row],[Удельное сопротивление грунта, Ом·м]]))</f>
        <v/>
      </c>
      <c r="AE397" s="51"/>
      <c r="AF397" s="52"/>
      <c r="AG397" s="50"/>
      <c r="AH397" s="61" t="str">
        <f t="shared" si="43"/>
        <v/>
      </c>
      <c r="AI397" s="61" t="str">
        <f>IFERROR(IF(AF397-AF396&lt;=0,"",AH397/SQRT(Таблица_pr5[[#This Row],[Удельное сопротивление грунта, Ом·м]])),AH397/SQRT(Таблица_pr5[[#This Row],[Удельное сопротивление грунта, Ом·м]]))</f>
        <v/>
      </c>
      <c r="AK397" s="51"/>
      <c r="AL397" s="52"/>
      <c r="AM397" s="50"/>
      <c r="AN397" s="61" t="str">
        <f t="shared" si="50"/>
        <v/>
      </c>
      <c r="AO397" s="61" t="str">
        <f>IFERROR(IF(AL397-AL396&lt;=0,"",AN397/SQRT(Таблица_pr6[[#This Row],[Удельное сопротивление грунта, Ом·м]])),AN397/SQRT(Таблица_pr6[[#This Row],[Удельное сопротивление грунта, Ом·м]]))</f>
        <v/>
      </c>
      <c r="AQ397" s="51"/>
      <c r="AR397" s="52"/>
      <c r="AS397" s="50"/>
      <c r="AT397" s="61" t="str">
        <f t="shared" si="44"/>
        <v/>
      </c>
      <c r="AU397" s="61" t="str">
        <f>IFERROR(IF(AR397-AR396&lt;=0,"",AT397/SQRT(Таблица_pr7[[#This Row],[Удельное сопротивление грунта, Ом·м]])),AT397/SQRT(Таблица_pr7[[#This Row],[Удельное сопротивление грунта, Ом·м]]))</f>
        <v/>
      </c>
      <c r="AW397" s="51"/>
      <c r="AX397" s="52"/>
      <c r="AY397" s="50"/>
      <c r="AZ397" s="61" t="str">
        <f t="shared" si="51"/>
        <v/>
      </c>
      <c r="BA397" s="61" t="str">
        <f>IFERROR(IF(AX397-AX396&lt;=0,"",AZ397/SQRT(Таблица_pr8[[#This Row],[Удельное сопротивление грунта, Ом·м]])),AZ397/SQRT(Таблица_pr8[[#This Row],[Удельное сопротивление грунта, Ом·м]]))</f>
        <v/>
      </c>
      <c r="BC397" s="51"/>
      <c r="BD397" s="52"/>
      <c r="BE397" s="50"/>
      <c r="BF397" s="61" t="str">
        <f t="shared" si="45"/>
        <v/>
      </c>
      <c r="BG397" s="61" t="str">
        <f>IFERROR(IF(BD397-AX416&lt;=0,"",BF397/SQRT(Таблица_pr9[[#This Row],[Удельное сопротивление грунта, Ом·м]])),BF397/SQRT(Таблица_pr9[[#This Row],[Удельное сопротивление грунта, Ом·м]]))</f>
        <v/>
      </c>
      <c r="BI397" s="51"/>
      <c r="BJ397" s="52"/>
      <c r="BK397" s="50"/>
      <c r="BL397" s="61" t="str">
        <f t="shared" si="52"/>
        <v/>
      </c>
      <c r="BM397" s="61" t="str">
        <f>IFERROR(IF(BJ397-BD426&lt;=0,"",BL397/SQRT(Таблица_pr10[[#This Row],[Удельное сопротивление грунта, Ом·м]])),BL397/SQRT(Таблица_pr10[[#This Row],[Удельное сопротивление грунта, Ом·м]]))</f>
        <v/>
      </c>
    </row>
    <row r="398" spans="1:65">
      <c r="A398" s="53"/>
      <c r="B398" s="52"/>
      <c r="C398" s="50"/>
      <c r="D398" s="61" t="str">
        <f t="shared" si="46"/>
        <v/>
      </c>
      <c r="E398" s="61" t="str">
        <f>IFERROR(IF(B398-B397&lt;=0,"",D398/SQRT(Таблица_pr[[#This Row],[Удельное сопротивление грунта, Ом·м]])),D398/SQRT(Таблица_pr[[#This Row],[Удельное сопротивление грунта, Ом·м]]))</f>
        <v/>
      </c>
      <c r="G398" s="188"/>
      <c r="H398" s="184"/>
      <c r="I398" s="182"/>
      <c r="J398" s="181" t="str">
        <f t="shared" si="47"/>
        <v/>
      </c>
      <c r="K398" s="61" t="str">
        <f>IFERROR(IF(H398-H397&lt;=0,"",J398/SQRT(Таблица_pr1[[#This Row],[Удельное сопротивление грунта, Ом·м]])),J398/SQRT(Таблица_pr1[[#This Row],[Удельное сопротивление грунта, Ом·м]]))</f>
        <v/>
      </c>
      <c r="M398" s="53"/>
      <c r="N398" s="52"/>
      <c r="O398" s="50"/>
      <c r="P398" s="61" t="str">
        <f t="shared" si="48"/>
        <v/>
      </c>
      <c r="Q398" s="61" t="str">
        <f>IFERROR(IF(N398-N397&lt;=0,"",P398/SQRT(Таблица_pr2[[#This Row],[Удельное сопротивление грунта, Ом·м]])),P398/SQRT(Таблица_pr2[[#This Row],[Удельное сопротивление грунта, Ом·м]]))</f>
        <v/>
      </c>
      <c r="S398" s="53"/>
      <c r="T398" s="52"/>
      <c r="U398" s="50"/>
      <c r="V398" s="61" t="str">
        <f t="shared" si="42"/>
        <v/>
      </c>
      <c r="W398" s="61" t="str">
        <f>IFERROR(IF(T398-T397&lt;=0,"",V398/SQRT(Таблица_pr3[[#This Row],[Удельное сопротивление грунта, Ом·м]])),V398/SQRT(Таблица_pr3[[#This Row],[Удельное сопротивление грунта, Ом·м]]))</f>
        <v/>
      </c>
      <c r="Y398" s="53"/>
      <c r="Z398" s="52"/>
      <c r="AA398" s="50"/>
      <c r="AB398" s="61" t="str">
        <f t="shared" si="49"/>
        <v/>
      </c>
      <c r="AC398" s="61" t="str">
        <f>IFERROR(IF(Z398-Z397&lt;=0,"",AB398/SQRT(Таблица_pr4[[#This Row],[Удельное сопротивление грунта, Ом·м]])),AB398/SQRT(Таблица_pr4[[#This Row],[Удельное сопротивление грунта, Ом·м]]))</f>
        <v/>
      </c>
      <c r="AE398" s="53"/>
      <c r="AF398" s="52"/>
      <c r="AG398" s="50"/>
      <c r="AH398" s="61" t="str">
        <f t="shared" si="43"/>
        <v/>
      </c>
      <c r="AI398" s="61" t="str">
        <f>IFERROR(IF(AF398-AF397&lt;=0,"",AH398/SQRT(Таблица_pr5[[#This Row],[Удельное сопротивление грунта, Ом·м]])),AH398/SQRT(Таблица_pr5[[#This Row],[Удельное сопротивление грунта, Ом·м]]))</f>
        <v/>
      </c>
      <c r="AK398" s="53"/>
      <c r="AL398" s="52"/>
      <c r="AM398" s="50"/>
      <c r="AN398" s="61" t="str">
        <f t="shared" si="50"/>
        <v/>
      </c>
      <c r="AO398" s="61" t="str">
        <f>IFERROR(IF(AL398-AL397&lt;=0,"",AN398/SQRT(Таблица_pr6[[#This Row],[Удельное сопротивление грунта, Ом·м]])),AN398/SQRT(Таблица_pr6[[#This Row],[Удельное сопротивление грунта, Ом·м]]))</f>
        <v/>
      </c>
      <c r="AQ398" s="53"/>
      <c r="AR398" s="52"/>
      <c r="AS398" s="50"/>
      <c r="AT398" s="61" t="str">
        <f t="shared" si="44"/>
        <v/>
      </c>
      <c r="AU398" s="61" t="str">
        <f>IFERROR(IF(AR398-AR397&lt;=0,"",AT398/SQRT(Таблица_pr7[[#This Row],[Удельное сопротивление грунта, Ом·м]])),AT398/SQRT(Таблица_pr7[[#This Row],[Удельное сопротивление грунта, Ом·м]]))</f>
        <v/>
      </c>
      <c r="AW398" s="53"/>
      <c r="AX398" s="52"/>
      <c r="AY398" s="50"/>
      <c r="AZ398" s="61" t="str">
        <f t="shared" si="51"/>
        <v/>
      </c>
      <c r="BA398" s="61" t="str">
        <f>IFERROR(IF(AX398-AX397&lt;=0,"",AZ398/SQRT(Таблица_pr8[[#This Row],[Удельное сопротивление грунта, Ом·м]])),AZ398/SQRT(Таблица_pr8[[#This Row],[Удельное сопротивление грунта, Ом·м]]))</f>
        <v/>
      </c>
      <c r="BC398" s="53"/>
      <c r="BD398" s="52"/>
      <c r="BE398" s="50"/>
      <c r="BF398" s="61" t="str">
        <f t="shared" si="45"/>
        <v/>
      </c>
      <c r="BG398" s="61" t="str">
        <f>IFERROR(IF(BD398-AX417&lt;=0,"",BF398/SQRT(Таблица_pr9[[#This Row],[Удельное сопротивление грунта, Ом·м]])),BF398/SQRT(Таблица_pr9[[#This Row],[Удельное сопротивление грунта, Ом·м]]))</f>
        <v/>
      </c>
      <c r="BI398" s="53"/>
      <c r="BJ398" s="52"/>
      <c r="BK398" s="50"/>
      <c r="BL398" s="61" t="str">
        <f t="shared" si="52"/>
        <v/>
      </c>
      <c r="BM398" s="61" t="str">
        <f>IFERROR(IF(BJ398-BD427&lt;=0,"",BL398/SQRT(Таблица_pr10[[#This Row],[Удельное сопротивление грунта, Ом·м]])),BL398/SQRT(Таблица_pr10[[#This Row],[Удельное сопротивление грунта, Ом·м]]))</f>
        <v/>
      </c>
    </row>
    <row r="399" spans="1:65">
      <c r="A399" s="51"/>
      <c r="B399" s="52"/>
      <c r="C399" s="50"/>
      <c r="D399" s="61" t="str">
        <f t="shared" si="46"/>
        <v/>
      </c>
      <c r="E399" s="61" t="str">
        <f>IFERROR(IF(B399-B398&lt;=0,"",D399/SQRT(Таблица_pr[[#This Row],[Удельное сопротивление грунта, Ом·м]])),D399/SQRT(Таблица_pr[[#This Row],[Удельное сопротивление грунта, Ом·м]]))</f>
        <v/>
      </c>
      <c r="G399" s="189"/>
      <c r="H399" s="185"/>
      <c r="I399" s="183"/>
      <c r="J399" s="180" t="str">
        <f t="shared" si="47"/>
        <v/>
      </c>
      <c r="K399" s="61" t="str">
        <f>IFERROR(IF(H399-H398&lt;=0,"",J399/SQRT(Таблица_pr1[[#This Row],[Удельное сопротивление грунта, Ом·м]])),J399/SQRT(Таблица_pr1[[#This Row],[Удельное сопротивление грунта, Ом·м]]))</f>
        <v/>
      </c>
      <c r="M399" s="51"/>
      <c r="N399" s="52"/>
      <c r="O399" s="50"/>
      <c r="P399" s="61" t="str">
        <f t="shared" si="48"/>
        <v/>
      </c>
      <c r="Q399" s="61" t="str">
        <f>IFERROR(IF(N399-N398&lt;=0,"",P399/SQRT(Таблица_pr2[[#This Row],[Удельное сопротивление грунта, Ом·м]])),P399/SQRT(Таблица_pr2[[#This Row],[Удельное сопротивление грунта, Ом·м]]))</f>
        <v/>
      </c>
      <c r="S399" s="51"/>
      <c r="T399" s="52"/>
      <c r="U399" s="50"/>
      <c r="V399" s="61" t="str">
        <f t="shared" si="42"/>
        <v/>
      </c>
      <c r="W399" s="61" t="str">
        <f>IFERROR(IF(T399-T398&lt;=0,"",V399/SQRT(Таблица_pr3[[#This Row],[Удельное сопротивление грунта, Ом·м]])),V399/SQRT(Таблица_pr3[[#This Row],[Удельное сопротивление грунта, Ом·м]]))</f>
        <v/>
      </c>
      <c r="Y399" s="51"/>
      <c r="Z399" s="52"/>
      <c r="AA399" s="50"/>
      <c r="AB399" s="61" t="str">
        <f t="shared" si="49"/>
        <v/>
      </c>
      <c r="AC399" s="61" t="str">
        <f>IFERROR(IF(Z399-Z398&lt;=0,"",AB399/SQRT(Таблица_pr4[[#This Row],[Удельное сопротивление грунта, Ом·м]])),AB399/SQRT(Таблица_pr4[[#This Row],[Удельное сопротивление грунта, Ом·м]]))</f>
        <v/>
      </c>
      <c r="AE399" s="51"/>
      <c r="AF399" s="52"/>
      <c r="AG399" s="50"/>
      <c r="AH399" s="61" t="str">
        <f t="shared" si="43"/>
        <v/>
      </c>
      <c r="AI399" s="61" t="str">
        <f>IFERROR(IF(AF399-AF398&lt;=0,"",AH399/SQRT(Таблица_pr5[[#This Row],[Удельное сопротивление грунта, Ом·м]])),AH399/SQRT(Таблица_pr5[[#This Row],[Удельное сопротивление грунта, Ом·м]]))</f>
        <v/>
      </c>
      <c r="AK399" s="51"/>
      <c r="AL399" s="52"/>
      <c r="AM399" s="50"/>
      <c r="AN399" s="61" t="str">
        <f t="shared" si="50"/>
        <v/>
      </c>
      <c r="AO399" s="61" t="str">
        <f>IFERROR(IF(AL399-AL398&lt;=0,"",AN399/SQRT(Таблица_pr6[[#This Row],[Удельное сопротивление грунта, Ом·м]])),AN399/SQRT(Таблица_pr6[[#This Row],[Удельное сопротивление грунта, Ом·м]]))</f>
        <v/>
      </c>
      <c r="AQ399" s="51"/>
      <c r="AR399" s="52"/>
      <c r="AS399" s="50"/>
      <c r="AT399" s="61" t="str">
        <f t="shared" si="44"/>
        <v/>
      </c>
      <c r="AU399" s="61" t="str">
        <f>IFERROR(IF(AR399-AR398&lt;=0,"",AT399/SQRT(Таблица_pr7[[#This Row],[Удельное сопротивление грунта, Ом·м]])),AT399/SQRT(Таблица_pr7[[#This Row],[Удельное сопротивление грунта, Ом·м]]))</f>
        <v/>
      </c>
      <c r="AW399" s="51"/>
      <c r="AX399" s="52"/>
      <c r="AY399" s="50"/>
      <c r="AZ399" s="61" t="str">
        <f t="shared" si="51"/>
        <v/>
      </c>
      <c r="BA399" s="61" t="str">
        <f>IFERROR(IF(AX399-AX398&lt;=0,"",AZ399/SQRT(Таблица_pr8[[#This Row],[Удельное сопротивление грунта, Ом·м]])),AZ399/SQRT(Таблица_pr8[[#This Row],[Удельное сопротивление грунта, Ом·м]]))</f>
        <v/>
      </c>
      <c r="BC399" s="51"/>
      <c r="BD399" s="52"/>
      <c r="BE399" s="50"/>
      <c r="BF399" s="61" t="str">
        <f t="shared" si="45"/>
        <v/>
      </c>
      <c r="BG399" s="61" t="str">
        <f>IFERROR(IF(BD399-AX418&lt;=0,"",BF399/SQRT(Таблица_pr9[[#This Row],[Удельное сопротивление грунта, Ом·м]])),BF399/SQRT(Таблица_pr9[[#This Row],[Удельное сопротивление грунта, Ом·м]]))</f>
        <v/>
      </c>
      <c r="BI399" s="51"/>
      <c r="BJ399" s="52"/>
      <c r="BK399" s="50"/>
      <c r="BL399" s="61" t="str">
        <f t="shared" si="52"/>
        <v/>
      </c>
      <c r="BM399" s="61" t="str">
        <f>IFERROR(IF(BJ399-BD428&lt;=0,"",BL399/SQRT(Таблица_pr10[[#This Row],[Удельное сопротивление грунта, Ом·м]])),BL399/SQRT(Таблица_pr10[[#This Row],[Удельное сопротивление грунта, Ом·м]]))</f>
        <v/>
      </c>
    </row>
    <row r="400" spans="1:65">
      <c r="A400" s="53"/>
      <c r="B400" s="52"/>
      <c r="C400" s="50"/>
      <c r="D400" s="61" t="str">
        <f t="shared" si="46"/>
        <v/>
      </c>
      <c r="E400" s="61" t="str">
        <f>IFERROR(IF(B400-B399&lt;=0,"",D400/SQRT(Таблица_pr[[#This Row],[Удельное сопротивление грунта, Ом·м]])),D400/SQRT(Таблица_pr[[#This Row],[Удельное сопротивление грунта, Ом·м]]))</f>
        <v/>
      </c>
      <c r="G400" s="188"/>
      <c r="H400" s="184"/>
      <c r="I400" s="182"/>
      <c r="J400" s="181" t="str">
        <f t="shared" si="47"/>
        <v/>
      </c>
      <c r="K400" s="61" t="str">
        <f>IFERROR(IF(H400-H399&lt;=0,"",J400/SQRT(Таблица_pr1[[#This Row],[Удельное сопротивление грунта, Ом·м]])),J400/SQRT(Таблица_pr1[[#This Row],[Удельное сопротивление грунта, Ом·м]]))</f>
        <v/>
      </c>
      <c r="M400" s="53"/>
      <c r="N400" s="52"/>
      <c r="O400" s="50"/>
      <c r="P400" s="61" t="str">
        <f t="shared" si="48"/>
        <v/>
      </c>
      <c r="Q400" s="61" t="str">
        <f>IFERROR(IF(N400-N399&lt;=0,"",P400/SQRT(Таблица_pr2[[#This Row],[Удельное сопротивление грунта, Ом·м]])),P400/SQRT(Таблица_pr2[[#This Row],[Удельное сопротивление грунта, Ом·м]]))</f>
        <v/>
      </c>
      <c r="S400" s="53"/>
      <c r="T400" s="52"/>
      <c r="U400" s="50"/>
      <c r="V400" s="61" t="str">
        <f t="shared" si="42"/>
        <v/>
      </c>
      <c r="W400" s="61" t="str">
        <f>IFERROR(IF(T400-T399&lt;=0,"",V400/SQRT(Таблица_pr3[[#This Row],[Удельное сопротивление грунта, Ом·м]])),V400/SQRT(Таблица_pr3[[#This Row],[Удельное сопротивление грунта, Ом·м]]))</f>
        <v/>
      </c>
      <c r="Y400" s="53"/>
      <c r="Z400" s="52"/>
      <c r="AA400" s="50"/>
      <c r="AB400" s="61" t="str">
        <f t="shared" si="49"/>
        <v/>
      </c>
      <c r="AC400" s="61" t="str">
        <f>IFERROR(IF(Z400-Z399&lt;=0,"",AB400/SQRT(Таблица_pr4[[#This Row],[Удельное сопротивление грунта, Ом·м]])),AB400/SQRT(Таблица_pr4[[#This Row],[Удельное сопротивление грунта, Ом·м]]))</f>
        <v/>
      </c>
      <c r="AE400" s="53"/>
      <c r="AF400" s="52"/>
      <c r="AG400" s="50"/>
      <c r="AH400" s="61" t="str">
        <f t="shared" si="43"/>
        <v/>
      </c>
      <c r="AI400" s="61" t="str">
        <f>IFERROR(IF(AF400-AF399&lt;=0,"",AH400/SQRT(Таблица_pr5[[#This Row],[Удельное сопротивление грунта, Ом·м]])),AH400/SQRT(Таблица_pr5[[#This Row],[Удельное сопротивление грунта, Ом·м]]))</f>
        <v/>
      </c>
      <c r="AK400" s="53"/>
      <c r="AL400" s="52"/>
      <c r="AM400" s="50"/>
      <c r="AN400" s="61" t="str">
        <f t="shared" si="50"/>
        <v/>
      </c>
      <c r="AO400" s="61" t="str">
        <f>IFERROR(IF(AL400-AL399&lt;=0,"",AN400/SQRT(Таблица_pr6[[#This Row],[Удельное сопротивление грунта, Ом·м]])),AN400/SQRT(Таблица_pr6[[#This Row],[Удельное сопротивление грунта, Ом·м]]))</f>
        <v/>
      </c>
      <c r="AQ400" s="53"/>
      <c r="AR400" s="52"/>
      <c r="AS400" s="50"/>
      <c r="AT400" s="61" t="str">
        <f t="shared" si="44"/>
        <v/>
      </c>
      <c r="AU400" s="61" t="str">
        <f>IFERROR(IF(AR400-AR399&lt;=0,"",AT400/SQRT(Таблица_pr7[[#This Row],[Удельное сопротивление грунта, Ом·м]])),AT400/SQRT(Таблица_pr7[[#This Row],[Удельное сопротивление грунта, Ом·м]]))</f>
        <v/>
      </c>
      <c r="AW400" s="53"/>
      <c r="AX400" s="52"/>
      <c r="AY400" s="50"/>
      <c r="AZ400" s="61" t="str">
        <f t="shared" si="51"/>
        <v/>
      </c>
      <c r="BA400" s="61" t="str">
        <f>IFERROR(IF(AX400-AX399&lt;=0,"",AZ400/SQRT(Таблица_pr8[[#This Row],[Удельное сопротивление грунта, Ом·м]])),AZ400/SQRT(Таблица_pr8[[#This Row],[Удельное сопротивление грунта, Ом·м]]))</f>
        <v/>
      </c>
      <c r="BC400" s="53"/>
      <c r="BD400" s="52"/>
      <c r="BE400" s="50"/>
      <c r="BF400" s="61" t="str">
        <f t="shared" si="45"/>
        <v/>
      </c>
      <c r="BG400" s="61" t="str">
        <f>IFERROR(IF(BD400-AX419&lt;=0,"",BF400/SQRT(Таблица_pr9[[#This Row],[Удельное сопротивление грунта, Ом·м]])),BF400/SQRT(Таблица_pr9[[#This Row],[Удельное сопротивление грунта, Ом·м]]))</f>
        <v/>
      </c>
      <c r="BI400" s="53"/>
      <c r="BJ400" s="52"/>
      <c r="BK400" s="50"/>
      <c r="BL400" s="61" t="str">
        <f t="shared" si="52"/>
        <v/>
      </c>
      <c r="BM400" s="61" t="str">
        <f>IFERROR(IF(BJ400-BD429&lt;=0,"",BL400/SQRT(Таблица_pr10[[#This Row],[Удельное сопротивление грунта, Ом·м]])),BL400/SQRT(Таблица_pr10[[#This Row],[Удельное сопротивление грунта, Ом·м]]))</f>
        <v/>
      </c>
    </row>
    <row r="401" spans="1:65">
      <c r="A401" s="51"/>
      <c r="B401" s="52"/>
      <c r="C401" s="50"/>
      <c r="D401" s="61" t="str">
        <f t="shared" si="46"/>
        <v/>
      </c>
      <c r="E401" s="61" t="str">
        <f>IFERROR(IF(B401-B400&lt;=0,"",D401/SQRT(Таблица_pr[[#This Row],[Удельное сопротивление грунта, Ом·м]])),D401/SQRT(Таблица_pr[[#This Row],[Удельное сопротивление грунта, Ом·м]]))</f>
        <v/>
      </c>
      <c r="G401" s="189"/>
      <c r="H401" s="185"/>
      <c r="I401" s="183"/>
      <c r="J401" s="180" t="str">
        <f t="shared" si="47"/>
        <v/>
      </c>
      <c r="K401" s="61" t="str">
        <f>IFERROR(IF(H401-H400&lt;=0,"",J401/SQRT(Таблица_pr1[[#This Row],[Удельное сопротивление грунта, Ом·м]])),J401/SQRT(Таблица_pr1[[#This Row],[Удельное сопротивление грунта, Ом·м]]))</f>
        <v/>
      </c>
      <c r="M401" s="51"/>
      <c r="N401" s="52"/>
      <c r="O401" s="50"/>
      <c r="P401" s="61" t="str">
        <f t="shared" si="48"/>
        <v/>
      </c>
      <c r="Q401" s="61" t="str">
        <f>IFERROR(IF(N401-N400&lt;=0,"",P401/SQRT(Таблица_pr2[[#This Row],[Удельное сопротивление грунта, Ом·м]])),P401/SQRT(Таблица_pr2[[#This Row],[Удельное сопротивление грунта, Ом·м]]))</f>
        <v/>
      </c>
      <c r="S401" s="51"/>
      <c r="T401" s="52"/>
      <c r="U401" s="50"/>
      <c r="V401" s="61" t="str">
        <f t="shared" si="42"/>
        <v/>
      </c>
      <c r="W401" s="61" t="str">
        <f>IFERROR(IF(T401-T400&lt;=0,"",V401/SQRT(Таблица_pr3[[#This Row],[Удельное сопротивление грунта, Ом·м]])),V401/SQRT(Таблица_pr3[[#This Row],[Удельное сопротивление грунта, Ом·м]]))</f>
        <v/>
      </c>
      <c r="Y401" s="51"/>
      <c r="Z401" s="52"/>
      <c r="AA401" s="50"/>
      <c r="AB401" s="61" t="str">
        <f t="shared" si="49"/>
        <v/>
      </c>
      <c r="AC401" s="61" t="str">
        <f>IFERROR(IF(Z401-Z400&lt;=0,"",AB401/SQRT(Таблица_pr4[[#This Row],[Удельное сопротивление грунта, Ом·м]])),AB401/SQRT(Таблица_pr4[[#This Row],[Удельное сопротивление грунта, Ом·м]]))</f>
        <v/>
      </c>
      <c r="AE401" s="51"/>
      <c r="AF401" s="52"/>
      <c r="AG401" s="50"/>
      <c r="AH401" s="61" t="str">
        <f t="shared" si="43"/>
        <v/>
      </c>
      <c r="AI401" s="61" t="str">
        <f>IFERROR(IF(AF401-AF400&lt;=0,"",AH401/SQRT(Таблица_pr5[[#This Row],[Удельное сопротивление грунта, Ом·м]])),AH401/SQRT(Таблица_pr5[[#This Row],[Удельное сопротивление грунта, Ом·м]]))</f>
        <v/>
      </c>
      <c r="AK401" s="51"/>
      <c r="AL401" s="52"/>
      <c r="AM401" s="50"/>
      <c r="AN401" s="61" t="str">
        <f t="shared" si="50"/>
        <v/>
      </c>
      <c r="AO401" s="61" t="str">
        <f>IFERROR(IF(AL401-AL400&lt;=0,"",AN401/SQRT(Таблица_pr6[[#This Row],[Удельное сопротивление грунта, Ом·м]])),AN401/SQRT(Таблица_pr6[[#This Row],[Удельное сопротивление грунта, Ом·м]]))</f>
        <v/>
      </c>
      <c r="AQ401" s="51"/>
      <c r="AR401" s="52"/>
      <c r="AS401" s="50"/>
      <c r="AT401" s="61" t="str">
        <f t="shared" si="44"/>
        <v/>
      </c>
      <c r="AU401" s="61" t="str">
        <f>IFERROR(IF(AR401-AR400&lt;=0,"",AT401/SQRT(Таблица_pr7[[#This Row],[Удельное сопротивление грунта, Ом·м]])),AT401/SQRT(Таблица_pr7[[#This Row],[Удельное сопротивление грунта, Ом·м]]))</f>
        <v/>
      </c>
      <c r="AW401" s="51"/>
      <c r="AX401" s="52"/>
      <c r="AY401" s="50"/>
      <c r="AZ401" s="61" t="str">
        <f t="shared" si="51"/>
        <v/>
      </c>
      <c r="BA401" s="61" t="str">
        <f>IFERROR(IF(AX401-AX400&lt;=0,"",AZ401/SQRT(Таблица_pr8[[#This Row],[Удельное сопротивление грунта, Ом·м]])),AZ401/SQRT(Таблица_pr8[[#This Row],[Удельное сопротивление грунта, Ом·м]]))</f>
        <v/>
      </c>
      <c r="BC401" s="51"/>
      <c r="BD401" s="52"/>
      <c r="BE401" s="50"/>
      <c r="BF401" s="61" t="str">
        <f t="shared" si="45"/>
        <v/>
      </c>
      <c r="BG401" s="61" t="str">
        <f>IFERROR(IF(BD401-AX420&lt;=0,"",BF401/SQRT(Таблица_pr9[[#This Row],[Удельное сопротивление грунта, Ом·м]])),BF401/SQRT(Таблица_pr9[[#This Row],[Удельное сопротивление грунта, Ом·м]]))</f>
        <v/>
      </c>
      <c r="BI401" s="51"/>
      <c r="BJ401" s="52"/>
      <c r="BK401" s="50"/>
      <c r="BL401" s="61" t="str">
        <f t="shared" si="52"/>
        <v/>
      </c>
      <c r="BM401" s="61" t="str">
        <f>IFERROR(IF(BJ401-BD430&lt;=0,"",BL401/SQRT(Таблица_pr10[[#This Row],[Удельное сопротивление грунта, Ом·м]])),BL401/SQRT(Таблица_pr10[[#This Row],[Удельное сопротивление грунта, Ом·м]]))</f>
        <v/>
      </c>
    </row>
    <row r="402" spans="1:65">
      <c r="A402" s="53"/>
      <c r="B402" s="52"/>
      <c r="C402" s="50"/>
      <c r="D402" s="61" t="str">
        <f t="shared" si="46"/>
        <v/>
      </c>
      <c r="E402" s="61" t="str">
        <f>IFERROR(IF(B402-B401&lt;=0,"",D402/SQRT(Таблица_pr[[#This Row],[Удельное сопротивление грунта, Ом·м]])),D402/SQRT(Таблица_pr[[#This Row],[Удельное сопротивление грунта, Ом·м]]))</f>
        <v/>
      </c>
      <c r="G402" s="188"/>
      <c r="H402" s="184"/>
      <c r="I402" s="182"/>
      <c r="J402" s="181" t="str">
        <f t="shared" si="47"/>
        <v/>
      </c>
      <c r="K402" s="61" t="str">
        <f>IFERROR(IF(H402-H401&lt;=0,"",J402/SQRT(Таблица_pr1[[#This Row],[Удельное сопротивление грунта, Ом·м]])),J402/SQRT(Таблица_pr1[[#This Row],[Удельное сопротивление грунта, Ом·м]]))</f>
        <v/>
      </c>
      <c r="M402" s="53"/>
      <c r="N402" s="52"/>
      <c r="O402" s="50"/>
      <c r="P402" s="61" t="str">
        <f t="shared" si="48"/>
        <v/>
      </c>
      <c r="Q402" s="61" t="str">
        <f>IFERROR(IF(N402-N401&lt;=0,"",P402/SQRT(Таблица_pr2[[#This Row],[Удельное сопротивление грунта, Ом·м]])),P402/SQRT(Таблица_pr2[[#This Row],[Удельное сопротивление грунта, Ом·м]]))</f>
        <v/>
      </c>
      <c r="S402" s="53"/>
      <c r="T402" s="52"/>
      <c r="U402" s="50"/>
      <c r="V402" s="61" t="str">
        <f t="shared" si="42"/>
        <v/>
      </c>
      <c r="W402" s="61" t="str">
        <f>IFERROR(IF(T402-T401&lt;=0,"",V402/SQRT(Таблица_pr3[[#This Row],[Удельное сопротивление грунта, Ом·м]])),V402/SQRT(Таблица_pr3[[#This Row],[Удельное сопротивление грунта, Ом·м]]))</f>
        <v/>
      </c>
      <c r="Y402" s="53"/>
      <c r="Z402" s="52"/>
      <c r="AA402" s="50"/>
      <c r="AB402" s="61" t="str">
        <f t="shared" si="49"/>
        <v/>
      </c>
      <c r="AC402" s="61" t="str">
        <f>IFERROR(IF(Z402-Z401&lt;=0,"",AB402/SQRT(Таблица_pr4[[#This Row],[Удельное сопротивление грунта, Ом·м]])),AB402/SQRT(Таблица_pr4[[#This Row],[Удельное сопротивление грунта, Ом·м]]))</f>
        <v/>
      </c>
      <c r="AE402" s="53"/>
      <c r="AF402" s="52"/>
      <c r="AG402" s="50"/>
      <c r="AH402" s="61" t="str">
        <f t="shared" si="43"/>
        <v/>
      </c>
      <c r="AI402" s="61" t="str">
        <f>IFERROR(IF(AF402-AF401&lt;=0,"",AH402/SQRT(Таблица_pr5[[#This Row],[Удельное сопротивление грунта, Ом·м]])),AH402/SQRT(Таблица_pr5[[#This Row],[Удельное сопротивление грунта, Ом·м]]))</f>
        <v/>
      </c>
      <c r="AK402" s="53"/>
      <c r="AL402" s="52"/>
      <c r="AM402" s="50"/>
      <c r="AN402" s="61" t="str">
        <f t="shared" si="50"/>
        <v/>
      </c>
      <c r="AO402" s="61" t="str">
        <f>IFERROR(IF(AL402-AL401&lt;=0,"",AN402/SQRT(Таблица_pr6[[#This Row],[Удельное сопротивление грунта, Ом·м]])),AN402/SQRT(Таблица_pr6[[#This Row],[Удельное сопротивление грунта, Ом·м]]))</f>
        <v/>
      </c>
      <c r="AQ402" s="53"/>
      <c r="AR402" s="52"/>
      <c r="AS402" s="50"/>
      <c r="AT402" s="61" t="str">
        <f t="shared" si="44"/>
        <v/>
      </c>
      <c r="AU402" s="61" t="str">
        <f>IFERROR(IF(AR402-AR401&lt;=0,"",AT402/SQRT(Таблица_pr7[[#This Row],[Удельное сопротивление грунта, Ом·м]])),AT402/SQRT(Таблица_pr7[[#This Row],[Удельное сопротивление грунта, Ом·м]]))</f>
        <v/>
      </c>
      <c r="AW402" s="53"/>
      <c r="AX402" s="52"/>
      <c r="AY402" s="50"/>
      <c r="AZ402" s="61" t="str">
        <f t="shared" si="51"/>
        <v/>
      </c>
      <c r="BA402" s="61" t="str">
        <f>IFERROR(IF(AX402-AX401&lt;=0,"",AZ402/SQRT(Таблица_pr8[[#This Row],[Удельное сопротивление грунта, Ом·м]])),AZ402/SQRT(Таблица_pr8[[#This Row],[Удельное сопротивление грунта, Ом·м]]))</f>
        <v/>
      </c>
      <c r="BC402" s="53"/>
      <c r="BD402" s="52"/>
      <c r="BE402" s="50"/>
      <c r="BF402" s="61" t="str">
        <f t="shared" si="45"/>
        <v/>
      </c>
      <c r="BG402" s="61" t="str">
        <f>IFERROR(IF(BD402-AX421&lt;=0,"",BF402/SQRT(Таблица_pr9[[#This Row],[Удельное сопротивление грунта, Ом·м]])),BF402/SQRT(Таблица_pr9[[#This Row],[Удельное сопротивление грунта, Ом·м]]))</f>
        <v/>
      </c>
      <c r="BI402" s="53"/>
      <c r="BJ402" s="52"/>
      <c r="BK402" s="50"/>
      <c r="BL402" s="61" t="str">
        <f t="shared" si="52"/>
        <v/>
      </c>
      <c r="BM402" s="61" t="str">
        <f>IFERROR(IF(BJ402-BD431&lt;=0,"",BL402/SQRT(Таблица_pr10[[#This Row],[Удельное сопротивление грунта, Ом·м]])),BL402/SQRT(Таблица_pr10[[#This Row],[Удельное сопротивление грунта, Ом·м]]))</f>
        <v/>
      </c>
    </row>
    <row r="403" spans="1:65">
      <c r="A403" s="51"/>
      <c r="B403" s="52"/>
      <c r="C403" s="50"/>
      <c r="D403" s="61" t="str">
        <f t="shared" si="46"/>
        <v/>
      </c>
      <c r="E403" s="61" t="str">
        <f>IFERROR(IF(B403-B402&lt;=0,"",D403/SQRT(Таблица_pr[[#This Row],[Удельное сопротивление грунта, Ом·м]])),D403/SQRT(Таблица_pr[[#This Row],[Удельное сопротивление грунта, Ом·м]]))</f>
        <v/>
      </c>
      <c r="G403" s="189"/>
      <c r="H403" s="185"/>
      <c r="I403" s="183"/>
      <c r="J403" s="180" t="str">
        <f t="shared" si="47"/>
        <v/>
      </c>
      <c r="K403" s="61" t="str">
        <f>IFERROR(IF(H403-H402&lt;=0,"",J403/SQRT(Таблица_pr1[[#This Row],[Удельное сопротивление грунта, Ом·м]])),J403/SQRT(Таблица_pr1[[#This Row],[Удельное сопротивление грунта, Ом·м]]))</f>
        <v/>
      </c>
      <c r="M403" s="51"/>
      <c r="N403" s="52"/>
      <c r="O403" s="50"/>
      <c r="P403" s="61" t="str">
        <f t="shared" si="48"/>
        <v/>
      </c>
      <c r="Q403" s="61" t="str">
        <f>IFERROR(IF(N403-N402&lt;=0,"",P403/SQRT(Таблица_pr2[[#This Row],[Удельное сопротивление грунта, Ом·м]])),P403/SQRT(Таблица_pr2[[#This Row],[Удельное сопротивление грунта, Ом·м]]))</f>
        <v/>
      </c>
      <c r="S403" s="51"/>
      <c r="T403" s="52"/>
      <c r="U403" s="50"/>
      <c r="V403" s="61" t="str">
        <f t="shared" si="42"/>
        <v/>
      </c>
      <c r="W403" s="61" t="str">
        <f>IFERROR(IF(T403-T402&lt;=0,"",V403/SQRT(Таблица_pr3[[#This Row],[Удельное сопротивление грунта, Ом·м]])),V403/SQRT(Таблица_pr3[[#This Row],[Удельное сопротивление грунта, Ом·м]]))</f>
        <v/>
      </c>
      <c r="Y403" s="51"/>
      <c r="Z403" s="52"/>
      <c r="AA403" s="50"/>
      <c r="AB403" s="61" t="str">
        <f t="shared" si="49"/>
        <v/>
      </c>
      <c r="AC403" s="61" t="str">
        <f>IFERROR(IF(Z403-Z402&lt;=0,"",AB403/SQRT(Таблица_pr4[[#This Row],[Удельное сопротивление грунта, Ом·м]])),AB403/SQRT(Таблица_pr4[[#This Row],[Удельное сопротивление грунта, Ом·м]]))</f>
        <v/>
      </c>
      <c r="AE403" s="51"/>
      <c r="AF403" s="52"/>
      <c r="AG403" s="50"/>
      <c r="AH403" s="61" t="str">
        <f t="shared" si="43"/>
        <v/>
      </c>
      <c r="AI403" s="61" t="str">
        <f>IFERROR(IF(AF403-AF402&lt;=0,"",AH403/SQRT(Таблица_pr5[[#This Row],[Удельное сопротивление грунта, Ом·м]])),AH403/SQRT(Таблица_pr5[[#This Row],[Удельное сопротивление грунта, Ом·м]]))</f>
        <v/>
      </c>
      <c r="AK403" s="51"/>
      <c r="AL403" s="52"/>
      <c r="AM403" s="50"/>
      <c r="AN403" s="61" t="str">
        <f t="shared" si="50"/>
        <v/>
      </c>
      <c r="AO403" s="61" t="str">
        <f>IFERROR(IF(AL403-AL402&lt;=0,"",AN403/SQRT(Таблица_pr6[[#This Row],[Удельное сопротивление грунта, Ом·м]])),AN403/SQRT(Таблица_pr6[[#This Row],[Удельное сопротивление грунта, Ом·м]]))</f>
        <v/>
      </c>
      <c r="AQ403" s="51"/>
      <c r="AR403" s="52"/>
      <c r="AS403" s="50"/>
      <c r="AT403" s="61" t="str">
        <f t="shared" si="44"/>
        <v/>
      </c>
      <c r="AU403" s="61" t="str">
        <f>IFERROR(IF(AR403-AR402&lt;=0,"",AT403/SQRT(Таблица_pr7[[#This Row],[Удельное сопротивление грунта, Ом·м]])),AT403/SQRT(Таблица_pr7[[#This Row],[Удельное сопротивление грунта, Ом·м]]))</f>
        <v/>
      </c>
      <c r="AW403" s="51"/>
      <c r="AX403" s="52"/>
      <c r="AY403" s="50"/>
      <c r="AZ403" s="61" t="str">
        <f t="shared" si="51"/>
        <v/>
      </c>
      <c r="BA403" s="61" t="str">
        <f>IFERROR(IF(AX403-AX402&lt;=0,"",AZ403/SQRT(Таблица_pr8[[#This Row],[Удельное сопротивление грунта, Ом·м]])),AZ403/SQRT(Таблица_pr8[[#This Row],[Удельное сопротивление грунта, Ом·м]]))</f>
        <v/>
      </c>
      <c r="BC403" s="51"/>
      <c r="BD403" s="52"/>
      <c r="BE403" s="50"/>
      <c r="BF403" s="61" t="str">
        <f t="shared" si="45"/>
        <v/>
      </c>
      <c r="BG403" s="61" t="str">
        <f>IFERROR(IF(BD403-AX422&lt;=0,"",BF403/SQRT(Таблица_pr9[[#This Row],[Удельное сопротивление грунта, Ом·м]])),BF403/SQRT(Таблица_pr9[[#This Row],[Удельное сопротивление грунта, Ом·м]]))</f>
        <v/>
      </c>
      <c r="BI403" s="51"/>
      <c r="BJ403" s="52"/>
      <c r="BK403" s="50"/>
      <c r="BL403" s="61" t="str">
        <f t="shared" si="52"/>
        <v/>
      </c>
      <c r="BM403" s="61" t="str">
        <f>IFERROR(IF(BJ403-BD432&lt;=0,"",BL403/SQRT(Таблица_pr10[[#This Row],[Удельное сопротивление грунта, Ом·м]])),BL403/SQRT(Таблица_pr10[[#This Row],[Удельное сопротивление грунта, Ом·м]]))</f>
        <v/>
      </c>
    </row>
    <row r="404" spans="1:65">
      <c r="A404" s="53"/>
      <c r="B404" s="52"/>
      <c r="C404" s="50"/>
      <c r="D404" s="61" t="str">
        <f t="shared" si="46"/>
        <v/>
      </c>
      <c r="E404" s="61" t="str">
        <f>IFERROR(IF(B404-B403&lt;=0,"",D404/SQRT(Таблица_pr[[#This Row],[Удельное сопротивление грунта, Ом·м]])),D404/SQRT(Таблица_pr[[#This Row],[Удельное сопротивление грунта, Ом·м]]))</f>
        <v/>
      </c>
      <c r="G404" s="188"/>
      <c r="H404" s="184"/>
      <c r="I404" s="182"/>
      <c r="J404" s="181" t="str">
        <f t="shared" si="47"/>
        <v/>
      </c>
      <c r="K404" s="61" t="str">
        <f>IFERROR(IF(H404-H403&lt;=0,"",J404/SQRT(Таблица_pr1[[#This Row],[Удельное сопротивление грунта, Ом·м]])),J404/SQRT(Таблица_pr1[[#This Row],[Удельное сопротивление грунта, Ом·м]]))</f>
        <v/>
      </c>
      <c r="M404" s="53"/>
      <c r="N404" s="52"/>
      <c r="O404" s="50"/>
      <c r="P404" s="61" t="str">
        <f t="shared" si="48"/>
        <v/>
      </c>
      <c r="Q404" s="61" t="str">
        <f>IFERROR(IF(N404-N403&lt;=0,"",P404/SQRT(Таблица_pr2[[#This Row],[Удельное сопротивление грунта, Ом·м]])),P404/SQRT(Таблица_pr2[[#This Row],[Удельное сопротивление грунта, Ом·м]]))</f>
        <v/>
      </c>
      <c r="S404" s="53"/>
      <c r="T404" s="52"/>
      <c r="U404" s="50"/>
      <c r="V404" s="61" t="str">
        <f t="shared" si="42"/>
        <v/>
      </c>
      <c r="W404" s="61" t="str">
        <f>IFERROR(IF(T404-T403&lt;=0,"",V404/SQRT(Таблица_pr3[[#This Row],[Удельное сопротивление грунта, Ом·м]])),V404/SQRT(Таблица_pr3[[#This Row],[Удельное сопротивление грунта, Ом·м]]))</f>
        <v/>
      </c>
      <c r="Y404" s="53"/>
      <c r="Z404" s="52"/>
      <c r="AA404" s="50"/>
      <c r="AB404" s="61" t="str">
        <f t="shared" si="49"/>
        <v/>
      </c>
      <c r="AC404" s="61" t="str">
        <f>IFERROR(IF(Z404-Z403&lt;=0,"",AB404/SQRT(Таблица_pr4[[#This Row],[Удельное сопротивление грунта, Ом·м]])),AB404/SQRT(Таблица_pr4[[#This Row],[Удельное сопротивление грунта, Ом·м]]))</f>
        <v/>
      </c>
      <c r="AE404" s="53"/>
      <c r="AF404" s="52"/>
      <c r="AG404" s="50"/>
      <c r="AH404" s="61" t="str">
        <f t="shared" si="43"/>
        <v/>
      </c>
      <c r="AI404" s="61" t="str">
        <f>IFERROR(IF(AF404-AF403&lt;=0,"",AH404/SQRT(Таблица_pr5[[#This Row],[Удельное сопротивление грунта, Ом·м]])),AH404/SQRT(Таблица_pr5[[#This Row],[Удельное сопротивление грунта, Ом·м]]))</f>
        <v/>
      </c>
      <c r="AK404" s="53"/>
      <c r="AL404" s="52"/>
      <c r="AM404" s="50"/>
      <c r="AN404" s="61" t="str">
        <f t="shared" si="50"/>
        <v/>
      </c>
      <c r="AO404" s="61" t="str">
        <f>IFERROR(IF(AL404-AL403&lt;=0,"",AN404/SQRT(Таблица_pr6[[#This Row],[Удельное сопротивление грунта, Ом·м]])),AN404/SQRT(Таблица_pr6[[#This Row],[Удельное сопротивление грунта, Ом·м]]))</f>
        <v/>
      </c>
      <c r="AQ404" s="53"/>
      <c r="AR404" s="52"/>
      <c r="AS404" s="50"/>
      <c r="AT404" s="61" t="str">
        <f t="shared" si="44"/>
        <v/>
      </c>
      <c r="AU404" s="61" t="str">
        <f>IFERROR(IF(AR404-AR403&lt;=0,"",AT404/SQRT(Таблица_pr7[[#This Row],[Удельное сопротивление грунта, Ом·м]])),AT404/SQRT(Таблица_pr7[[#This Row],[Удельное сопротивление грунта, Ом·м]]))</f>
        <v/>
      </c>
      <c r="AW404" s="53"/>
      <c r="AX404" s="52"/>
      <c r="AY404" s="50"/>
      <c r="AZ404" s="61" t="str">
        <f t="shared" si="51"/>
        <v/>
      </c>
      <c r="BA404" s="61" t="str">
        <f>IFERROR(IF(AX404-AX403&lt;=0,"",AZ404/SQRT(Таблица_pr8[[#This Row],[Удельное сопротивление грунта, Ом·м]])),AZ404/SQRT(Таблица_pr8[[#This Row],[Удельное сопротивление грунта, Ом·м]]))</f>
        <v/>
      </c>
      <c r="BC404" s="53"/>
      <c r="BD404" s="52"/>
      <c r="BE404" s="50"/>
      <c r="BF404" s="61" t="str">
        <f t="shared" si="45"/>
        <v/>
      </c>
      <c r="BG404" s="61" t="str">
        <f>IFERROR(IF(BD404-AX423&lt;=0,"",BF404/SQRT(Таблица_pr9[[#This Row],[Удельное сопротивление грунта, Ом·м]])),BF404/SQRT(Таблица_pr9[[#This Row],[Удельное сопротивление грунта, Ом·м]]))</f>
        <v/>
      </c>
      <c r="BI404" s="53"/>
      <c r="BJ404" s="52"/>
      <c r="BK404" s="50"/>
      <c r="BL404" s="61" t="str">
        <f t="shared" si="52"/>
        <v/>
      </c>
      <c r="BM404" s="61" t="str">
        <f>IFERROR(IF(BJ404-BD433&lt;=0,"",BL404/SQRT(Таблица_pr10[[#This Row],[Удельное сопротивление грунта, Ом·м]])),BL404/SQRT(Таблица_pr10[[#This Row],[Удельное сопротивление грунта, Ом·м]]))</f>
        <v/>
      </c>
    </row>
    <row r="405" spans="1:65">
      <c r="A405" s="51"/>
      <c r="B405" s="52"/>
      <c r="C405" s="50"/>
      <c r="D405" s="61" t="str">
        <f t="shared" si="46"/>
        <v/>
      </c>
      <c r="E405" s="61" t="str">
        <f>IFERROR(IF(B405-B404&lt;=0,"",D405/SQRT(Таблица_pr[[#This Row],[Удельное сопротивление грунта, Ом·м]])),D405/SQRT(Таблица_pr[[#This Row],[Удельное сопротивление грунта, Ом·м]]))</f>
        <v/>
      </c>
      <c r="G405" s="189"/>
      <c r="H405" s="185"/>
      <c r="I405" s="183"/>
      <c r="J405" s="180" t="str">
        <f t="shared" si="47"/>
        <v/>
      </c>
      <c r="K405" s="61" t="str">
        <f>IFERROR(IF(H405-H404&lt;=0,"",J405/SQRT(Таблица_pr1[[#This Row],[Удельное сопротивление грунта, Ом·м]])),J405/SQRT(Таблица_pr1[[#This Row],[Удельное сопротивление грунта, Ом·м]]))</f>
        <v/>
      </c>
      <c r="M405" s="51"/>
      <c r="N405" s="52"/>
      <c r="O405" s="50"/>
      <c r="P405" s="61" t="str">
        <f t="shared" si="48"/>
        <v/>
      </c>
      <c r="Q405" s="61" t="str">
        <f>IFERROR(IF(N405-N404&lt;=0,"",P405/SQRT(Таблица_pr2[[#This Row],[Удельное сопротивление грунта, Ом·м]])),P405/SQRT(Таблица_pr2[[#This Row],[Удельное сопротивление грунта, Ом·м]]))</f>
        <v/>
      </c>
      <c r="S405" s="51"/>
      <c r="T405" s="52"/>
      <c r="U405" s="50"/>
      <c r="V405" s="61" t="str">
        <f t="shared" si="42"/>
        <v/>
      </c>
      <c r="W405" s="61" t="str">
        <f>IFERROR(IF(T405-T404&lt;=0,"",V405/SQRT(Таблица_pr3[[#This Row],[Удельное сопротивление грунта, Ом·м]])),V405/SQRT(Таблица_pr3[[#This Row],[Удельное сопротивление грунта, Ом·м]]))</f>
        <v/>
      </c>
      <c r="Y405" s="51"/>
      <c r="Z405" s="52"/>
      <c r="AA405" s="50"/>
      <c r="AB405" s="61" t="str">
        <f t="shared" si="49"/>
        <v/>
      </c>
      <c r="AC405" s="61" t="str">
        <f>IFERROR(IF(Z405-Z404&lt;=0,"",AB405/SQRT(Таблица_pr4[[#This Row],[Удельное сопротивление грунта, Ом·м]])),AB405/SQRT(Таблица_pr4[[#This Row],[Удельное сопротивление грунта, Ом·м]]))</f>
        <v/>
      </c>
      <c r="AE405" s="51"/>
      <c r="AF405" s="52"/>
      <c r="AG405" s="50"/>
      <c r="AH405" s="61" t="str">
        <f t="shared" si="43"/>
        <v/>
      </c>
      <c r="AI405" s="61" t="str">
        <f>IFERROR(IF(AF405-AF404&lt;=0,"",AH405/SQRT(Таблица_pr5[[#This Row],[Удельное сопротивление грунта, Ом·м]])),AH405/SQRT(Таблица_pr5[[#This Row],[Удельное сопротивление грунта, Ом·м]]))</f>
        <v/>
      </c>
      <c r="AK405" s="51"/>
      <c r="AL405" s="52"/>
      <c r="AM405" s="50"/>
      <c r="AN405" s="61" t="str">
        <f t="shared" si="50"/>
        <v/>
      </c>
      <c r="AO405" s="61" t="str">
        <f>IFERROR(IF(AL405-AL404&lt;=0,"",AN405/SQRT(Таблица_pr6[[#This Row],[Удельное сопротивление грунта, Ом·м]])),AN405/SQRT(Таблица_pr6[[#This Row],[Удельное сопротивление грунта, Ом·м]]))</f>
        <v/>
      </c>
      <c r="AQ405" s="51"/>
      <c r="AR405" s="52"/>
      <c r="AS405" s="50"/>
      <c r="AT405" s="61" t="str">
        <f t="shared" si="44"/>
        <v/>
      </c>
      <c r="AU405" s="61" t="str">
        <f>IFERROR(IF(AR405-AR404&lt;=0,"",AT405/SQRT(Таблица_pr7[[#This Row],[Удельное сопротивление грунта, Ом·м]])),AT405/SQRT(Таблица_pr7[[#This Row],[Удельное сопротивление грунта, Ом·м]]))</f>
        <v/>
      </c>
      <c r="AW405" s="51"/>
      <c r="AX405" s="52"/>
      <c r="AY405" s="50"/>
      <c r="AZ405" s="61" t="str">
        <f t="shared" si="51"/>
        <v/>
      </c>
      <c r="BA405" s="61" t="str">
        <f>IFERROR(IF(AX405-AX404&lt;=0,"",AZ405/SQRT(Таблица_pr8[[#This Row],[Удельное сопротивление грунта, Ом·м]])),AZ405/SQRT(Таблица_pr8[[#This Row],[Удельное сопротивление грунта, Ом·м]]))</f>
        <v/>
      </c>
      <c r="BC405" s="51"/>
      <c r="BD405" s="52"/>
      <c r="BE405" s="50"/>
      <c r="BF405" s="61" t="str">
        <f t="shared" si="45"/>
        <v/>
      </c>
      <c r="BG405" s="61" t="str">
        <f>IFERROR(IF(BD405-AX424&lt;=0,"",BF405/SQRT(Таблица_pr9[[#This Row],[Удельное сопротивление грунта, Ом·м]])),BF405/SQRT(Таблица_pr9[[#This Row],[Удельное сопротивление грунта, Ом·м]]))</f>
        <v/>
      </c>
      <c r="BI405" s="51"/>
      <c r="BJ405" s="52"/>
      <c r="BK405" s="50"/>
      <c r="BL405" s="61" t="str">
        <f t="shared" si="52"/>
        <v/>
      </c>
      <c r="BM405" s="61" t="str">
        <f>IFERROR(IF(BJ405-BD434&lt;=0,"",BL405/SQRT(Таблица_pr10[[#This Row],[Удельное сопротивление грунта, Ом·м]])),BL405/SQRT(Таблица_pr10[[#This Row],[Удельное сопротивление грунта, Ом·м]]))</f>
        <v/>
      </c>
    </row>
    <row r="406" spans="1:65">
      <c r="A406" s="53"/>
      <c r="B406" s="52"/>
      <c r="C406" s="50"/>
      <c r="D406" s="61" t="str">
        <f t="shared" si="46"/>
        <v/>
      </c>
      <c r="E406" s="61" t="str">
        <f>IFERROR(IF(B406-B405&lt;=0,"",D406/SQRT(Таблица_pr[[#This Row],[Удельное сопротивление грунта, Ом·м]])),D406/SQRT(Таблица_pr[[#This Row],[Удельное сопротивление грунта, Ом·м]]))</f>
        <v/>
      </c>
      <c r="G406" s="188"/>
      <c r="H406" s="184"/>
      <c r="I406" s="182"/>
      <c r="J406" s="181" t="str">
        <f t="shared" si="47"/>
        <v/>
      </c>
      <c r="K406" s="61" t="str">
        <f>IFERROR(IF(H406-H405&lt;=0,"",J406/SQRT(Таблица_pr1[[#This Row],[Удельное сопротивление грунта, Ом·м]])),J406/SQRT(Таблица_pr1[[#This Row],[Удельное сопротивление грунта, Ом·м]]))</f>
        <v/>
      </c>
      <c r="M406" s="53"/>
      <c r="N406" s="52"/>
      <c r="O406" s="50"/>
      <c r="P406" s="61" t="str">
        <f t="shared" si="48"/>
        <v/>
      </c>
      <c r="Q406" s="61" t="str">
        <f>IFERROR(IF(N406-N405&lt;=0,"",P406/SQRT(Таблица_pr2[[#This Row],[Удельное сопротивление грунта, Ом·м]])),P406/SQRT(Таблица_pr2[[#This Row],[Удельное сопротивление грунта, Ом·м]]))</f>
        <v/>
      </c>
      <c r="S406" s="53"/>
      <c r="T406" s="52"/>
      <c r="U406" s="50"/>
      <c r="V406" s="61" t="str">
        <f t="shared" si="42"/>
        <v/>
      </c>
      <c r="W406" s="61" t="str">
        <f>IFERROR(IF(T406-T405&lt;=0,"",V406/SQRT(Таблица_pr3[[#This Row],[Удельное сопротивление грунта, Ом·м]])),V406/SQRT(Таблица_pr3[[#This Row],[Удельное сопротивление грунта, Ом·м]]))</f>
        <v/>
      </c>
      <c r="Y406" s="53"/>
      <c r="Z406" s="52"/>
      <c r="AA406" s="50"/>
      <c r="AB406" s="61" t="str">
        <f t="shared" si="49"/>
        <v/>
      </c>
      <c r="AC406" s="61" t="str">
        <f>IFERROR(IF(Z406-Z405&lt;=0,"",AB406/SQRT(Таблица_pr4[[#This Row],[Удельное сопротивление грунта, Ом·м]])),AB406/SQRT(Таблица_pr4[[#This Row],[Удельное сопротивление грунта, Ом·м]]))</f>
        <v/>
      </c>
      <c r="AE406" s="53"/>
      <c r="AF406" s="52"/>
      <c r="AG406" s="50"/>
      <c r="AH406" s="61" t="str">
        <f t="shared" si="43"/>
        <v/>
      </c>
      <c r="AI406" s="61" t="str">
        <f>IFERROR(IF(AF406-AF405&lt;=0,"",AH406/SQRT(Таблица_pr5[[#This Row],[Удельное сопротивление грунта, Ом·м]])),AH406/SQRT(Таблица_pr5[[#This Row],[Удельное сопротивление грунта, Ом·м]]))</f>
        <v/>
      </c>
      <c r="AK406" s="53"/>
      <c r="AL406" s="52"/>
      <c r="AM406" s="50"/>
      <c r="AN406" s="61" t="str">
        <f t="shared" si="50"/>
        <v/>
      </c>
      <c r="AO406" s="61" t="str">
        <f>IFERROR(IF(AL406-AL405&lt;=0,"",AN406/SQRT(Таблица_pr6[[#This Row],[Удельное сопротивление грунта, Ом·м]])),AN406/SQRT(Таблица_pr6[[#This Row],[Удельное сопротивление грунта, Ом·м]]))</f>
        <v/>
      </c>
      <c r="AQ406" s="53"/>
      <c r="AR406" s="52"/>
      <c r="AS406" s="50"/>
      <c r="AT406" s="61" t="str">
        <f t="shared" si="44"/>
        <v/>
      </c>
      <c r="AU406" s="61" t="str">
        <f>IFERROR(IF(AR406-AR405&lt;=0,"",AT406/SQRT(Таблица_pr7[[#This Row],[Удельное сопротивление грунта, Ом·м]])),AT406/SQRT(Таблица_pr7[[#This Row],[Удельное сопротивление грунта, Ом·м]]))</f>
        <v/>
      </c>
      <c r="AW406" s="53"/>
      <c r="AX406" s="52"/>
      <c r="AY406" s="50"/>
      <c r="AZ406" s="61" t="str">
        <f t="shared" si="51"/>
        <v/>
      </c>
      <c r="BA406" s="61" t="str">
        <f>IFERROR(IF(AX406-AX405&lt;=0,"",AZ406/SQRT(Таблица_pr8[[#This Row],[Удельное сопротивление грунта, Ом·м]])),AZ406/SQRT(Таблица_pr8[[#This Row],[Удельное сопротивление грунта, Ом·м]]))</f>
        <v/>
      </c>
      <c r="BC406" s="53"/>
      <c r="BD406" s="52"/>
      <c r="BE406" s="50"/>
      <c r="BF406" s="61" t="str">
        <f t="shared" si="45"/>
        <v/>
      </c>
      <c r="BG406" s="61" t="str">
        <f>IFERROR(IF(BD406-AX425&lt;=0,"",BF406/SQRT(Таблица_pr9[[#This Row],[Удельное сопротивление грунта, Ом·м]])),BF406/SQRT(Таблица_pr9[[#This Row],[Удельное сопротивление грунта, Ом·м]]))</f>
        <v/>
      </c>
      <c r="BI406" s="53"/>
      <c r="BJ406" s="52"/>
      <c r="BK406" s="50"/>
      <c r="BL406" s="61" t="str">
        <f t="shared" si="52"/>
        <v/>
      </c>
      <c r="BM406" s="61" t="str">
        <f>IFERROR(IF(BJ406-BD435&lt;=0,"",BL406/SQRT(Таблица_pr10[[#This Row],[Удельное сопротивление грунта, Ом·м]])),BL406/SQRT(Таблица_pr10[[#This Row],[Удельное сопротивление грунта, Ом·м]]))</f>
        <v/>
      </c>
    </row>
    <row r="407" spans="1:65">
      <c r="A407" s="51"/>
      <c r="B407" s="52"/>
      <c r="C407" s="50"/>
      <c r="D407" s="61" t="str">
        <f t="shared" si="46"/>
        <v/>
      </c>
      <c r="E407" s="61" t="str">
        <f>IFERROR(IF(B407-B406&lt;=0,"",D407/SQRT(Таблица_pr[[#This Row],[Удельное сопротивление грунта, Ом·м]])),D407/SQRT(Таблица_pr[[#This Row],[Удельное сопротивление грунта, Ом·м]]))</f>
        <v/>
      </c>
      <c r="G407" s="189"/>
      <c r="H407" s="185"/>
      <c r="I407" s="183"/>
      <c r="J407" s="180" t="str">
        <f t="shared" si="47"/>
        <v/>
      </c>
      <c r="K407" s="61" t="str">
        <f>IFERROR(IF(H407-H406&lt;=0,"",J407/SQRT(Таблица_pr1[[#This Row],[Удельное сопротивление грунта, Ом·м]])),J407/SQRT(Таблица_pr1[[#This Row],[Удельное сопротивление грунта, Ом·м]]))</f>
        <v/>
      </c>
      <c r="M407" s="51"/>
      <c r="N407" s="52"/>
      <c r="O407" s="50"/>
      <c r="P407" s="61" t="str">
        <f t="shared" si="48"/>
        <v/>
      </c>
      <c r="Q407" s="61" t="str">
        <f>IFERROR(IF(N407-N406&lt;=0,"",P407/SQRT(Таблица_pr2[[#This Row],[Удельное сопротивление грунта, Ом·м]])),P407/SQRT(Таблица_pr2[[#This Row],[Удельное сопротивление грунта, Ом·м]]))</f>
        <v/>
      </c>
      <c r="S407" s="51"/>
      <c r="T407" s="52"/>
      <c r="U407" s="50"/>
      <c r="V407" s="61" t="str">
        <f t="shared" si="42"/>
        <v/>
      </c>
      <c r="W407" s="61" t="str">
        <f>IFERROR(IF(T407-T406&lt;=0,"",V407/SQRT(Таблица_pr3[[#This Row],[Удельное сопротивление грунта, Ом·м]])),V407/SQRT(Таблица_pr3[[#This Row],[Удельное сопротивление грунта, Ом·м]]))</f>
        <v/>
      </c>
      <c r="Y407" s="51"/>
      <c r="Z407" s="52"/>
      <c r="AA407" s="50"/>
      <c r="AB407" s="61" t="str">
        <f t="shared" si="49"/>
        <v/>
      </c>
      <c r="AC407" s="61" t="str">
        <f>IFERROR(IF(Z407-Z406&lt;=0,"",AB407/SQRT(Таблица_pr4[[#This Row],[Удельное сопротивление грунта, Ом·м]])),AB407/SQRT(Таблица_pr4[[#This Row],[Удельное сопротивление грунта, Ом·м]]))</f>
        <v/>
      </c>
      <c r="AE407" s="51"/>
      <c r="AF407" s="52"/>
      <c r="AG407" s="50"/>
      <c r="AH407" s="61" t="str">
        <f t="shared" si="43"/>
        <v/>
      </c>
      <c r="AI407" s="61" t="str">
        <f>IFERROR(IF(AF407-AF406&lt;=0,"",AH407/SQRT(Таблица_pr5[[#This Row],[Удельное сопротивление грунта, Ом·м]])),AH407/SQRT(Таблица_pr5[[#This Row],[Удельное сопротивление грунта, Ом·м]]))</f>
        <v/>
      </c>
      <c r="AK407" s="51"/>
      <c r="AL407" s="52"/>
      <c r="AM407" s="50"/>
      <c r="AN407" s="61" t="str">
        <f t="shared" si="50"/>
        <v/>
      </c>
      <c r="AO407" s="61" t="str">
        <f>IFERROR(IF(AL407-AL406&lt;=0,"",AN407/SQRT(Таблица_pr6[[#This Row],[Удельное сопротивление грунта, Ом·м]])),AN407/SQRT(Таблица_pr6[[#This Row],[Удельное сопротивление грунта, Ом·м]]))</f>
        <v/>
      </c>
      <c r="AQ407" s="51"/>
      <c r="AR407" s="52"/>
      <c r="AS407" s="50"/>
      <c r="AT407" s="61" t="str">
        <f t="shared" si="44"/>
        <v/>
      </c>
      <c r="AU407" s="61" t="str">
        <f>IFERROR(IF(AR407-AR406&lt;=0,"",AT407/SQRT(Таблица_pr7[[#This Row],[Удельное сопротивление грунта, Ом·м]])),AT407/SQRT(Таблица_pr7[[#This Row],[Удельное сопротивление грунта, Ом·м]]))</f>
        <v/>
      </c>
      <c r="AW407" s="51"/>
      <c r="AX407" s="52"/>
      <c r="AY407" s="50"/>
      <c r="AZ407" s="61" t="str">
        <f t="shared" si="51"/>
        <v/>
      </c>
      <c r="BA407" s="61" t="str">
        <f>IFERROR(IF(AX407-AX406&lt;=0,"",AZ407/SQRT(Таблица_pr8[[#This Row],[Удельное сопротивление грунта, Ом·м]])),AZ407/SQRT(Таблица_pr8[[#This Row],[Удельное сопротивление грунта, Ом·м]]))</f>
        <v/>
      </c>
      <c r="BC407" s="51"/>
      <c r="BD407" s="52"/>
      <c r="BE407" s="50"/>
      <c r="BF407" s="61" t="str">
        <f t="shared" si="45"/>
        <v/>
      </c>
      <c r="BG407" s="61" t="str">
        <f>IFERROR(IF(BD407-AX426&lt;=0,"",BF407/SQRT(Таблица_pr9[[#This Row],[Удельное сопротивление грунта, Ом·м]])),BF407/SQRT(Таблица_pr9[[#This Row],[Удельное сопротивление грунта, Ом·м]]))</f>
        <v/>
      </c>
      <c r="BI407" s="51"/>
      <c r="BJ407" s="52"/>
      <c r="BK407" s="50"/>
      <c r="BL407" s="61" t="str">
        <f t="shared" si="52"/>
        <v/>
      </c>
      <c r="BM407" s="61" t="str">
        <f>IFERROR(IF(BJ407-BD436&lt;=0,"",BL407/SQRT(Таблица_pr10[[#This Row],[Удельное сопротивление грунта, Ом·м]])),BL407/SQRT(Таблица_pr10[[#This Row],[Удельное сопротивление грунта, Ом·м]]))</f>
        <v/>
      </c>
    </row>
    <row r="408" spans="1:65">
      <c r="A408" s="53"/>
      <c r="B408" s="52"/>
      <c r="C408" s="50"/>
      <c r="D408" s="61" t="str">
        <f t="shared" si="46"/>
        <v/>
      </c>
      <c r="E408" s="61" t="str">
        <f>IFERROR(IF(B408-B407&lt;=0,"",D408/SQRT(Таблица_pr[[#This Row],[Удельное сопротивление грунта, Ом·м]])),D408/SQRT(Таблица_pr[[#This Row],[Удельное сопротивление грунта, Ом·м]]))</f>
        <v/>
      </c>
      <c r="G408" s="188"/>
      <c r="H408" s="184"/>
      <c r="I408" s="182"/>
      <c r="J408" s="181" t="str">
        <f t="shared" si="47"/>
        <v/>
      </c>
      <c r="K408" s="61" t="str">
        <f>IFERROR(IF(H408-H407&lt;=0,"",J408/SQRT(Таблица_pr1[[#This Row],[Удельное сопротивление грунта, Ом·м]])),J408/SQRT(Таблица_pr1[[#This Row],[Удельное сопротивление грунта, Ом·м]]))</f>
        <v/>
      </c>
      <c r="M408" s="53"/>
      <c r="N408" s="52"/>
      <c r="O408" s="50"/>
      <c r="P408" s="61" t="str">
        <f t="shared" si="48"/>
        <v/>
      </c>
      <c r="Q408" s="61" t="str">
        <f>IFERROR(IF(N408-N407&lt;=0,"",P408/SQRT(Таблица_pr2[[#This Row],[Удельное сопротивление грунта, Ом·м]])),P408/SQRT(Таблица_pr2[[#This Row],[Удельное сопротивление грунта, Ом·м]]))</f>
        <v/>
      </c>
      <c r="S408" s="53"/>
      <c r="T408" s="52"/>
      <c r="U408" s="50"/>
      <c r="V408" s="61" t="str">
        <f t="shared" si="42"/>
        <v/>
      </c>
      <c r="W408" s="61" t="str">
        <f>IFERROR(IF(T408-T407&lt;=0,"",V408/SQRT(Таблица_pr3[[#This Row],[Удельное сопротивление грунта, Ом·м]])),V408/SQRT(Таблица_pr3[[#This Row],[Удельное сопротивление грунта, Ом·м]]))</f>
        <v/>
      </c>
      <c r="Y408" s="53"/>
      <c r="Z408" s="52"/>
      <c r="AA408" s="50"/>
      <c r="AB408" s="61" t="str">
        <f t="shared" si="49"/>
        <v/>
      </c>
      <c r="AC408" s="61" t="str">
        <f>IFERROR(IF(Z408-Z407&lt;=0,"",AB408/SQRT(Таблица_pr4[[#This Row],[Удельное сопротивление грунта, Ом·м]])),AB408/SQRT(Таблица_pr4[[#This Row],[Удельное сопротивление грунта, Ом·м]]))</f>
        <v/>
      </c>
      <c r="AE408" s="53"/>
      <c r="AF408" s="52"/>
      <c r="AG408" s="50"/>
      <c r="AH408" s="61" t="str">
        <f t="shared" si="43"/>
        <v/>
      </c>
      <c r="AI408" s="61" t="str">
        <f>IFERROR(IF(AF408-AF407&lt;=0,"",AH408/SQRT(Таблица_pr5[[#This Row],[Удельное сопротивление грунта, Ом·м]])),AH408/SQRT(Таблица_pr5[[#This Row],[Удельное сопротивление грунта, Ом·м]]))</f>
        <v/>
      </c>
      <c r="AK408" s="53"/>
      <c r="AL408" s="52"/>
      <c r="AM408" s="50"/>
      <c r="AN408" s="61" t="str">
        <f t="shared" si="50"/>
        <v/>
      </c>
      <c r="AO408" s="61" t="str">
        <f>IFERROR(IF(AL408-AL407&lt;=0,"",AN408/SQRT(Таблица_pr6[[#This Row],[Удельное сопротивление грунта, Ом·м]])),AN408/SQRT(Таблица_pr6[[#This Row],[Удельное сопротивление грунта, Ом·м]]))</f>
        <v/>
      </c>
      <c r="AQ408" s="53"/>
      <c r="AR408" s="52"/>
      <c r="AS408" s="50"/>
      <c r="AT408" s="61" t="str">
        <f t="shared" si="44"/>
        <v/>
      </c>
      <c r="AU408" s="61" t="str">
        <f>IFERROR(IF(AR408-AR407&lt;=0,"",AT408/SQRT(Таблица_pr7[[#This Row],[Удельное сопротивление грунта, Ом·м]])),AT408/SQRT(Таблица_pr7[[#This Row],[Удельное сопротивление грунта, Ом·м]]))</f>
        <v/>
      </c>
      <c r="AW408" s="53"/>
      <c r="AX408" s="52"/>
      <c r="AY408" s="50"/>
      <c r="AZ408" s="61" t="str">
        <f t="shared" si="51"/>
        <v/>
      </c>
      <c r="BA408" s="61" t="str">
        <f>IFERROR(IF(AX408-AX407&lt;=0,"",AZ408/SQRT(Таблица_pr8[[#This Row],[Удельное сопротивление грунта, Ом·м]])),AZ408/SQRT(Таблица_pr8[[#This Row],[Удельное сопротивление грунта, Ом·м]]))</f>
        <v/>
      </c>
      <c r="BC408" s="53"/>
      <c r="BD408" s="52"/>
      <c r="BE408" s="50"/>
      <c r="BF408" s="61" t="str">
        <f t="shared" si="45"/>
        <v/>
      </c>
      <c r="BG408" s="61" t="str">
        <f>IFERROR(IF(BD408-AX427&lt;=0,"",BF408/SQRT(Таблица_pr9[[#This Row],[Удельное сопротивление грунта, Ом·м]])),BF408/SQRT(Таблица_pr9[[#This Row],[Удельное сопротивление грунта, Ом·м]]))</f>
        <v/>
      </c>
      <c r="BI408" s="53"/>
      <c r="BJ408" s="52"/>
      <c r="BK408" s="50"/>
      <c r="BL408" s="61" t="str">
        <f t="shared" si="52"/>
        <v/>
      </c>
      <c r="BM408" s="61" t="str">
        <f>IFERROR(IF(BJ408-BD437&lt;=0,"",BL408/SQRT(Таблица_pr10[[#This Row],[Удельное сопротивление грунта, Ом·м]])),BL408/SQRT(Таблица_pr10[[#This Row],[Удельное сопротивление грунта, Ом·м]]))</f>
        <v/>
      </c>
    </row>
    <row r="409" spans="1:65">
      <c r="A409" s="51"/>
      <c r="B409" s="52"/>
      <c r="C409" s="50"/>
      <c r="D409" s="61" t="str">
        <f t="shared" si="46"/>
        <v/>
      </c>
      <c r="E409" s="61" t="str">
        <f>IFERROR(IF(B409-B408&lt;=0,"",D409/SQRT(Таблица_pr[[#This Row],[Удельное сопротивление грунта, Ом·м]])),D409/SQRT(Таблица_pr[[#This Row],[Удельное сопротивление грунта, Ом·м]]))</f>
        <v/>
      </c>
      <c r="G409" s="189"/>
      <c r="H409" s="185"/>
      <c r="I409" s="183"/>
      <c r="J409" s="180" t="str">
        <f t="shared" si="47"/>
        <v/>
      </c>
      <c r="K409" s="61" t="str">
        <f>IFERROR(IF(H409-H408&lt;=0,"",J409/SQRT(Таблица_pr1[[#This Row],[Удельное сопротивление грунта, Ом·м]])),J409/SQRT(Таблица_pr1[[#This Row],[Удельное сопротивление грунта, Ом·м]]))</f>
        <v/>
      </c>
      <c r="M409" s="51"/>
      <c r="N409" s="52"/>
      <c r="O409" s="50"/>
      <c r="P409" s="61" t="str">
        <f t="shared" si="48"/>
        <v/>
      </c>
      <c r="Q409" s="61" t="str">
        <f>IFERROR(IF(N409-N408&lt;=0,"",P409/SQRT(Таблица_pr2[[#This Row],[Удельное сопротивление грунта, Ом·м]])),P409/SQRT(Таблица_pr2[[#This Row],[Удельное сопротивление грунта, Ом·м]]))</f>
        <v/>
      </c>
      <c r="S409" s="51"/>
      <c r="T409" s="52"/>
      <c r="U409" s="50"/>
      <c r="V409" s="61" t="str">
        <f t="shared" si="42"/>
        <v/>
      </c>
      <c r="W409" s="61" t="str">
        <f>IFERROR(IF(T409-T408&lt;=0,"",V409/SQRT(Таблица_pr3[[#This Row],[Удельное сопротивление грунта, Ом·м]])),V409/SQRT(Таблица_pr3[[#This Row],[Удельное сопротивление грунта, Ом·м]]))</f>
        <v/>
      </c>
      <c r="Y409" s="51"/>
      <c r="Z409" s="52"/>
      <c r="AA409" s="50"/>
      <c r="AB409" s="61" t="str">
        <f t="shared" si="49"/>
        <v/>
      </c>
      <c r="AC409" s="61" t="str">
        <f>IFERROR(IF(Z409-Z408&lt;=0,"",AB409/SQRT(Таблица_pr4[[#This Row],[Удельное сопротивление грунта, Ом·м]])),AB409/SQRT(Таблица_pr4[[#This Row],[Удельное сопротивление грунта, Ом·м]]))</f>
        <v/>
      </c>
      <c r="AE409" s="51"/>
      <c r="AF409" s="52"/>
      <c r="AG409" s="50"/>
      <c r="AH409" s="61" t="str">
        <f t="shared" si="43"/>
        <v/>
      </c>
      <c r="AI409" s="61" t="str">
        <f>IFERROR(IF(AF409-AF408&lt;=0,"",AH409/SQRT(Таблица_pr5[[#This Row],[Удельное сопротивление грунта, Ом·м]])),AH409/SQRT(Таблица_pr5[[#This Row],[Удельное сопротивление грунта, Ом·м]]))</f>
        <v/>
      </c>
      <c r="AK409" s="51"/>
      <c r="AL409" s="52"/>
      <c r="AM409" s="50"/>
      <c r="AN409" s="61" t="str">
        <f t="shared" si="50"/>
        <v/>
      </c>
      <c r="AO409" s="61" t="str">
        <f>IFERROR(IF(AL409-AL408&lt;=0,"",AN409/SQRT(Таблица_pr6[[#This Row],[Удельное сопротивление грунта, Ом·м]])),AN409/SQRT(Таблица_pr6[[#This Row],[Удельное сопротивление грунта, Ом·м]]))</f>
        <v/>
      </c>
      <c r="AQ409" s="51"/>
      <c r="AR409" s="52"/>
      <c r="AS409" s="50"/>
      <c r="AT409" s="61" t="str">
        <f t="shared" si="44"/>
        <v/>
      </c>
      <c r="AU409" s="61" t="str">
        <f>IFERROR(IF(AR409-AR408&lt;=0,"",AT409/SQRT(Таблица_pr7[[#This Row],[Удельное сопротивление грунта, Ом·м]])),AT409/SQRT(Таблица_pr7[[#This Row],[Удельное сопротивление грунта, Ом·м]]))</f>
        <v/>
      </c>
      <c r="AW409" s="51"/>
      <c r="AX409" s="52"/>
      <c r="AY409" s="50"/>
      <c r="AZ409" s="61" t="str">
        <f t="shared" si="51"/>
        <v/>
      </c>
      <c r="BA409" s="61" t="str">
        <f>IFERROR(IF(AX409-AX408&lt;=0,"",AZ409/SQRT(Таблица_pr8[[#This Row],[Удельное сопротивление грунта, Ом·м]])),AZ409/SQRT(Таблица_pr8[[#This Row],[Удельное сопротивление грунта, Ом·м]]))</f>
        <v/>
      </c>
      <c r="BC409" s="51"/>
      <c r="BD409" s="52"/>
      <c r="BE409" s="50"/>
      <c r="BF409" s="61" t="str">
        <f t="shared" si="45"/>
        <v/>
      </c>
      <c r="BG409" s="61" t="str">
        <f>IFERROR(IF(BD409-AX428&lt;=0,"",BF409/SQRT(Таблица_pr9[[#This Row],[Удельное сопротивление грунта, Ом·м]])),BF409/SQRT(Таблица_pr9[[#This Row],[Удельное сопротивление грунта, Ом·м]]))</f>
        <v/>
      </c>
      <c r="BI409" s="51"/>
      <c r="BJ409" s="52"/>
      <c r="BK409" s="50"/>
      <c r="BL409" s="61" t="str">
        <f t="shared" si="52"/>
        <v/>
      </c>
      <c r="BM409" s="61" t="str">
        <f>IFERROR(IF(BJ409-BD438&lt;=0,"",BL409/SQRT(Таблица_pr10[[#This Row],[Удельное сопротивление грунта, Ом·м]])),BL409/SQRT(Таблица_pr10[[#This Row],[Удельное сопротивление грунта, Ом·м]]))</f>
        <v/>
      </c>
    </row>
    <row r="410" spans="1:65">
      <c r="A410" s="53"/>
      <c r="B410" s="52"/>
      <c r="C410" s="50"/>
      <c r="D410" s="61" t="str">
        <f t="shared" si="46"/>
        <v/>
      </c>
      <c r="E410" s="61" t="str">
        <f>IFERROR(IF(B410-B409&lt;=0,"",D410/SQRT(Таблица_pr[[#This Row],[Удельное сопротивление грунта, Ом·м]])),D410/SQRT(Таблица_pr[[#This Row],[Удельное сопротивление грунта, Ом·м]]))</f>
        <v/>
      </c>
      <c r="G410" s="188"/>
      <c r="H410" s="184"/>
      <c r="I410" s="182"/>
      <c r="J410" s="181" t="str">
        <f t="shared" si="47"/>
        <v/>
      </c>
      <c r="K410" s="61" t="str">
        <f>IFERROR(IF(H410-H409&lt;=0,"",J410/SQRT(Таблица_pr1[[#This Row],[Удельное сопротивление грунта, Ом·м]])),J410/SQRT(Таблица_pr1[[#This Row],[Удельное сопротивление грунта, Ом·м]]))</f>
        <v/>
      </c>
      <c r="M410" s="53"/>
      <c r="N410" s="52"/>
      <c r="O410" s="50"/>
      <c r="P410" s="61" t="str">
        <f t="shared" si="48"/>
        <v/>
      </c>
      <c r="Q410" s="61" t="str">
        <f>IFERROR(IF(N410-N409&lt;=0,"",P410/SQRT(Таблица_pr2[[#This Row],[Удельное сопротивление грунта, Ом·м]])),P410/SQRT(Таблица_pr2[[#This Row],[Удельное сопротивление грунта, Ом·м]]))</f>
        <v/>
      </c>
      <c r="S410" s="53"/>
      <c r="T410" s="52"/>
      <c r="U410" s="50"/>
      <c r="V410" s="61" t="str">
        <f t="shared" si="42"/>
        <v/>
      </c>
      <c r="W410" s="61" t="str">
        <f>IFERROR(IF(T410-T409&lt;=0,"",V410/SQRT(Таблица_pr3[[#This Row],[Удельное сопротивление грунта, Ом·м]])),V410/SQRT(Таблица_pr3[[#This Row],[Удельное сопротивление грунта, Ом·м]]))</f>
        <v/>
      </c>
      <c r="Y410" s="53"/>
      <c r="Z410" s="52"/>
      <c r="AA410" s="50"/>
      <c r="AB410" s="61" t="str">
        <f t="shared" si="49"/>
        <v/>
      </c>
      <c r="AC410" s="61" t="str">
        <f>IFERROR(IF(Z410-Z409&lt;=0,"",AB410/SQRT(Таблица_pr4[[#This Row],[Удельное сопротивление грунта, Ом·м]])),AB410/SQRT(Таблица_pr4[[#This Row],[Удельное сопротивление грунта, Ом·м]]))</f>
        <v/>
      </c>
      <c r="AE410" s="53"/>
      <c r="AF410" s="52"/>
      <c r="AG410" s="50"/>
      <c r="AH410" s="61" t="str">
        <f t="shared" si="43"/>
        <v/>
      </c>
      <c r="AI410" s="61" t="str">
        <f>IFERROR(IF(AF410-AF409&lt;=0,"",AH410/SQRT(Таблица_pr5[[#This Row],[Удельное сопротивление грунта, Ом·м]])),AH410/SQRT(Таблица_pr5[[#This Row],[Удельное сопротивление грунта, Ом·м]]))</f>
        <v/>
      </c>
      <c r="AK410" s="53"/>
      <c r="AL410" s="52"/>
      <c r="AM410" s="50"/>
      <c r="AN410" s="61" t="str">
        <f t="shared" si="50"/>
        <v/>
      </c>
      <c r="AO410" s="61" t="str">
        <f>IFERROR(IF(AL410-AL409&lt;=0,"",AN410/SQRT(Таблица_pr6[[#This Row],[Удельное сопротивление грунта, Ом·м]])),AN410/SQRT(Таблица_pr6[[#This Row],[Удельное сопротивление грунта, Ом·м]]))</f>
        <v/>
      </c>
      <c r="AQ410" s="53"/>
      <c r="AR410" s="52"/>
      <c r="AS410" s="50"/>
      <c r="AT410" s="61" t="str">
        <f t="shared" si="44"/>
        <v/>
      </c>
      <c r="AU410" s="61" t="str">
        <f>IFERROR(IF(AR410-AR409&lt;=0,"",AT410/SQRT(Таблица_pr7[[#This Row],[Удельное сопротивление грунта, Ом·м]])),AT410/SQRT(Таблица_pr7[[#This Row],[Удельное сопротивление грунта, Ом·м]]))</f>
        <v/>
      </c>
      <c r="AW410" s="53"/>
      <c r="AX410" s="52"/>
      <c r="AY410" s="50"/>
      <c r="AZ410" s="61" t="str">
        <f t="shared" si="51"/>
        <v/>
      </c>
      <c r="BA410" s="61" t="str">
        <f>IFERROR(IF(AX410-AX409&lt;=0,"",AZ410/SQRT(Таблица_pr8[[#This Row],[Удельное сопротивление грунта, Ом·м]])),AZ410/SQRT(Таблица_pr8[[#This Row],[Удельное сопротивление грунта, Ом·м]]))</f>
        <v/>
      </c>
      <c r="BC410" s="53"/>
      <c r="BD410" s="52"/>
      <c r="BE410" s="50"/>
      <c r="BF410" s="61" t="str">
        <f t="shared" si="45"/>
        <v/>
      </c>
      <c r="BG410" s="61" t="str">
        <f>IFERROR(IF(BD410-AX429&lt;=0,"",BF410/SQRT(Таблица_pr9[[#This Row],[Удельное сопротивление грунта, Ом·м]])),BF410/SQRT(Таблица_pr9[[#This Row],[Удельное сопротивление грунта, Ом·м]]))</f>
        <v/>
      </c>
      <c r="BI410" s="53"/>
      <c r="BJ410" s="52"/>
      <c r="BK410" s="50"/>
      <c r="BL410" s="61" t="str">
        <f t="shared" si="52"/>
        <v/>
      </c>
      <c r="BM410" s="61" t="str">
        <f>IFERROR(IF(BJ410-BD439&lt;=0,"",BL410/SQRT(Таблица_pr10[[#This Row],[Удельное сопротивление грунта, Ом·м]])),BL410/SQRT(Таблица_pr10[[#This Row],[Удельное сопротивление грунта, Ом·м]]))</f>
        <v/>
      </c>
    </row>
    <row r="411" spans="1:65">
      <c r="A411" s="51"/>
      <c r="B411" s="52"/>
      <c r="C411" s="50"/>
      <c r="D411" s="61" t="str">
        <f t="shared" si="46"/>
        <v/>
      </c>
      <c r="E411" s="61" t="str">
        <f>IFERROR(IF(B411-B410&lt;=0,"",D411/SQRT(Таблица_pr[[#This Row],[Удельное сопротивление грунта, Ом·м]])),D411/SQRT(Таблица_pr[[#This Row],[Удельное сопротивление грунта, Ом·м]]))</f>
        <v/>
      </c>
      <c r="G411" s="189"/>
      <c r="H411" s="185"/>
      <c r="I411" s="183"/>
      <c r="J411" s="180" t="str">
        <f t="shared" si="47"/>
        <v/>
      </c>
      <c r="K411" s="61" t="str">
        <f>IFERROR(IF(H411-H410&lt;=0,"",J411/SQRT(Таблица_pr1[[#This Row],[Удельное сопротивление грунта, Ом·м]])),J411/SQRT(Таблица_pr1[[#This Row],[Удельное сопротивление грунта, Ом·м]]))</f>
        <v/>
      </c>
      <c r="M411" s="51"/>
      <c r="N411" s="52"/>
      <c r="O411" s="50"/>
      <c r="P411" s="61" t="str">
        <f t="shared" si="48"/>
        <v/>
      </c>
      <c r="Q411" s="61" t="str">
        <f>IFERROR(IF(N411-N410&lt;=0,"",P411/SQRT(Таблица_pr2[[#This Row],[Удельное сопротивление грунта, Ом·м]])),P411/SQRT(Таблица_pr2[[#This Row],[Удельное сопротивление грунта, Ом·м]]))</f>
        <v/>
      </c>
      <c r="S411" s="51"/>
      <c r="T411" s="52"/>
      <c r="U411" s="50"/>
      <c r="V411" s="61" t="str">
        <f t="shared" si="42"/>
        <v/>
      </c>
      <c r="W411" s="61" t="str">
        <f>IFERROR(IF(T411-T410&lt;=0,"",V411/SQRT(Таблица_pr3[[#This Row],[Удельное сопротивление грунта, Ом·м]])),V411/SQRT(Таблица_pr3[[#This Row],[Удельное сопротивление грунта, Ом·м]]))</f>
        <v/>
      </c>
      <c r="Y411" s="51"/>
      <c r="Z411" s="52"/>
      <c r="AA411" s="50"/>
      <c r="AB411" s="61" t="str">
        <f t="shared" si="49"/>
        <v/>
      </c>
      <c r="AC411" s="61" t="str">
        <f>IFERROR(IF(Z411-Z410&lt;=0,"",AB411/SQRT(Таблица_pr4[[#This Row],[Удельное сопротивление грунта, Ом·м]])),AB411/SQRT(Таблица_pr4[[#This Row],[Удельное сопротивление грунта, Ом·м]]))</f>
        <v/>
      </c>
      <c r="AE411" s="51"/>
      <c r="AF411" s="52"/>
      <c r="AG411" s="50"/>
      <c r="AH411" s="61" t="str">
        <f t="shared" si="43"/>
        <v/>
      </c>
      <c r="AI411" s="61" t="str">
        <f>IFERROR(IF(AF411-AF410&lt;=0,"",AH411/SQRT(Таблица_pr5[[#This Row],[Удельное сопротивление грунта, Ом·м]])),AH411/SQRT(Таблица_pr5[[#This Row],[Удельное сопротивление грунта, Ом·м]]))</f>
        <v/>
      </c>
      <c r="AK411" s="51"/>
      <c r="AL411" s="52"/>
      <c r="AM411" s="50"/>
      <c r="AN411" s="61" t="str">
        <f t="shared" si="50"/>
        <v/>
      </c>
      <c r="AO411" s="61" t="str">
        <f>IFERROR(IF(AL411-AL410&lt;=0,"",AN411/SQRT(Таблица_pr6[[#This Row],[Удельное сопротивление грунта, Ом·м]])),AN411/SQRT(Таблица_pr6[[#This Row],[Удельное сопротивление грунта, Ом·м]]))</f>
        <v/>
      </c>
      <c r="AQ411" s="51"/>
      <c r="AR411" s="52"/>
      <c r="AS411" s="50"/>
      <c r="AT411" s="61" t="str">
        <f t="shared" si="44"/>
        <v/>
      </c>
      <c r="AU411" s="61" t="str">
        <f>IFERROR(IF(AR411-AR410&lt;=0,"",AT411/SQRT(Таблица_pr7[[#This Row],[Удельное сопротивление грунта, Ом·м]])),AT411/SQRT(Таблица_pr7[[#This Row],[Удельное сопротивление грунта, Ом·м]]))</f>
        <v/>
      </c>
      <c r="AW411" s="51"/>
      <c r="AX411" s="52"/>
      <c r="AY411" s="50"/>
      <c r="AZ411" s="61" t="str">
        <f t="shared" si="51"/>
        <v/>
      </c>
      <c r="BA411" s="61" t="str">
        <f>IFERROR(IF(AX411-AX410&lt;=0,"",AZ411/SQRT(Таблица_pr8[[#This Row],[Удельное сопротивление грунта, Ом·м]])),AZ411/SQRT(Таблица_pr8[[#This Row],[Удельное сопротивление грунта, Ом·м]]))</f>
        <v/>
      </c>
      <c r="BC411" s="51"/>
      <c r="BD411" s="52"/>
      <c r="BE411" s="50"/>
      <c r="BF411" s="61" t="str">
        <f t="shared" si="45"/>
        <v/>
      </c>
      <c r="BG411" s="61" t="str">
        <f>IFERROR(IF(BD411-AX430&lt;=0,"",BF411/SQRT(Таблица_pr9[[#This Row],[Удельное сопротивление грунта, Ом·м]])),BF411/SQRT(Таблица_pr9[[#This Row],[Удельное сопротивление грунта, Ом·м]]))</f>
        <v/>
      </c>
      <c r="BI411" s="51"/>
      <c r="BJ411" s="52"/>
      <c r="BK411" s="50"/>
      <c r="BL411" s="61" t="str">
        <f t="shared" si="52"/>
        <v/>
      </c>
      <c r="BM411" s="61" t="str">
        <f>IFERROR(IF(BJ411-BD440&lt;=0,"",BL411/SQRT(Таблица_pr10[[#This Row],[Удельное сопротивление грунта, Ом·м]])),BL411/SQRT(Таблица_pr10[[#This Row],[Удельное сопротивление грунта, Ом·м]]))</f>
        <v/>
      </c>
    </row>
    <row r="412" spans="1:65">
      <c r="A412" s="53"/>
      <c r="B412" s="52"/>
      <c r="C412" s="50"/>
      <c r="D412" s="61" t="str">
        <f t="shared" si="46"/>
        <v/>
      </c>
      <c r="E412" s="61" t="str">
        <f>IFERROR(IF(B412-B411&lt;=0,"",D412/SQRT(Таблица_pr[[#This Row],[Удельное сопротивление грунта, Ом·м]])),D412/SQRT(Таблица_pr[[#This Row],[Удельное сопротивление грунта, Ом·м]]))</f>
        <v/>
      </c>
      <c r="G412" s="188"/>
      <c r="H412" s="184"/>
      <c r="I412" s="182"/>
      <c r="J412" s="181" t="str">
        <f t="shared" si="47"/>
        <v/>
      </c>
      <c r="K412" s="61" t="str">
        <f>IFERROR(IF(H412-H411&lt;=0,"",J412/SQRT(Таблица_pr1[[#This Row],[Удельное сопротивление грунта, Ом·м]])),J412/SQRT(Таблица_pr1[[#This Row],[Удельное сопротивление грунта, Ом·м]]))</f>
        <v/>
      </c>
      <c r="M412" s="53"/>
      <c r="N412" s="52"/>
      <c r="O412" s="50"/>
      <c r="P412" s="61" t="str">
        <f t="shared" si="48"/>
        <v/>
      </c>
      <c r="Q412" s="61" t="str">
        <f>IFERROR(IF(N412-N411&lt;=0,"",P412/SQRT(Таблица_pr2[[#This Row],[Удельное сопротивление грунта, Ом·м]])),P412/SQRT(Таблица_pr2[[#This Row],[Удельное сопротивление грунта, Ом·м]]))</f>
        <v/>
      </c>
      <c r="S412" s="53"/>
      <c r="T412" s="52"/>
      <c r="U412" s="50"/>
      <c r="V412" s="61" t="str">
        <f t="shared" si="42"/>
        <v/>
      </c>
      <c r="W412" s="61" t="str">
        <f>IFERROR(IF(T412-T411&lt;=0,"",V412/SQRT(Таблица_pr3[[#This Row],[Удельное сопротивление грунта, Ом·м]])),V412/SQRT(Таблица_pr3[[#This Row],[Удельное сопротивление грунта, Ом·м]]))</f>
        <v/>
      </c>
      <c r="Y412" s="53"/>
      <c r="Z412" s="52"/>
      <c r="AA412" s="50"/>
      <c r="AB412" s="61" t="str">
        <f t="shared" si="49"/>
        <v/>
      </c>
      <c r="AC412" s="61" t="str">
        <f>IFERROR(IF(Z412-Z411&lt;=0,"",AB412/SQRT(Таблица_pr4[[#This Row],[Удельное сопротивление грунта, Ом·м]])),AB412/SQRT(Таблица_pr4[[#This Row],[Удельное сопротивление грунта, Ом·м]]))</f>
        <v/>
      </c>
      <c r="AE412" s="53"/>
      <c r="AF412" s="52"/>
      <c r="AG412" s="50"/>
      <c r="AH412" s="61" t="str">
        <f t="shared" si="43"/>
        <v/>
      </c>
      <c r="AI412" s="61" t="str">
        <f>IFERROR(IF(AF412-AF411&lt;=0,"",AH412/SQRT(Таблица_pr5[[#This Row],[Удельное сопротивление грунта, Ом·м]])),AH412/SQRT(Таблица_pr5[[#This Row],[Удельное сопротивление грунта, Ом·м]]))</f>
        <v/>
      </c>
      <c r="AK412" s="53"/>
      <c r="AL412" s="52"/>
      <c r="AM412" s="50"/>
      <c r="AN412" s="61" t="str">
        <f t="shared" si="50"/>
        <v/>
      </c>
      <c r="AO412" s="61" t="str">
        <f>IFERROR(IF(AL412-AL411&lt;=0,"",AN412/SQRT(Таблица_pr6[[#This Row],[Удельное сопротивление грунта, Ом·м]])),AN412/SQRT(Таблица_pr6[[#This Row],[Удельное сопротивление грунта, Ом·м]]))</f>
        <v/>
      </c>
      <c r="AQ412" s="53"/>
      <c r="AR412" s="52"/>
      <c r="AS412" s="50"/>
      <c r="AT412" s="61" t="str">
        <f t="shared" si="44"/>
        <v/>
      </c>
      <c r="AU412" s="61" t="str">
        <f>IFERROR(IF(AR412-AR411&lt;=0,"",AT412/SQRT(Таблица_pr7[[#This Row],[Удельное сопротивление грунта, Ом·м]])),AT412/SQRT(Таблица_pr7[[#This Row],[Удельное сопротивление грунта, Ом·м]]))</f>
        <v/>
      </c>
      <c r="AW412" s="53"/>
      <c r="AX412" s="52"/>
      <c r="AY412" s="50"/>
      <c r="AZ412" s="61" t="str">
        <f t="shared" si="51"/>
        <v/>
      </c>
      <c r="BA412" s="61" t="str">
        <f>IFERROR(IF(AX412-AX411&lt;=0,"",AZ412/SQRT(Таблица_pr8[[#This Row],[Удельное сопротивление грунта, Ом·м]])),AZ412/SQRT(Таблица_pr8[[#This Row],[Удельное сопротивление грунта, Ом·м]]))</f>
        <v/>
      </c>
      <c r="BC412" s="53"/>
      <c r="BD412" s="52"/>
      <c r="BE412" s="50"/>
      <c r="BF412" s="61" t="str">
        <f t="shared" si="45"/>
        <v/>
      </c>
      <c r="BG412" s="61" t="str">
        <f>IFERROR(IF(BD412-AX431&lt;=0,"",BF412/SQRT(Таблица_pr9[[#This Row],[Удельное сопротивление грунта, Ом·м]])),BF412/SQRT(Таблица_pr9[[#This Row],[Удельное сопротивление грунта, Ом·м]]))</f>
        <v/>
      </c>
      <c r="BI412" s="53"/>
      <c r="BJ412" s="52"/>
      <c r="BK412" s="50"/>
      <c r="BL412" s="61" t="str">
        <f t="shared" si="52"/>
        <v/>
      </c>
      <c r="BM412" s="61" t="str">
        <f>IFERROR(IF(BJ412-BD441&lt;=0,"",BL412/SQRT(Таблица_pr10[[#This Row],[Удельное сопротивление грунта, Ом·м]])),BL412/SQRT(Таблица_pr10[[#This Row],[Удельное сопротивление грунта, Ом·м]]))</f>
        <v/>
      </c>
    </row>
    <row r="413" spans="1:65">
      <c r="A413" s="51"/>
      <c r="B413" s="52"/>
      <c r="C413" s="50"/>
      <c r="D413" s="61" t="str">
        <f t="shared" si="46"/>
        <v/>
      </c>
      <c r="E413" s="61" t="str">
        <f>IFERROR(IF(B413-B412&lt;=0,"",D413/SQRT(Таблица_pr[[#This Row],[Удельное сопротивление грунта, Ом·м]])),D413/SQRT(Таблица_pr[[#This Row],[Удельное сопротивление грунта, Ом·м]]))</f>
        <v/>
      </c>
      <c r="G413" s="189"/>
      <c r="H413" s="185"/>
      <c r="I413" s="183"/>
      <c r="J413" s="180" t="str">
        <f t="shared" si="47"/>
        <v/>
      </c>
      <c r="K413" s="61" t="str">
        <f>IFERROR(IF(H413-H412&lt;=0,"",J413/SQRT(Таблица_pr1[[#This Row],[Удельное сопротивление грунта, Ом·м]])),J413/SQRT(Таблица_pr1[[#This Row],[Удельное сопротивление грунта, Ом·м]]))</f>
        <v/>
      </c>
      <c r="M413" s="51"/>
      <c r="N413" s="52"/>
      <c r="O413" s="50"/>
      <c r="P413" s="61" t="str">
        <f t="shared" si="48"/>
        <v/>
      </c>
      <c r="Q413" s="61" t="str">
        <f>IFERROR(IF(N413-N412&lt;=0,"",P413/SQRT(Таблица_pr2[[#This Row],[Удельное сопротивление грунта, Ом·м]])),P413/SQRT(Таблица_pr2[[#This Row],[Удельное сопротивление грунта, Ом·м]]))</f>
        <v/>
      </c>
      <c r="S413" s="51"/>
      <c r="T413" s="52"/>
      <c r="U413" s="50"/>
      <c r="V413" s="61" t="str">
        <f t="shared" si="42"/>
        <v/>
      </c>
      <c r="W413" s="61" t="str">
        <f>IFERROR(IF(T413-T412&lt;=0,"",V413/SQRT(Таблица_pr3[[#This Row],[Удельное сопротивление грунта, Ом·м]])),V413/SQRT(Таблица_pr3[[#This Row],[Удельное сопротивление грунта, Ом·м]]))</f>
        <v/>
      </c>
      <c r="Y413" s="51"/>
      <c r="Z413" s="52"/>
      <c r="AA413" s="50"/>
      <c r="AB413" s="61" t="str">
        <f t="shared" si="49"/>
        <v/>
      </c>
      <c r="AC413" s="61" t="str">
        <f>IFERROR(IF(Z413-Z412&lt;=0,"",AB413/SQRT(Таблица_pr4[[#This Row],[Удельное сопротивление грунта, Ом·м]])),AB413/SQRT(Таблица_pr4[[#This Row],[Удельное сопротивление грунта, Ом·м]]))</f>
        <v/>
      </c>
      <c r="AE413" s="51"/>
      <c r="AF413" s="52"/>
      <c r="AG413" s="50"/>
      <c r="AH413" s="61" t="str">
        <f t="shared" si="43"/>
        <v/>
      </c>
      <c r="AI413" s="61" t="str">
        <f>IFERROR(IF(AF413-AF412&lt;=0,"",AH413/SQRT(Таблица_pr5[[#This Row],[Удельное сопротивление грунта, Ом·м]])),AH413/SQRT(Таблица_pr5[[#This Row],[Удельное сопротивление грунта, Ом·м]]))</f>
        <v/>
      </c>
      <c r="AK413" s="51"/>
      <c r="AL413" s="52"/>
      <c r="AM413" s="50"/>
      <c r="AN413" s="61" t="str">
        <f t="shared" si="50"/>
        <v/>
      </c>
      <c r="AO413" s="61" t="str">
        <f>IFERROR(IF(AL413-AL412&lt;=0,"",AN413/SQRT(Таблица_pr6[[#This Row],[Удельное сопротивление грунта, Ом·м]])),AN413/SQRT(Таблица_pr6[[#This Row],[Удельное сопротивление грунта, Ом·м]]))</f>
        <v/>
      </c>
      <c r="AQ413" s="51"/>
      <c r="AR413" s="52"/>
      <c r="AS413" s="50"/>
      <c r="AT413" s="61" t="str">
        <f t="shared" si="44"/>
        <v/>
      </c>
      <c r="AU413" s="61" t="str">
        <f>IFERROR(IF(AR413-AR412&lt;=0,"",AT413/SQRT(Таблица_pr7[[#This Row],[Удельное сопротивление грунта, Ом·м]])),AT413/SQRT(Таблица_pr7[[#This Row],[Удельное сопротивление грунта, Ом·м]]))</f>
        <v/>
      </c>
      <c r="AW413" s="51"/>
      <c r="AX413" s="52"/>
      <c r="AY413" s="50"/>
      <c r="AZ413" s="61" t="str">
        <f t="shared" si="51"/>
        <v/>
      </c>
      <c r="BA413" s="61" t="str">
        <f>IFERROR(IF(AX413-AX412&lt;=0,"",AZ413/SQRT(Таблица_pr8[[#This Row],[Удельное сопротивление грунта, Ом·м]])),AZ413/SQRT(Таблица_pr8[[#This Row],[Удельное сопротивление грунта, Ом·м]]))</f>
        <v/>
      </c>
      <c r="BC413" s="51"/>
      <c r="BD413" s="52"/>
      <c r="BE413" s="50"/>
      <c r="BF413" s="61" t="str">
        <f t="shared" si="45"/>
        <v/>
      </c>
      <c r="BG413" s="61" t="str">
        <f>IFERROR(IF(BD413-AX432&lt;=0,"",BF413/SQRT(Таблица_pr9[[#This Row],[Удельное сопротивление грунта, Ом·м]])),BF413/SQRT(Таблица_pr9[[#This Row],[Удельное сопротивление грунта, Ом·м]]))</f>
        <v/>
      </c>
      <c r="BI413" s="51"/>
      <c r="BJ413" s="52"/>
      <c r="BK413" s="50"/>
      <c r="BL413" s="61" t="str">
        <f t="shared" si="52"/>
        <v/>
      </c>
      <c r="BM413" s="61" t="str">
        <f>IFERROR(IF(BJ413-BD442&lt;=0,"",BL413/SQRT(Таблица_pr10[[#This Row],[Удельное сопротивление грунта, Ом·м]])),BL413/SQRT(Таблица_pr10[[#This Row],[Удельное сопротивление грунта, Ом·м]]))</f>
        <v/>
      </c>
    </row>
    <row r="414" spans="1:65">
      <c r="A414" s="53"/>
      <c r="B414" s="52"/>
      <c r="C414" s="50"/>
      <c r="E414" s="61" t="str">
        <f>IFERROR(IF(B414-B413&lt;=0,"",D414/SQRT(Таблица_pr[[#This Row],[Удельное сопротивление грунта, Ом·м]])),D414/SQRT(Таблица_pr[[#This Row],[Удельное сопротивление грунта, Ом·м]]))</f>
        <v/>
      </c>
      <c r="G414" s="188"/>
      <c r="H414" s="184"/>
      <c r="I414" s="182"/>
      <c r="J414" s="181"/>
      <c r="K414" s="61" t="str">
        <f>IFERROR(IF(H414-H413&lt;=0,"",J414/SQRT(Таблица_pr1[[#This Row],[Удельное сопротивление грунта, Ом·м]])),J414/SQRT(Таблица_pr1[[#This Row],[Удельное сопротивление грунта, Ом·м]]))</f>
        <v/>
      </c>
      <c r="M414" s="53"/>
      <c r="N414" s="52"/>
      <c r="O414" s="50"/>
      <c r="P414" s="61" t="str">
        <f t="shared" si="48"/>
        <v/>
      </c>
      <c r="Q414" s="61" t="str">
        <f>IFERROR(IF(N414-N413&lt;=0,"",P414/SQRT(Таблица_pr2[[#This Row],[Удельное сопротивление грунта, Ом·м]])),P414/SQRT(Таблица_pr2[[#This Row],[Удельное сопротивление грунта, Ом·м]]))</f>
        <v/>
      </c>
      <c r="S414" s="53"/>
      <c r="T414" s="52"/>
      <c r="U414" s="50"/>
      <c r="V414" s="61" t="str">
        <f t="shared" si="42"/>
        <v/>
      </c>
      <c r="W414" s="61" t="str">
        <f>IFERROR(IF(T414-T413&lt;=0,"",V414/SQRT(Таблица_pr3[[#This Row],[Удельное сопротивление грунта, Ом·м]])),V414/SQRT(Таблица_pr3[[#This Row],[Удельное сопротивление грунта, Ом·м]]))</f>
        <v/>
      </c>
      <c r="Y414" s="53"/>
      <c r="Z414" s="52"/>
      <c r="AA414" s="50"/>
      <c r="AB414" s="61" t="str">
        <f t="shared" si="49"/>
        <v/>
      </c>
      <c r="AC414" s="61" t="str">
        <f>IFERROR(IF(Z414-Z413&lt;=0,"",AB414/SQRT(Таблица_pr4[[#This Row],[Удельное сопротивление грунта, Ом·м]])),AB414/SQRT(Таблица_pr4[[#This Row],[Удельное сопротивление грунта, Ом·м]]))</f>
        <v/>
      </c>
      <c r="AE414" s="53"/>
      <c r="AF414" s="52"/>
      <c r="AG414" s="50"/>
      <c r="AH414" s="61" t="str">
        <f t="shared" si="43"/>
        <v/>
      </c>
      <c r="AI414" s="61" t="str">
        <f>IFERROR(IF(AF414-AF413&lt;=0,"",AH414/SQRT(Таблица_pr5[[#This Row],[Удельное сопротивление грунта, Ом·м]])),AH414/SQRT(Таблица_pr5[[#This Row],[Удельное сопротивление грунта, Ом·м]]))</f>
        <v/>
      </c>
      <c r="AK414" s="53"/>
      <c r="AL414" s="52"/>
      <c r="AM414" s="50"/>
      <c r="AN414" s="61" t="str">
        <f t="shared" si="50"/>
        <v/>
      </c>
      <c r="AO414" s="61" t="str">
        <f>IFERROR(IF(AL414-AL413&lt;=0,"",AN414/SQRT(Таблица_pr6[[#This Row],[Удельное сопротивление грунта, Ом·м]])),AN414/SQRT(Таблица_pr6[[#This Row],[Удельное сопротивление грунта, Ом·м]]))</f>
        <v/>
      </c>
      <c r="AQ414" s="53"/>
      <c r="AR414" s="52"/>
      <c r="AS414" s="50"/>
      <c r="AT414" s="61" t="str">
        <f t="shared" si="44"/>
        <v/>
      </c>
      <c r="AU414" s="61" t="str">
        <f>IFERROR(IF(AR414-AR413&lt;=0,"",AT414/SQRT(Таблица_pr7[[#This Row],[Удельное сопротивление грунта, Ом·м]])),AT414/SQRT(Таблица_pr7[[#This Row],[Удельное сопротивление грунта, Ом·м]]))</f>
        <v/>
      </c>
      <c r="AW414" s="53"/>
      <c r="AX414" s="52"/>
      <c r="AY414" s="50"/>
      <c r="AZ414" s="61" t="str">
        <f t="shared" si="51"/>
        <v/>
      </c>
      <c r="BA414" s="61" t="str">
        <f>IFERROR(IF(AX414-AX413&lt;=0,"",AZ414/SQRT(Таблица_pr8[[#This Row],[Удельное сопротивление грунта, Ом·м]])),AZ414/SQRT(Таблица_pr8[[#This Row],[Удельное сопротивление грунта, Ом·м]]))</f>
        <v/>
      </c>
      <c r="BC414" s="53"/>
      <c r="BD414" s="52"/>
      <c r="BE414" s="50"/>
      <c r="BF414" s="61" t="str">
        <f t="shared" si="45"/>
        <v/>
      </c>
      <c r="BG414" s="61" t="str">
        <f>IFERROR(IF(BD414-AX433&lt;=0,"",BF414/SQRT(Таблица_pr9[[#This Row],[Удельное сопротивление грунта, Ом·м]])),BF414/SQRT(Таблица_pr9[[#This Row],[Удельное сопротивление грунта, Ом·м]]))</f>
        <v/>
      </c>
      <c r="BI414" s="53"/>
      <c r="BJ414" s="52"/>
      <c r="BK414" s="50"/>
      <c r="BL414" s="61" t="str">
        <f t="shared" si="52"/>
        <v/>
      </c>
      <c r="BM414" s="61" t="str">
        <f>IFERROR(IF(BJ414-BD443&lt;=0,"",BL414/SQRT(Таблица_pr10[[#This Row],[Удельное сопротивление грунта, Ом·м]])),BL414/SQRT(Таблица_pr10[[#This Row],[Удельное сопротивление грунта, Ом·м]]))</f>
        <v/>
      </c>
    </row>
    <row r="415" spans="1:65">
      <c r="A415" s="51"/>
      <c r="B415" s="52"/>
      <c r="C415" s="50"/>
      <c r="E415" s="61" t="str">
        <f>IFERROR(IF(B415-B414&lt;=0,"",D415/SQRT(Таблица_pr[[#This Row],[Удельное сопротивление грунта, Ом·м]])),D415/SQRT(Таблица_pr[[#This Row],[Удельное сопротивление грунта, Ом·м]]))</f>
        <v/>
      </c>
      <c r="G415" s="189"/>
      <c r="H415" s="185"/>
      <c r="I415" s="183"/>
      <c r="J415" s="180"/>
      <c r="K415" s="61" t="str">
        <f>IFERROR(IF(H415-H414&lt;=0,"",J415/SQRT(Таблица_pr1[[#This Row],[Удельное сопротивление грунта, Ом·м]])),J415/SQRT(Таблица_pr1[[#This Row],[Удельное сопротивление грунта, Ом·м]]))</f>
        <v/>
      </c>
      <c r="M415" s="51"/>
      <c r="N415" s="52"/>
      <c r="O415" s="50"/>
      <c r="P415" s="61" t="str">
        <f t="shared" si="48"/>
        <v/>
      </c>
      <c r="Q415" s="61" t="str">
        <f>IFERROR(IF(N415-N414&lt;=0,"",P415/SQRT(Таблица_pr2[[#This Row],[Удельное сопротивление грунта, Ом·м]])),P415/SQRT(Таблица_pr2[[#This Row],[Удельное сопротивление грунта, Ом·м]]))</f>
        <v/>
      </c>
      <c r="S415" s="51"/>
      <c r="T415" s="52"/>
      <c r="U415" s="50"/>
      <c r="V415" s="61" t="str">
        <f t="shared" si="42"/>
        <v/>
      </c>
      <c r="W415" s="61" t="str">
        <f>IFERROR(IF(T415-T414&lt;=0,"",V415/SQRT(Таблица_pr3[[#This Row],[Удельное сопротивление грунта, Ом·м]])),V415/SQRT(Таблица_pr3[[#This Row],[Удельное сопротивление грунта, Ом·м]]))</f>
        <v/>
      </c>
      <c r="Y415" s="51"/>
      <c r="Z415" s="52"/>
      <c r="AA415" s="50"/>
      <c r="AB415" s="61" t="str">
        <f t="shared" si="49"/>
        <v/>
      </c>
      <c r="AC415" s="61" t="str">
        <f>IFERROR(IF(Z415-Z414&lt;=0,"",AB415/SQRT(Таблица_pr4[[#This Row],[Удельное сопротивление грунта, Ом·м]])),AB415/SQRT(Таблица_pr4[[#This Row],[Удельное сопротивление грунта, Ом·м]]))</f>
        <v/>
      </c>
      <c r="AE415" s="51"/>
      <c r="AF415" s="52"/>
      <c r="AG415" s="50"/>
      <c r="AH415" s="61" t="str">
        <f t="shared" si="43"/>
        <v/>
      </c>
      <c r="AI415" s="61" t="str">
        <f>IFERROR(IF(AF415-AF414&lt;=0,"",AH415/SQRT(Таблица_pr5[[#This Row],[Удельное сопротивление грунта, Ом·м]])),AH415/SQRT(Таблица_pr5[[#This Row],[Удельное сопротивление грунта, Ом·м]]))</f>
        <v/>
      </c>
      <c r="AK415" s="51"/>
      <c r="AL415" s="52"/>
      <c r="AM415" s="50"/>
      <c r="AN415" s="61" t="str">
        <f t="shared" si="50"/>
        <v/>
      </c>
      <c r="AO415" s="61" t="str">
        <f>IFERROR(IF(AL415-AL414&lt;=0,"",AN415/SQRT(Таблица_pr6[[#This Row],[Удельное сопротивление грунта, Ом·м]])),AN415/SQRT(Таблица_pr6[[#This Row],[Удельное сопротивление грунта, Ом·м]]))</f>
        <v/>
      </c>
      <c r="AQ415" s="51"/>
      <c r="AR415" s="52"/>
      <c r="AS415" s="50"/>
      <c r="AT415" s="61" t="str">
        <f t="shared" si="44"/>
        <v/>
      </c>
      <c r="AU415" s="61" t="str">
        <f>IFERROR(IF(AR415-AR414&lt;=0,"",AT415/SQRT(Таблица_pr7[[#This Row],[Удельное сопротивление грунта, Ом·м]])),AT415/SQRT(Таблица_pr7[[#This Row],[Удельное сопротивление грунта, Ом·м]]))</f>
        <v/>
      </c>
      <c r="AW415" s="51"/>
      <c r="AX415" s="52"/>
      <c r="AY415" s="50"/>
      <c r="AZ415" s="61" t="str">
        <f t="shared" si="51"/>
        <v/>
      </c>
      <c r="BA415" s="61" t="str">
        <f>IFERROR(IF(AX415-AX414&lt;=0,"",AZ415/SQRT(Таблица_pr8[[#This Row],[Удельное сопротивление грунта, Ом·м]])),AZ415/SQRT(Таблица_pr8[[#This Row],[Удельное сопротивление грунта, Ом·м]]))</f>
        <v/>
      </c>
      <c r="BC415" s="51"/>
      <c r="BD415" s="52"/>
      <c r="BE415" s="50"/>
      <c r="BF415" s="61" t="str">
        <f t="shared" si="45"/>
        <v/>
      </c>
      <c r="BG415" s="61" t="str">
        <f>IFERROR(IF(BD415-AX434&lt;=0,"",BF415/SQRT(Таблица_pr9[[#This Row],[Удельное сопротивление грунта, Ом·м]])),BF415/SQRT(Таблица_pr9[[#This Row],[Удельное сопротивление грунта, Ом·м]]))</f>
        <v/>
      </c>
      <c r="BI415" s="51"/>
      <c r="BJ415" s="52"/>
      <c r="BK415" s="50"/>
      <c r="BL415" s="61" t="str">
        <f t="shared" si="52"/>
        <v/>
      </c>
      <c r="BM415" s="61" t="str">
        <f>IFERROR(IF(BJ415-BD444&lt;=0,"",BL415/SQRT(Таблица_pr10[[#This Row],[Удельное сопротивление грунта, Ом·м]])),BL415/SQRT(Таблица_pr10[[#This Row],[Удельное сопротивление грунта, Ом·м]]))</f>
        <v/>
      </c>
    </row>
    <row r="416" spans="1:65">
      <c r="A416" s="53"/>
      <c r="B416" s="52"/>
      <c r="C416" s="50"/>
      <c r="E416" s="61" t="str">
        <f>IFERROR(IF(B416-B415&lt;=0,"",D416/SQRT(Таблица_pr[[#This Row],[Удельное сопротивление грунта, Ом·м]])),D416/SQRT(Таблица_pr[[#This Row],[Удельное сопротивление грунта, Ом·м]]))</f>
        <v/>
      </c>
      <c r="G416" s="188"/>
      <c r="H416" s="184"/>
      <c r="I416" s="182"/>
      <c r="J416" s="181"/>
      <c r="K416" s="61" t="str">
        <f>IFERROR(IF(H416-H415&lt;=0,"",J416/SQRT(Таблица_pr1[[#This Row],[Удельное сопротивление грунта, Ом·м]])),J416/SQRT(Таблица_pr1[[#This Row],[Удельное сопротивление грунта, Ом·м]]))</f>
        <v/>
      </c>
      <c r="M416" s="53"/>
      <c r="N416" s="52"/>
      <c r="O416" s="50"/>
      <c r="P416" s="61" t="str">
        <f t="shared" si="48"/>
        <v/>
      </c>
      <c r="Q416" s="61" t="str">
        <f>IFERROR(IF(N416-N415&lt;=0,"",P416/SQRT(Таблица_pr2[[#This Row],[Удельное сопротивление грунта, Ом·м]])),P416/SQRT(Таблица_pr2[[#This Row],[Удельное сопротивление грунта, Ом·м]]))</f>
        <v/>
      </c>
      <c r="S416" s="53"/>
      <c r="T416" s="52"/>
      <c r="U416" s="50"/>
      <c r="V416" s="61" t="str">
        <f t="shared" si="42"/>
        <v/>
      </c>
      <c r="W416" s="61" t="str">
        <f>IFERROR(IF(T416-T415&lt;=0,"",V416/SQRT(Таблица_pr3[[#This Row],[Удельное сопротивление грунта, Ом·м]])),V416/SQRT(Таблица_pr3[[#This Row],[Удельное сопротивление грунта, Ом·м]]))</f>
        <v/>
      </c>
      <c r="Y416" s="53"/>
      <c r="Z416" s="52"/>
      <c r="AA416" s="50"/>
      <c r="AB416" s="61" t="str">
        <f t="shared" si="49"/>
        <v/>
      </c>
      <c r="AC416" s="61" t="str">
        <f>IFERROR(IF(Z416-Z415&lt;=0,"",AB416/SQRT(Таблица_pr4[[#This Row],[Удельное сопротивление грунта, Ом·м]])),AB416/SQRT(Таблица_pr4[[#This Row],[Удельное сопротивление грунта, Ом·м]]))</f>
        <v/>
      </c>
      <c r="AE416" s="53"/>
      <c r="AF416" s="52"/>
      <c r="AG416" s="50"/>
      <c r="AH416" s="61" t="str">
        <f t="shared" si="43"/>
        <v/>
      </c>
      <c r="AI416" s="61" t="str">
        <f>IFERROR(IF(AF416-AF415&lt;=0,"",AH416/SQRT(Таблица_pr5[[#This Row],[Удельное сопротивление грунта, Ом·м]])),AH416/SQRT(Таблица_pr5[[#This Row],[Удельное сопротивление грунта, Ом·м]]))</f>
        <v/>
      </c>
      <c r="AK416" s="53"/>
      <c r="AL416" s="52"/>
      <c r="AM416" s="50"/>
      <c r="AN416" s="61" t="str">
        <f t="shared" si="50"/>
        <v/>
      </c>
      <c r="AO416" s="61" t="str">
        <f>IFERROR(IF(AL416-AL415&lt;=0,"",AN416/SQRT(Таблица_pr6[[#This Row],[Удельное сопротивление грунта, Ом·м]])),AN416/SQRT(Таблица_pr6[[#This Row],[Удельное сопротивление грунта, Ом·м]]))</f>
        <v/>
      </c>
      <c r="AQ416" s="53"/>
      <c r="AR416" s="52"/>
      <c r="AS416" s="50"/>
      <c r="AT416" s="61" t="str">
        <f t="shared" si="44"/>
        <v/>
      </c>
      <c r="AU416" s="61" t="str">
        <f>IFERROR(IF(AR416-AR415&lt;=0,"",AT416/SQRT(Таблица_pr7[[#This Row],[Удельное сопротивление грунта, Ом·м]])),AT416/SQRT(Таблица_pr7[[#This Row],[Удельное сопротивление грунта, Ом·м]]))</f>
        <v/>
      </c>
      <c r="AW416" s="53"/>
      <c r="AX416" s="52"/>
      <c r="AY416" s="50"/>
      <c r="AZ416" s="61" t="str">
        <f t="shared" si="51"/>
        <v/>
      </c>
      <c r="BA416" s="61" t="str">
        <f>IFERROR(IF(AX416-AX415&lt;=0,"",AZ416/SQRT(Таблица_pr8[[#This Row],[Удельное сопротивление грунта, Ом·м]])),AZ416/SQRT(Таблица_pr8[[#This Row],[Удельное сопротивление грунта, Ом·м]]))</f>
        <v/>
      </c>
      <c r="BC416" s="53"/>
      <c r="BD416" s="52"/>
      <c r="BE416" s="50"/>
      <c r="BF416" s="61" t="str">
        <f t="shared" si="45"/>
        <v/>
      </c>
      <c r="BG416" s="61" t="str">
        <f>IFERROR(IF(BD416-AX435&lt;=0,"",BF416/SQRT(Таблица_pr9[[#This Row],[Удельное сопротивление грунта, Ом·м]])),BF416/SQRT(Таблица_pr9[[#This Row],[Удельное сопротивление грунта, Ом·м]]))</f>
        <v/>
      </c>
      <c r="BI416" s="53"/>
      <c r="BJ416" s="52"/>
      <c r="BK416" s="50"/>
      <c r="BL416" s="61" t="str">
        <f t="shared" si="52"/>
        <v/>
      </c>
      <c r="BM416" s="61" t="str">
        <f>IFERROR(IF(BJ416-BD445&lt;=0,"",BL416/SQRT(Таблица_pr10[[#This Row],[Удельное сопротивление грунта, Ом·м]])),BL416/SQRT(Таблица_pr10[[#This Row],[Удельное сопротивление грунта, Ом·м]]))</f>
        <v/>
      </c>
    </row>
    <row r="417" spans="1:65">
      <c r="A417" s="51"/>
      <c r="B417" s="52"/>
      <c r="C417" s="50"/>
      <c r="E417" s="61" t="str">
        <f>IFERROR(IF(B417-B416&lt;=0,"",D417/SQRT(Таблица_pr[[#This Row],[Удельное сопротивление грунта, Ом·м]])),D417/SQRT(Таблица_pr[[#This Row],[Удельное сопротивление грунта, Ом·м]]))</f>
        <v/>
      </c>
      <c r="G417" s="189"/>
      <c r="H417" s="185"/>
      <c r="I417" s="183"/>
      <c r="J417" s="180"/>
      <c r="K417" s="61" t="str">
        <f>IFERROR(IF(H417-H416&lt;=0,"",J417/SQRT(Таблица_pr1[[#This Row],[Удельное сопротивление грунта, Ом·м]])),J417/SQRT(Таблица_pr1[[#This Row],[Удельное сопротивление грунта, Ом·м]]))</f>
        <v/>
      </c>
      <c r="M417" s="51"/>
      <c r="N417" s="52"/>
      <c r="O417" s="50"/>
      <c r="P417" s="61" t="str">
        <f t="shared" si="48"/>
        <v/>
      </c>
      <c r="Q417" s="61" t="str">
        <f>IFERROR(IF(N417-N416&lt;=0,"",P417/SQRT(Таблица_pr2[[#This Row],[Удельное сопротивление грунта, Ом·м]])),P417/SQRT(Таблица_pr2[[#This Row],[Удельное сопротивление грунта, Ом·м]]))</f>
        <v/>
      </c>
      <c r="S417" s="51"/>
      <c r="T417" s="52"/>
      <c r="U417" s="50"/>
      <c r="V417" s="61" t="str">
        <f t="shared" si="42"/>
        <v/>
      </c>
      <c r="W417" s="61" t="str">
        <f>IFERROR(IF(T417-T416&lt;=0,"",V417/SQRT(Таблица_pr3[[#This Row],[Удельное сопротивление грунта, Ом·м]])),V417/SQRT(Таблица_pr3[[#This Row],[Удельное сопротивление грунта, Ом·м]]))</f>
        <v/>
      </c>
      <c r="Y417" s="51"/>
      <c r="Z417" s="52"/>
      <c r="AA417" s="50"/>
      <c r="AB417" s="61" t="str">
        <f t="shared" si="49"/>
        <v/>
      </c>
      <c r="AC417" s="61" t="str">
        <f>IFERROR(IF(Z417-Z416&lt;=0,"",AB417/SQRT(Таблица_pr4[[#This Row],[Удельное сопротивление грунта, Ом·м]])),AB417/SQRT(Таблица_pr4[[#This Row],[Удельное сопротивление грунта, Ом·м]]))</f>
        <v/>
      </c>
      <c r="AE417" s="51"/>
      <c r="AF417" s="52"/>
      <c r="AG417" s="50"/>
      <c r="AH417" s="61" t="str">
        <f t="shared" si="43"/>
        <v/>
      </c>
      <c r="AI417" s="61" t="str">
        <f>IFERROR(IF(AF417-AF416&lt;=0,"",AH417/SQRT(Таблица_pr5[[#This Row],[Удельное сопротивление грунта, Ом·м]])),AH417/SQRT(Таблица_pr5[[#This Row],[Удельное сопротивление грунта, Ом·м]]))</f>
        <v/>
      </c>
      <c r="AK417" s="51"/>
      <c r="AL417" s="52"/>
      <c r="AM417" s="50"/>
      <c r="AN417" s="61" t="str">
        <f t="shared" si="50"/>
        <v/>
      </c>
      <c r="AO417" s="61" t="str">
        <f>IFERROR(IF(AL417-AL416&lt;=0,"",AN417/SQRT(Таблица_pr6[[#This Row],[Удельное сопротивление грунта, Ом·м]])),AN417/SQRT(Таблица_pr6[[#This Row],[Удельное сопротивление грунта, Ом·м]]))</f>
        <v/>
      </c>
      <c r="AQ417" s="51"/>
      <c r="AR417" s="52"/>
      <c r="AS417" s="50"/>
      <c r="AT417" s="61" t="str">
        <f t="shared" si="44"/>
        <v/>
      </c>
      <c r="AU417" s="61" t="str">
        <f>IFERROR(IF(AR417-AR416&lt;=0,"",AT417/SQRT(Таблица_pr7[[#This Row],[Удельное сопротивление грунта, Ом·м]])),AT417/SQRT(Таблица_pr7[[#This Row],[Удельное сопротивление грунта, Ом·м]]))</f>
        <v/>
      </c>
      <c r="AW417" s="51"/>
      <c r="AX417" s="52"/>
      <c r="AY417" s="50"/>
      <c r="AZ417" s="61" t="str">
        <f t="shared" si="51"/>
        <v/>
      </c>
      <c r="BA417" s="61" t="str">
        <f>IFERROR(IF(AX417-AX416&lt;=0,"",AZ417/SQRT(Таблица_pr8[[#This Row],[Удельное сопротивление грунта, Ом·м]])),AZ417/SQRT(Таблица_pr8[[#This Row],[Удельное сопротивление грунта, Ом·м]]))</f>
        <v/>
      </c>
      <c r="BC417" s="51"/>
      <c r="BD417" s="52"/>
      <c r="BE417" s="50"/>
      <c r="BF417" s="61" t="str">
        <f t="shared" si="45"/>
        <v/>
      </c>
      <c r="BG417" s="61" t="str">
        <f>IFERROR(IF(BD417-AX436&lt;=0,"",BF417/SQRT(Таблица_pr9[[#This Row],[Удельное сопротивление грунта, Ом·м]])),BF417/SQRT(Таблица_pr9[[#This Row],[Удельное сопротивление грунта, Ом·м]]))</f>
        <v/>
      </c>
      <c r="BI417" s="51"/>
      <c r="BJ417" s="52"/>
      <c r="BK417" s="50"/>
      <c r="BL417" s="61" t="str">
        <f t="shared" si="52"/>
        <v/>
      </c>
      <c r="BM417" s="61" t="str">
        <f>IFERROR(IF(BJ417-BD446&lt;=0,"",BL417/SQRT(Таблица_pr10[[#This Row],[Удельное сопротивление грунта, Ом·м]])),BL417/SQRT(Таблица_pr10[[#This Row],[Удельное сопротивление грунта, Ом·м]]))</f>
        <v/>
      </c>
    </row>
    <row r="418" spans="1:65">
      <c r="A418" s="53"/>
      <c r="B418" s="52"/>
      <c r="C418" s="50"/>
      <c r="E418" s="61" t="str">
        <f>IFERROR(IF(B418-B417&lt;=0,"",D418/SQRT(Таблица_pr[[#This Row],[Удельное сопротивление грунта, Ом·м]])),D418/SQRT(Таблица_pr[[#This Row],[Удельное сопротивление грунта, Ом·м]]))</f>
        <v/>
      </c>
      <c r="G418" s="188"/>
      <c r="H418" s="184"/>
      <c r="I418" s="182"/>
      <c r="J418" s="181"/>
      <c r="K418" s="61" t="str">
        <f>IFERROR(IF(H418-H417&lt;=0,"",J418/SQRT(Таблица_pr1[[#This Row],[Удельное сопротивление грунта, Ом·м]])),J418/SQRT(Таблица_pr1[[#This Row],[Удельное сопротивление грунта, Ом·м]]))</f>
        <v/>
      </c>
      <c r="M418" s="53"/>
      <c r="N418" s="52"/>
      <c r="O418" s="50"/>
      <c r="P418" s="61" t="str">
        <f t="shared" si="48"/>
        <v/>
      </c>
      <c r="Q418" s="61" t="str">
        <f>IFERROR(IF(N418-N417&lt;=0,"",P418/SQRT(Таблица_pr2[[#This Row],[Удельное сопротивление грунта, Ом·м]])),P418/SQRT(Таблица_pr2[[#This Row],[Удельное сопротивление грунта, Ом·м]]))</f>
        <v/>
      </c>
      <c r="S418" s="53"/>
      <c r="T418" s="52"/>
      <c r="U418" s="50"/>
      <c r="V418" s="61" t="str">
        <f t="shared" si="42"/>
        <v/>
      </c>
      <c r="W418" s="61" t="str">
        <f>IFERROR(IF(T418-T417&lt;=0,"",V418/SQRT(Таблица_pr3[[#This Row],[Удельное сопротивление грунта, Ом·м]])),V418/SQRT(Таблица_pr3[[#This Row],[Удельное сопротивление грунта, Ом·м]]))</f>
        <v/>
      </c>
      <c r="Y418" s="53"/>
      <c r="Z418" s="52"/>
      <c r="AA418" s="50"/>
      <c r="AB418" s="61" t="str">
        <f t="shared" si="49"/>
        <v/>
      </c>
      <c r="AC418" s="61" t="str">
        <f>IFERROR(IF(Z418-Z417&lt;=0,"",AB418/SQRT(Таблица_pr4[[#This Row],[Удельное сопротивление грунта, Ом·м]])),AB418/SQRT(Таблица_pr4[[#This Row],[Удельное сопротивление грунта, Ом·м]]))</f>
        <v/>
      </c>
      <c r="AE418" s="53"/>
      <c r="AF418" s="52"/>
      <c r="AG418" s="50"/>
      <c r="AH418" s="61" t="str">
        <f t="shared" si="43"/>
        <v/>
      </c>
      <c r="AI418" s="61" t="str">
        <f>IFERROR(IF(AF418-AF417&lt;=0,"",AH418/SQRT(Таблица_pr5[[#This Row],[Удельное сопротивление грунта, Ом·м]])),AH418/SQRT(Таблица_pr5[[#This Row],[Удельное сопротивление грунта, Ом·м]]))</f>
        <v/>
      </c>
      <c r="AK418" s="53"/>
      <c r="AL418" s="52"/>
      <c r="AM418" s="50"/>
      <c r="AN418" s="61" t="str">
        <f t="shared" si="50"/>
        <v/>
      </c>
      <c r="AO418" s="61" t="str">
        <f>IFERROR(IF(AL418-AL417&lt;=0,"",AN418/SQRT(Таблица_pr6[[#This Row],[Удельное сопротивление грунта, Ом·м]])),AN418/SQRT(Таблица_pr6[[#This Row],[Удельное сопротивление грунта, Ом·м]]))</f>
        <v/>
      </c>
      <c r="AQ418" s="53"/>
      <c r="AR418" s="52"/>
      <c r="AS418" s="50"/>
      <c r="AT418" s="61" t="str">
        <f t="shared" si="44"/>
        <v/>
      </c>
      <c r="AU418" s="61" t="str">
        <f>IFERROR(IF(AR418-AR417&lt;=0,"",AT418/SQRT(Таблица_pr7[[#This Row],[Удельное сопротивление грунта, Ом·м]])),AT418/SQRT(Таблица_pr7[[#This Row],[Удельное сопротивление грунта, Ом·м]]))</f>
        <v/>
      </c>
      <c r="AW418" s="53"/>
      <c r="AX418" s="52"/>
      <c r="AY418" s="50"/>
      <c r="AZ418" s="61" t="str">
        <f t="shared" si="51"/>
        <v/>
      </c>
      <c r="BA418" s="61" t="str">
        <f>IFERROR(IF(AX418-AX417&lt;=0,"",AZ418/SQRT(Таблица_pr8[[#This Row],[Удельное сопротивление грунта, Ом·м]])),AZ418/SQRT(Таблица_pr8[[#This Row],[Удельное сопротивление грунта, Ом·м]]))</f>
        <v/>
      </c>
      <c r="BC418" s="53"/>
      <c r="BD418" s="52"/>
      <c r="BE418" s="50"/>
      <c r="BF418" s="61" t="str">
        <f t="shared" si="45"/>
        <v/>
      </c>
      <c r="BG418" s="61" t="str">
        <f>IFERROR(IF(BD418-AX437&lt;=0,"",BF418/SQRT(Таблица_pr9[[#This Row],[Удельное сопротивление грунта, Ом·м]])),BF418/SQRT(Таблица_pr9[[#This Row],[Удельное сопротивление грунта, Ом·м]]))</f>
        <v/>
      </c>
      <c r="BI418" s="53"/>
      <c r="BJ418" s="52"/>
      <c r="BK418" s="50"/>
      <c r="BL418" s="61" t="str">
        <f t="shared" si="52"/>
        <v/>
      </c>
      <c r="BM418" s="61" t="str">
        <f>IFERROR(IF(BJ418-BD447&lt;=0,"",BL418/SQRT(Таблица_pr10[[#This Row],[Удельное сопротивление грунта, Ом·м]])),BL418/SQRT(Таблица_pr10[[#This Row],[Удельное сопротивление грунта, Ом·м]]))</f>
        <v/>
      </c>
    </row>
    <row r="419" spans="1:65">
      <c r="A419" s="51"/>
      <c r="B419" s="52"/>
      <c r="C419" s="50"/>
      <c r="E419" s="61" t="str">
        <f>IFERROR(IF(B419-B418&lt;=0,"",D419/SQRT(Таблица_pr[[#This Row],[Удельное сопротивление грунта, Ом·м]])),D419/SQRT(Таблица_pr[[#This Row],[Удельное сопротивление грунта, Ом·м]]))</f>
        <v/>
      </c>
      <c r="G419" s="189"/>
      <c r="H419" s="185"/>
      <c r="I419" s="183"/>
      <c r="J419" s="180"/>
      <c r="K419" s="61" t="str">
        <f>IFERROR(IF(H419-H418&lt;=0,"",J419/SQRT(Таблица_pr1[[#This Row],[Удельное сопротивление грунта, Ом·м]])),J419/SQRT(Таблица_pr1[[#This Row],[Удельное сопротивление грунта, Ом·м]]))</f>
        <v/>
      </c>
      <c r="M419" s="51"/>
      <c r="N419" s="52"/>
      <c r="O419" s="50"/>
      <c r="P419" s="61" t="str">
        <f t="shared" si="48"/>
        <v/>
      </c>
      <c r="Q419" s="61" t="str">
        <f>IFERROR(IF(N419-N418&lt;=0,"",P419/SQRT(Таблица_pr2[[#This Row],[Удельное сопротивление грунта, Ом·м]])),P419/SQRT(Таблица_pr2[[#This Row],[Удельное сопротивление грунта, Ом·м]]))</f>
        <v/>
      </c>
      <c r="S419" s="51"/>
      <c r="T419" s="52"/>
      <c r="U419" s="50"/>
      <c r="V419" s="61" t="str">
        <f t="shared" si="42"/>
        <v/>
      </c>
      <c r="W419" s="61" t="str">
        <f>IFERROR(IF(T419-T418&lt;=0,"",V419/SQRT(Таблица_pr3[[#This Row],[Удельное сопротивление грунта, Ом·м]])),V419/SQRT(Таблица_pr3[[#This Row],[Удельное сопротивление грунта, Ом·м]]))</f>
        <v/>
      </c>
      <c r="Y419" s="51"/>
      <c r="Z419" s="52"/>
      <c r="AA419" s="50"/>
      <c r="AB419" s="61" t="str">
        <f t="shared" si="49"/>
        <v/>
      </c>
      <c r="AC419" s="61" t="str">
        <f>IFERROR(IF(Z419-Z418&lt;=0,"",AB419/SQRT(Таблица_pr4[[#This Row],[Удельное сопротивление грунта, Ом·м]])),AB419/SQRT(Таблица_pr4[[#This Row],[Удельное сопротивление грунта, Ом·м]]))</f>
        <v/>
      </c>
      <c r="AE419" s="51"/>
      <c r="AF419" s="52"/>
      <c r="AG419" s="50"/>
      <c r="AH419" s="61" t="str">
        <f t="shared" si="43"/>
        <v/>
      </c>
      <c r="AI419" s="61" t="str">
        <f>IFERROR(IF(AF419-AF418&lt;=0,"",AH419/SQRT(Таблица_pr5[[#This Row],[Удельное сопротивление грунта, Ом·м]])),AH419/SQRT(Таблица_pr5[[#This Row],[Удельное сопротивление грунта, Ом·м]]))</f>
        <v/>
      </c>
      <c r="AK419" s="51"/>
      <c r="AL419" s="52"/>
      <c r="AM419" s="50"/>
      <c r="AN419" s="61" t="str">
        <f t="shared" si="50"/>
        <v/>
      </c>
      <c r="AO419" s="61" t="str">
        <f>IFERROR(IF(AL419-AL418&lt;=0,"",AN419/SQRT(Таблица_pr6[[#This Row],[Удельное сопротивление грунта, Ом·м]])),AN419/SQRT(Таблица_pr6[[#This Row],[Удельное сопротивление грунта, Ом·м]]))</f>
        <v/>
      </c>
      <c r="AQ419" s="51"/>
      <c r="AR419" s="52"/>
      <c r="AS419" s="50"/>
      <c r="AT419" s="61" t="str">
        <f t="shared" si="44"/>
        <v/>
      </c>
      <c r="AU419" s="61" t="str">
        <f>IFERROR(IF(AR419-AR418&lt;=0,"",AT419/SQRT(Таблица_pr7[[#This Row],[Удельное сопротивление грунта, Ом·м]])),AT419/SQRT(Таблица_pr7[[#This Row],[Удельное сопротивление грунта, Ом·м]]))</f>
        <v/>
      </c>
      <c r="AW419" s="51"/>
      <c r="AX419" s="52"/>
      <c r="AY419" s="50"/>
      <c r="AZ419" s="61" t="str">
        <f t="shared" si="51"/>
        <v/>
      </c>
      <c r="BA419" s="61" t="str">
        <f>IFERROR(IF(AX419-AX418&lt;=0,"",AZ419/SQRT(Таблица_pr8[[#This Row],[Удельное сопротивление грунта, Ом·м]])),AZ419/SQRT(Таблица_pr8[[#This Row],[Удельное сопротивление грунта, Ом·м]]))</f>
        <v/>
      </c>
      <c r="BC419" s="51"/>
      <c r="BD419" s="52"/>
      <c r="BE419" s="50"/>
      <c r="BF419" s="61" t="str">
        <f t="shared" si="45"/>
        <v/>
      </c>
      <c r="BG419" s="61" t="str">
        <f>IFERROR(IF(BD419-AX438&lt;=0,"",BF419/SQRT(Таблица_pr9[[#This Row],[Удельное сопротивление грунта, Ом·м]])),BF419/SQRT(Таблица_pr9[[#This Row],[Удельное сопротивление грунта, Ом·м]]))</f>
        <v/>
      </c>
      <c r="BI419" s="51"/>
      <c r="BJ419" s="52"/>
      <c r="BK419" s="50"/>
      <c r="BL419" s="61" t="str">
        <f t="shared" si="52"/>
        <v/>
      </c>
      <c r="BM419" s="61" t="str">
        <f>IFERROR(IF(BJ419-BD448&lt;=0,"",BL419/SQRT(Таблица_pr10[[#This Row],[Удельное сопротивление грунта, Ом·м]])),BL419/SQRT(Таблица_pr10[[#This Row],[Удельное сопротивление грунта, Ом·м]]))</f>
        <v/>
      </c>
    </row>
    <row r="420" spans="1:65">
      <c r="A420" s="53"/>
      <c r="B420" s="52"/>
      <c r="C420" s="50"/>
      <c r="E420" s="61" t="str">
        <f>IFERROR(IF(B420-B419&lt;=0,"",D420/SQRT(Таблица_pr[[#This Row],[Удельное сопротивление грунта, Ом·м]])),D420/SQRT(Таблица_pr[[#This Row],[Удельное сопротивление грунта, Ом·м]]))</f>
        <v/>
      </c>
      <c r="G420" s="188"/>
      <c r="H420" s="184"/>
      <c r="I420" s="182"/>
      <c r="J420" s="181"/>
      <c r="K420" s="61" t="str">
        <f>IFERROR(IF(H420-H419&lt;=0,"",J420/SQRT(Таблица_pr1[[#This Row],[Удельное сопротивление грунта, Ом·м]])),J420/SQRT(Таблица_pr1[[#This Row],[Удельное сопротивление грунта, Ом·м]]))</f>
        <v/>
      </c>
      <c r="M420" s="53"/>
      <c r="N420" s="52"/>
      <c r="O420" s="50"/>
      <c r="P420" s="61" t="str">
        <f t="shared" si="48"/>
        <v/>
      </c>
      <c r="Q420" s="61" t="str">
        <f>IFERROR(IF(N420-N419&lt;=0,"",P420/SQRT(Таблица_pr2[[#This Row],[Удельное сопротивление грунта, Ом·м]])),P420/SQRT(Таблица_pr2[[#This Row],[Удельное сопротивление грунта, Ом·м]]))</f>
        <v/>
      </c>
      <c r="S420" s="53"/>
      <c r="T420" s="52"/>
      <c r="U420" s="50"/>
      <c r="V420" s="61" t="str">
        <f t="shared" si="42"/>
        <v/>
      </c>
      <c r="W420" s="61" t="str">
        <f>IFERROR(IF(T420-T419&lt;=0,"",V420/SQRT(Таблица_pr3[[#This Row],[Удельное сопротивление грунта, Ом·м]])),V420/SQRT(Таблица_pr3[[#This Row],[Удельное сопротивление грунта, Ом·м]]))</f>
        <v/>
      </c>
      <c r="Y420" s="53"/>
      <c r="Z420" s="52"/>
      <c r="AA420" s="50"/>
      <c r="AB420" s="61" t="str">
        <f t="shared" si="49"/>
        <v/>
      </c>
      <c r="AC420" s="61" t="str">
        <f>IFERROR(IF(Z420-Z419&lt;=0,"",AB420/SQRT(Таблица_pr4[[#This Row],[Удельное сопротивление грунта, Ом·м]])),AB420/SQRT(Таблица_pr4[[#This Row],[Удельное сопротивление грунта, Ом·м]]))</f>
        <v/>
      </c>
      <c r="AE420" s="53"/>
      <c r="AF420" s="52"/>
      <c r="AG420" s="50"/>
      <c r="AH420" s="61" t="str">
        <f t="shared" si="43"/>
        <v/>
      </c>
      <c r="AI420" s="61" t="str">
        <f>IFERROR(IF(AF420-AF419&lt;=0,"",AH420/SQRT(Таблица_pr5[[#This Row],[Удельное сопротивление грунта, Ом·м]])),AH420/SQRT(Таблица_pr5[[#This Row],[Удельное сопротивление грунта, Ом·м]]))</f>
        <v/>
      </c>
      <c r="AK420" s="53"/>
      <c r="AL420" s="52"/>
      <c r="AM420" s="50"/>
      <c r="AN420" s="61" t="str">
        <f t="shared" si="50"/>
        <v/>
      </c>
      <c r="AO420" s="61" t="str">
        <f>IFERROR(IF(AL420-AL419&lt;=0,"",AN420/SQRT(Таблица_pr6[[#This Row],[Удельное сопротивление грунта, Ом·м]])),AN420/SQRT(Таблица_pr6[[#This Row],[Удельное сопротивление грунта, Ом·м]]))</f>
        <v/>
      </c>
      <c r="AQ420" s="53"/>
      <c r="AR420" s="52"/>
      <c r="AS420" s="50"/>
      <c r="AT420" s="61" t="str">
        <f t="shared" si="44"/>
        <v/>
      </c>
      <c r="AU420" s="61" t="str">
        <f>IFERROR(IF(AR420-AR419&lt;=0,"",AT420/SQRT(Таблица_pr7[[#This Row],[Удельное сопротивление грунта, Ом·м]])),AT420/SQRT(Таблица_pr7[[#This Row],[Удельное сопротивление грунта, Ом·м]]))</f>
        <v/>
      </c>
      <c r="AW420" s="53"/>
      <c r="AX420" s="52"/>
      <c r="AY420" s="50"/>
      <c r="AZ420" s="61" t="str">
        <f t="shared" si="51"/>
        <v/>
      </c>
      <c r="BA420" s="61" t="str">
        <f>IFERROR(IF(AX420-AX419&lt;=0,"",AZ420/SQRT(Таблица_pr8[[#This Row],[Удельное сопротивление грунта, Ом·м]])),AZ420/SQRT(Таблица_pr8[[#This Row],[Удельное сопротивление грунта, Ом·м]]))</f>
        <v/>
      </c>
      <c r="BC420" s="53"/>
      <c r="BD420" s="52"/>
      <c r="BE420" s="50"/>
      <c r="BF420" s="61" t="str">
        <f t="shared" si="45"/>
        <v/>
      </c>
      <c r="BG420" s="61" t="str">
        <f>IFERROR(IF(BD420-AX439&lt;=0,"",BF420/SQRT(Таблица_pr9[[#This Row],[Удельное сопротивление грунта, Ом·м]])),BF420/SQRT(Таблица_pr9[[#This Row],[Удельное сопротивление грунта, Ом·м]]))</f>
        <v/>
      </c>
      <c r="BI420" s="53"/>
      <c r="BJ420" s="52"/>
      <c r="BK420" s="50"/>
      <c r="BL420" s="61" t="str">
        <f t="shared" si="52"/>
        <v/>
      </c>
      <c r="BM420" s="61" t="str">
        <f>IFERROR(IF(BJ420-BD449&lt;=0,"",BL420/SQRT(Таблица_pr10[[#This Row],[Удельное сопротивление грунта, Ом·м]])),BL420/SQRT(Таблица_pr10[[#This Row],[Удельное сопротивление грунта, Ом·м]]))</f>
        <v/>
      </c>
    </row>
    <row r="421" spans="1:65">
      <c r="A421" s="51"/>
      <c r="B421" s="52"/>
      <c r="C421" s="50"/>
      <c r="E421" s="61" t="str">
        <f>IFERROR(IF(B421-B420&lt;=0,"",D421/SQRT(Таблица_pr[[#This Row],[Удельное сопротивление грунта, Ом·м]])),D421/SQRT(Таблица_pr[[#This Row],[Удельное сопротивление грунта, Ом·м]]))</f>
        <v/>
      </c>
      <c r="G421" s="189"/>
      <c r="H421" s="185"/>
      <c r="I421" s="183"/>
      <c r="J421" s="180"/>
      <c r="K421" s="61" t="str">
        <f>IFERROR(IF(H421-H420&lt;=0,"",J421/SQRT(Таблица_pr1[[#This Row],[Удельное сопротивление грунта, Ом·м]])),J421/SQRT(Таблица_pr1[[#This Row],[Удельное сопротивление грунта, Ом·м]]))</f>
        <v/>
      </c>
      <c r="M421" s="51"/>
      <c r="N421" s="52"/>
      <c r="O421" s="50"/>
      <c r="P421" s="61" t="str">
        <f t="shared" si="48"/>
        <v/>
      </c>
      <c r="Q421" s="61" t="str">
        <f>IFERROR(IF(N421-N420&lt;=0,"",P421/SQRT(Таблица_pr2[[#This Row],[Удельное сопротивление грунта, Ом·м]])),P421/SQRT(Таблица_pr2[[#This Row],[Удельное сопротивление грунта, Ом·м]]))</f>
        <v/>
      </c>
      <c r="S421" s="51"/>
      <c r="T421" s="52"/>
      <c r="U421" s="50"/>
      <c r="V421" s="61" t="str">
        <f t="shared" si="42"/>
        <v/>
      </c>
      <c r="W421" s="61" t="str">
        <f>IFERROR(IF(T421-T420&lt;=0,"",V421/SQRT(Таблица_pr3[[#This Row],[Удельное сопротивление грунта, Ом·м]])),V421/SQRT(Таблица_pr3[[#This Row],[Удельное сопротивление грунта, Ом·м]]))</f>
        <v/>
      </c>
      <c r="Y421" s="51"/>
      <c r="Z421" s="52"/>
      <c r="AA421" s="50"/>
      <c r="AB421" s="61" t="str">
        <f t="shared" si="49"/>
        <v/>
      </c>
      <c r="AC421" s="61" t="str">
        <f>IFERROR(IF(Z421-Z420&lt;=0,"",AB421/SQRT(Таблица_pr4[[#This Row],[Удельное сопротивление грунта, Ом·м]])),AB421/SQRT(Таблица_pr4[[#This Row],[Удельное сопротивление грунта, Ом·м]]))</f>
        <v/>
      </c>
      <c r="AE421" s="51"/>
      <c r="AF421" s="52"/>
      <c r="AG421" s="50"/>
      <c r="AH421" s="61" t="str">
        <f t="shared" si="43"/>
        <v/>
      </c>
      <c r="AI421" s="61" t="str">
        <f>IFERROR(IF(AF421-AF420&lt;=0,"",AH421/SQRT(Таблица_pr5[[#This Row],[Удельное сопротивление грунта, Ом·м]])),AH421/SQRT(Таблица_pr5[[#This Row],[Удельное сопротивление грунта, Ом·м]]))</f>
        <v/>
      </c>
      <c r="AK421" s="51"/>
      <c r="AL421" s="52"/>
      <c r="AM421" s="50"/>
      <c r="AN421" s="61" t="str">
        <f t="shared" si="50"/>
        <v/>
      </c>
      <c r="AO421" s="61" t="str">
        <f>IFERROR(IF(AL421-AL420&lt;=0,"",AN421/SQRT(Таблица_pr6[[#This Row],[Удельное сопротивление грунта, Ом·м]])),AN421/SQRT(Таблица_pr6[[#This Row],[Удельное сопротивление грунта, Ом·м]]))</f>
        <v/>
      </c>
      <c r="AQ421" s="51"/>
      <c r="AR421" s="52"/>
      <c r="AS421" s="50"/>
      <c r="AT421" s="61" t="str">
        <f t="shared" si="44"/>
        <v/>
      </c>
      <c r="AU421" s="61" t="str">
        <f>IFERROR(IF(AR421-AR420&lt;=0,"",AT421/SQRT(Таблица_pr7[[#This Row],[Удельное сопротивление грунта, Ом·м]])),AT421/SQRT(Таблица_pr7[[#This Row],[Удельное сопротивление грунта, Ом·м]]))</f>
        <v/>
      </c>
      <c r="AW421" s="51"/>
      <c r="AX421" s="52"/>
      <c r="AY421" s="50"/>
      <c r="AZ421" s="61" t="str">
        <f t="shared" si="51"/>
        <v/>
      </c>
      <c r="BA421" s="61" t="str">
        <f>IFERROR(IF(AX421-AX420&lt;=0,"",AZ421/SQRT(Таблица_pr8[[#This Row],[Удельное сопротивление грунта, Ом·м]])),AZ421/SQRT(Таблица_pr8[[#This Row],[Удельное сопротивление грунта, Ом·м]]))</f>
        <v/>
      </c>
      <c r="BC421" s="51"/>
      <c r="BD421" s="52"/>
      <c r="BE421" s="50"/>
      <c r="BF421" s="61" t="str">
        <f t="shared" si="45"/>
        <v/>
      </c>
      <c r="BG421" s="61" t="str">
        <f>IFERROR(IF(BD421-AX440&lt;=0,"",BF421/SQRT(Таблица_pr9[[#This Row],[Удельное сопротивление грунта, Ом·м]])),BF421/SQRT(Таблица_pr9[[#This Row],[Удельное сопротивление грунта, Ом·м]]))</f>
        <v/>
      </c>
      <c r="BI421" s="51"/>
      <c r="BJ421" s="52"/>
      <c r="BK421" s="50"/>
      <c r="BL421" s="61" t="str">
        <f t="shared" si="52"/>
        <v/>
      </c>
      <c r="BM421" s="61" t="str">
        <f>IFERROR(IF(BJ421-BD450&lt;=0,"",BL421/SQRT(Таблица_pr10[[#This Row],[Удельное сопротивление грунта, Ом·м]])),BL421/SQRT(Таблица_pr10[[#This Row],[Удельное сопротивление грунта, Ом·м]]))</f>
        <v/>
      </c>
    </row>
    <row r="422" spans="1:65">
      <c r="A422" s="53"/>
      <c r="B422" s="52"/>
      <c r="C422" s="50"/>
      <c r="E422" s="61" t="str">
        <f>IFERROR(IF(B422-B421&lt;=0,"",D422/SQRT(Таблица_pr[[#This Row],[Удельное сопротивление грунта, Ом·м]])),D422/SQRT(Таблица_pr[[#This Row],[Удельное сопротивление грунта, Ом·м]]))</f>
        <v/>
      </c>
      <c r="G422" s="188"/>
      <c r="H422" s="184"/>
      <c r="I422" s="182"/>
      <c r="J422" s="181"/>
      <c r="K422" s="61" t="str">
        <f>IFERROR(IF(H422-H421&lt;=0,"",J422/SQRT(Таблица_pr1[[#This Row],[Удельное сопротивление грунта, Ом·м]])),J422/SQRT(Таблица_pr1[[#This Row],[Удельное сопротивление грунта, Ом·м]]))</f>
        <v/>
      </c>
      <c r="M422" s="53"/>
      <c r="N422" s="52"/>
      <c r="O422" s="50"/>
      <c r="P422" s="61" t="str">
        <f t="shared" si="48"/>
        <v/>
      </c>
      <c r="Q422" s="61" t="str">
        <f>IFERROR(IF(N422-N421&lt;=0,"",P422/SQRT(Таблица_pr2[[#This Row],[Удельное сопротивление грунта, Ом·м]])),P422/SQRT(Таблица_pr2[[#This Row],[Удельное сопротивление грунта, Ом·м]]))</f>
        <v/>
      </c>
      <c r="S422" s="53"/>
      <c r="T422" s="52"/>
      <c r="U422" s="50"/>
      <c r="V422" s="61" t="str">
        <f t="shared" si="42"/>
        <v/>
      </c>
      <c r="W422" s="61" t="str">
        <f>IFERROR(IF(T422-T421&lt;=0,"",V422/SQRT(Таблица_pr3[[#This Row],[Удельное сопротивление грунта, Ом·м]])),V422/SQRT(Таблица_pr3[[#This Row],[Удельное сопротивление грунта, Ом·м]]))</f>
        <v/>
      </c>
      <c r="Y422" s="53"/>
      <c r="Z422" s="52"/>
      <c r="AA422" s="50"/>
      <c r="AB422" s="61" t="str">
        <f t="shared" si="49"/>
        <v/>
      </c>
      <c r="AC422" s="61" t="str">
        <f>IFERROR(IF(Z422-Z421&lt;=0,"",AB422/SQRT(Таблица_pr4[[#This Row],[Удельное сопротивление грунта, Ом·м]])),AB422/SQRT(Таблица_pr4[[#This Row],[Удельное сопротивление грунта, Ом·м]]))</f>
        <v/>
      </c>
      <c r="AE422" s="53"/>
      <c r="AF422" s="52"/>
      <c r="AG422" s="50"/>
      <c r="AH422" s="61" t="str">
        <f t="shared" si="43"/>
        <v/>
      </c>
      <c r="AI422" s="61" t="str">
        <f>IFERROR(IF(AF422-AF421&lt;=0,"",AH422/SQRT(Таблица_pr5[[#This Row],[Удельное сопротивление грунта, Ом·м]])),AH422/SQRT(Таблица_pr5[[#This Row],[Удельное сопротивление грунта, Ом·м]]))</f>
        <v/>
      </c>
      <c r="AK422" s="53"/>
      <c r="AL422" s="52"/>
      <c r="AM422" s="50"/>
      <c r="AN422" s="61" t="str">
        <f t="shared" si="50"/>
        <v/>
      </c>
      <c r="AO422" s="61" t="str">
        <f>IFERROR(IF(AL422-AL421&lt;=0,"",AN422/SQRT(Таблица_pr6[[#This Row],[Удельное сопротивление грунта, Ом·м]])),AN422/SQRT(Таблица_pr6[[#This Row],[Удельное сопротивление грунта, Ом·м]]))</f>
        <v/>
      </c>
      <c r="AQ422" s="53"/>
      <c r="AR422" s="52"/>
      <c r="AS422" s="50"/>
      <c r="AT422" s="61" t="str">
        <f t="shared" si="44"/>
        <v/>
      </c>
      <c r="AU422" s="61" t="str">
        <f>IFERROR(IF(AR422-AR421&lt;=0,"",AT422/SQRT(Таблица_pr7[[#This Row],[Удельное сопротивление грунта, Ом·м]])),AT422/SQRT(Таблица_pr7[[#This Row],[Удельное сопротивление грунта, Ом·м]]))</f>
        <v/>
      </c>
      <c r="AW422" s="53"/>
      <c r="AX422" s="52"/>
      <c r="AY422" s="50"/>
      <c r="AZ422" s="61" t="str">
        <f t="shared" si="51"/>
        <v/>
      </c>
      <c r="BA422" s="61" t="str">
        <f>IFERROR(IF(AX422-AX421&lt;=0,"",AZ422/SQRT(Таблица_pr8[[#This Row],[Удельное сопротивление грунта, Ом·м]])),AZ422/SQRT(Таблица_pr8[[#This Row],[Удельное сопротивление грунта, Ом·м]]))</f>
        <v/>
      </c>
      <c r="BC422" s="53"/>
      <c r="BD422" s="52"/>
      <c r="BE422" s="50"/>
      <c r="BF422" s="61" t="str">
        <f t="shared" si="45"/>
        <v/>
      </c>
      <c r="BG422" s="61" t="str">
        <f>IFERROR(IF(BD422-AX441&lt;=0,"",BF422/SQRT(Таблица_pr9[[#This Row],[Удельное сопротивление грунта, Ом·м]])),BF422/SQRT(Таблица_pr9[[#This Row],[Удельное сопротивление грунта, Ом·м]]))</f>
        <v/>
      </c>
      <c r="BI422" s="53"/>
      <c r="BJ422" s="52"/>
      <c r="BK422" s="50"/>
      <c r="BL422" s="61" t="str">
        <f t="shared" si="52"/>
        <v/>
      </c>
      <c r="BM422" s="61" t="str">
        <f>IFERROR(IF(BJ422-BD451&lt;=0,"",BL422/SQRT(Таблица_pr10[[#This Row],[Удельное сопротивление грунта, Ом·м]])),BL422/SQRT(Таблица_pr10[[#This Row],[Удельное сопротивление грунта, Ом·м]]))</f>
        <v/>
      </c>
    </row>
    <row r="423" spans="1:65">
      <c r="A423" s="51"/>
      <c r="B423" s="52"/>
      <c r="C423" s="50"/>
      <c r="E423" s="61" t="str">
        <f>IFERROR(IF(B423-B422&lt;=0,"",D423/SQRT(Таблица_pr[[#This Row],[Удельное сопротивление грунта, Ом·м]])),D423/SQRT(Таблица_pr[[#This Row],[Удельное сопротивление грунта, Ом·м]]))</f>
        <v/>
      </c>
      <c r="G423" s="189"/>
      <c r="H423" s="185"/>
      <c r="I423" s="183"/>
      <c r="J423" s="180"/>
      <c r="K423" s="61" t="str">
        <f>IFERROR(IF(H423-H422&lt;=0,"",J423/SQRT(Таблица_pr1[[#This Row],[Удельное сопротивление грунта, Ом·м]])),J423/SQRT(Таблица_pr1[[#This Row],[Удельное сопротивление грунта, Ом·м]]))</f>
        <v/>
      </c>
      <c r="M423" s="51"/>
      <c r="N423" s="52"/>
      <c r="O423" s="50"/>
      <c r="P423" s="61" t="str">
        <f t="shared" si="48"/>
        <v/>
      </c>
      <c r="Q423" s="61" t="str">
        <f>IFERROR(IF(N423-N422&lt;=0,"",P423/SQRT(Таблица_pr2[[#This Row],[Удельное сопротивление грунта, Ом·м]])),P423/SQRT(Таблица_pr2[[#This Row],[Удельное сопротивление грунта, Ом·м]]))</f>
        <v/>
      </c>
      <c r="S423" s="51"/>
      <c r="T423" s="52"/>
      <c r="U423" s="50"/>
      <c r="V423" s="61" t="str">
        <f t="shared" si="42"/>
        <v/>
      </c>
      <c r="W423" s="61" t="str">
        <f>IFERROR(IF(T423-T422&lt;=0,"",V423/SQRT(Таблица_pr3[[#This Row],[Удельное сопротивление грунта, Ом·м]])),V423/SQRT(Таблица_pr3[[#This Row],[Удельное сопротивление грунта, Ом·м]]))</f>
        <v/>
      </c>
      <c r="Y423" s="51"/>
      <c r="Z423" s="52"/>
      <c r="AA423" s="50"/>
      <c r="AB423" s="61" t="str">
        <f t="shared" si="49"/>
        <v/>
      </c>
      <c r="AC423" s="61" t="str">
        <f>IFERROR(IF(Z423-Z422&lt;=0,"",AB423/SQRT(Таблица_pr4[[#This Row],[Удельное сопротивление грунта, Ом·м]])),AB423/SQRT(Таблица_pr4[[#This Row],[Удельное сопротивление грунта, Ом·м]]))</f>
        <v/>
      </c>
      <c r="AE423" s="51"/>
      <c r="AF423" s="52"/>
      <c r="AG423" s="50"/>
      <c r="AH423" s="61" t="str">
        <f t="shared" si="43"/>
        <v/>
      </c>
      <c r="AI423" s="61" t="str">
        <f>IFERROR(IF(AF423-AF422&lt;=0,"",AH423/SQRT(Таблица_pr5[[#This Row],[Удельное сопротивление грунта, Ом·м]])),AH423/SQRT(Таблица_pr5[[#This Row],[Удельное сопротивление грунта, Ом·м]]))</f>
        <v/>
      </c>
      <c r="AK423" s="51"/>
      <c r="AL423" s="52"/>
      <c r="AM423" s="50"/>
      <c r="AN423" s="61" t="str">
        <f t="shared" si="50"/>
        <v/>
      </c>
      <c r="AO423" s="61" t="str">
        <f>IFERROR(IF(AL423-AL422&lt;=0,"",AN423/SQRT(Таблица_pr6[[#This Row],[Удельное сопротивление грунта, Ом·м]])),AN423/SQRT(Таблица_pr6[[#This Row],[Удельное сопротивление грунта, Ом·м]]))</f>
        <v/>
      </c>
      <c r="AQ423" s="51"/>
      <c r="AR423" s="52"/>
      <c r="AS423" s="50"/>
      <c r="AT423" s="61" t="str">
        <f t="shared" si="44"/>
        <v/>
      </c>
      <c r="AU423" s="61" t="str">
        <f>IFERROR(IF(AR423-AR422&lt;=0,"",AT423/SQRT(Таблица_pr7[[#This Row],[Удельное сопротивление грунта, Ом·м]])),AT423/SQRT(Таблица_pr7[[#This Row],[Удельное сопротивление грунта, Ом·м]]))</f>
        <v/>
      </c>
      <c r="AW423" s="51"/>
      <c r="AX423" s="52"/>
      <c r="AY423" s="50"/>
      <c r="AZ423" s="61" t="str">
        <f t="shared" si="51"/>
        <v/>
      </c>
      <c r="BA423" s="61" t="str">
        <f>IFERROR(IF(AX423-AX422&lt;=0,"",AZ423/SQRT(Таблица_pr8[[#This Row],[Удельное сопротивление грунта, Ом·м]])),AZ423/SQRT(Таблица_pr8[[#This Row],[Удельное сопротивление грунта, Ом·м]]))</f>
        <v/>
      </c>
      <c r="BC423" s="51"/>
      <c r="BD423" s="52"/>
      <c r="BE423" s="50"/>
      <c r="BF423" s="61" t="str">
        <f t="shared" si="45"/>
        <v/>
      </c>
      <c r="BG423" s="61" t="str">
        <f>IFERROR(IF(BD423-AX442&lt;=0,"",BF423/SQRT(Таблица_pr9[[#This Row],[Удельное сопротивление грунта, Ом·м]])),BF423/SQRT(Таблица_pr9[[#This Row],[Удельное сопротивление грунта, Ом·м]]))</f>
        <v/>
      </c>
      <c r="BI423" s="51"/>
      <c r="BJ423" s="52"/>
      <c r="BK423" s="50"/>
      <c r="BL423" s="61" t="str">
        <f t="shared" si="52"/>
        <v/>
      </c>
      <c r="BM423" s="61" t="str">
        <f>IFERROR(IF(BJ423-BD452&lt;=0,"",BL423/SQRT(Таблица_pr10[[#This Row],[Удельное сопротивление грунта, Ом·м]])),BL423/SQRT(Таблица_pr10[[#This Row],[Удельное сопротивление грунта, Ом·м]]))</f>
        <v/>
      </c>
    </row>
    <row r="424" spans="1:65">
      <c r="A424" s="53"/>
      <c r="B424" s="52"/>
      <c r="C424" s="50"/>
      <c r="E424" s="61" t="str">
        <f>IFERROR(IF(B424-B423&lt;=0,"",D424/SQRT(Таблица_pr[[#This Row],[Удельное сопротивление грунта, Ом·м]])),D424/SQRT(Таблица_pr[[#This Row],[Удельное сопротивление грунта, Ом·м]]))</f>
        <v/>
      </c>
      <c r="G424" s="188"/>
      <c r="H424" s="184"/>
      <c r="I424" s="182"/>
      <c r="J424" s="181"/>
      <c r="K424" s="61" t="str">
        <f>IFERROR(IF(H424-H423&lt;=0,"",J424/SQRT(Таблица_pr1[[#This Row],[Удельное сопротивление грунта, Ом·м]])),J424/SQRT(Таблица_pr1[[#This Row],[Удельное сопротивление грунта, Ом·м]]))</f>
        <v/>
      </c>
      <c r="M424" s="53"/>
      <c r="N424" s="52"/>
      <c r="O424" s="50"/>
      <c r="P424" s="61" t="str">
        <f t="shared" si="48"/>
        <v/>
      </c>
      <c r="Q424" s="61" t="str">
        <f>IFERROR(IF(N424-N423&lt;=0,"",P424/SQRT(Таблица_pr2[[#This Row],[Удельное сопротивление грунта, Ом·м]])),P424/SQRT(Таблица_pr2[[#This Row],[Удельное сопротивление грунта, Ом·м]]))</f>
        <v/>
      </c>
      <c r="S424" s="53"/>
      <c r="T424" s="52"/>
      <c r="U424" s="50"/>
      <c r="V424" s="61" t="str">
        <f t="shared" si="42"/>
        <v/>
      </c>
      <c r="W424" s="61" t="str">
        <f>IFERROR(IF(T424-T423&lt;=0,"",V424/SQRT(Таблица_pr3[[#This Row],[Удельное сопротивление грунта, Ом·м]])),V424/SQRT(Таблица_pr3[[#This Row],[Удельное сопротивление грунта, Ом·м]]))</f>
        <v/>
      </c>
      <c r="Y424" s="53"/>
      <c r="Z424" s="52"/>
      <c r="AA424" s="50"/>
      <c r="AB424" s="61" t="str">
        <f t="shared" si="49"/>
        <v/>
      </c>
      <c r="AC424" s="61" t="str">
        <f>IFERROR(IF(Z424-Z423&lt;=0,"",AB424/SQRT(Таблица_pr4[[#This Row],[Удельное сопротивление грунта, Ом·м]])),AB424/SQRT(Таблица_pr4[[#This Row],[Удельное сопротивление грунта, Ом·м]]))</f>
        <v/>
      </c>
      <c r="AE424" s="53"/>
      <c r="AF424" s="52"/>
      <c r="AG424" s="50"/>
      <c r="AH424" s="61" t="str">
        <f t="shared" si="43"/>
        <v/>
      </c>
      <c r="AI424" s="61" t="str">
        <f>IFERROR(IF(AF424-AF423&lt;=0,"",AH424/SQRT(Таблица_pr5[[#This Row],[Удельное сопротивление грунта, Ом·м]])),AH424/SQRT(Таблица_pr5[[#This Row],[Удельное сопротивление грунта, Ом·м]]))</f>
        <v/>
      </c>
      <c r="AK424" s="53"/>
      <c r="AL424" s="52"/>
      <c r="AM424" s="50"/>
      <c r="AN424" s="61" t="str">
        <f t="shared" si="50"/>
        <v/>
      </c>
      <c r="AO424" s="61" t="str">
        <f>IFERROR(IF(AL424-AL423&lt;=0,"",AN424/SQRT(Таблица_pr6[[#This Row],[Удельное сопротивление грунта, Ом·м]])),AN424/SQRT(Таблица_pr6[[#This Row],[Удельное сопротивление грунта, Ом·м]]))</f>
        <v/>
      </c>
      <c r="AQ424" s="53"/>
      <c r="AR424" s="52"/>
      <c r="AS424" s="50"/>
      <c r="AT424" s="61" t="str">
        <f t="shared" si="44"/>
        <v/>
      </c>
      <c r="AU424" s="61" t="str">
        <f>IFERROR(IF(AR424-AR423&lt;=0,"",AT424/SQRT(Таблица_pr7[[#This Row],[Удельное сопротивление грунта, Ом·м]])),AT424/SQRT(Таблица_pr7[[#This Row],[Удельное сопротивление грунта, Ом·м]]))</f>
        <v/>
      </c>
      <c r="AW424" s="53"/>
      <c r="AX424" s="52"/>
      <c r="AY424" s="50"/>
      <c r="AZ424" s="61" t="str">
        <f t="shared" si="51"/>
        <v/>
      </c>
      <c r="BA424" s="61" t="str">
        <f>IFERROR(IF(AX424-AX423&lt;=0,"",AZ424/SQRT(Таблица_pr8[[#This Row],[Удельное сопротивление грунта, Ом·м]])),AZ424/SQRT(Таблица_pr8[[#This Row],[Удельное сопротивление грунта, Ом·м]]))</f>
        <v/>
      </c>
      <c r="BC424" s="53"/>
      <c r="BD424" s="52"/>
      <c r="BE424" s="50"/>
      <c r="BF424" s="61" t="str">
        <f t="shared" si="45"/>
        <v/>
      </c>
      <c r="BG424" s="61" t="str">
        <f>IFERROR(IF(BD424-AX443&lt;=0,"",BF424/SQRT(Таблица_pr9[[#This Row],[Удельное сопротивление грунта, Ом·м]])),BF424/SQRT(Таблица_pr9[[#This Row],[Удельное сопротивление грунта, Ом·м]]))</f>
        <v/>
      </c>
      <c r="BI424" s="53"/>
      <c r="BJ424" s="52"/>
      <c r="BK424" s="50"/>
      <c r="BL424" s="61" t="str">
        <f t="shared" si="52"/>
        <v/>
      </c>
      <c r="BM424" s="61" t="str">
        <f>IFERROR(IF(BJ424-BD453&lt;=0,"",BL424/SQRT(Таблица_pr10[[#This Row],[Удельное сопротивление грунта, Ом·м]])),BL424/SQRT(Таблица_pr10[[#This Row],[Удельное сопротивление грунта, Ом·м]]))</f>
        <v/>
      </c>
    </row>
    <row r="425" spans="1:65">
      <c r="A425" s="51"/>
      <c r="B425" s="52"/>
      <c r="C425" s="50"/>
      <c r="E425" s="61" t="str">
        <f>IFERROR(IF(B425-B424&lt;=0,"",D425/SQRT(Таблица_pr[[#This Row],[Удельное сопротивление грунта, Ом·м]])),D425/SQRT(Таблица_pr[[#This Row],[Удельное сопротивление грунта, Ом·м]]))</f>
        <v/>
      </c>
      <c r="G425" s="189"/>
      <c r="H425" s="185"/>
      <c r="I425" s="183"/>
      <c r="J425" s="180"/>
      <c r="K425" s="61" t="str">
        <f>IFERROR(IF(H425-H424&lt;=0,"",J425/SQRT(Таблица_pr1[[#This Row],[Удельное сопротивление грунта, Ом·м]])),J425/SQRT(Таблица_pr1[[#This Row],[Удельное сопротивление грунта, Ом·м]]))</f>
        <v/>
      </c>
      <c r="M425" s="51"/>
      <c r="N425" s="52"/>
      <c r="O425" s="50"/>
      <c r="P425" s="61" t="str">
        <f t="shared" si="48"/>
        <v/>
      </c>
      <c r="Q425" s="61" t="str">
        <f>IFERROR(IF(N425-N424&lt;=0,"",P425/SQRT(Таблица_pr2[[#This Row],[Удельное сопротивление грунта, Ом·м]])),P425/SQRT(Таблица_pr2[[#This Row],[Удельное сопротивление грунта, Ом·м]]))</f>
        <v/>
      </c>
      <c r="S425" s="51"/>
      <c r="T425" s="52"/>
      <c r="U425" s="50"/>
      <c r="V425" s="61" t="str">
        <f t="shared" si="42"/>
        <v/>
      </c>
      <c r="W425" s="61" t="str">
        <f>IFERROR(IF(T425-T424&lt;=0,"",V425/SQRT(Таблица_pr3[[#This Row],[Удельное сопротивление грунта, Ом·м]])),V425/SQRT(Таблица_pr3[[#This Row],[Удельное сопротивление грунта, Ом·м]]))</f>
        <v/>
      </c>
      <c r="Y425" s="51"/>
      <c r="Z425" s="52"/>
      <c r="AA425" s="50"/>
      <c r="AB425" s="61" t="str">
        <f t="shared" si="49"/>
        <v/>
      </c>
      <c r="AC425" s="61" t="str">
        <f>IFERROR(IF(Z425-Z424&lt;=0,"",AB425/SQRT(Таблица_pr4[[#This Row],[Удельное сопротивление грунта, Ом·м]])),AB425/SQRT(Таблица_pr4[[#This Row],[Удельное сопротивление грунта, Ом·м]]))</f>
        <v/>
      </c>
      <c r="AE425" s="51"/>
      <c r="AF425" s="52"/>
      <c r="AG425" s="50"/>
      <c r="AH425" s="61" t="str">
        <f t="shared" si="43"/>
        <v/>
      </c>
      <c r="AI425" s="61" t="str">
        <f>IFERROR(IF(AF425-AF424&lt;=0,"",AH425/SQRT(Таблица_pr5[[#This Row],[Удельное сопротивление грунта, Ом·м]])),AH425/SQRT(Таблица_pr5[[#This Row],[Удельное сопротивление грунта, Ом·м]]))</f>
        <v/>
      </c>
      <c r="AK425" s="51"/>
      <c r="AL425" s="52"/>
      <c r="AM425" s="50"/>
      <c r="AN425" s="61" t="str">
        <f t="shared" si="50"/>
        <v/>
      </c>
      <c r="AO425" s="61" t="str">
        <f>IFERROR(IF(AL425-AL424&lt;=0,"",AN425/SQRT(Таблица_pr6[[#This Row],[Удельное сопротивление грунта, Ом·м]])),AN425/SQRT(Таблица_pr6[[#This Row],[Удельное сопротивление грунта, Ом·м]]))</f>
        <v/>
      </c>
      <c r="AQ425" s="51"/>
      <c r="AR425" s="52"/>
      <c r="AS425" s="50"/>
      <c r="AT425" s="61" t="str">
        <f t="shared" si="44"/>
        <v/>
      </c>
      <c r="AU425" s="61" t="str">
        <f>IFERROR(IF(AR425-AR424&lt;=0,"",AT425/SQRT(Таблица_pr7[[#This Row],[Удельное сопротивление грунта, Ом·м]])),AT425/SQRT(Таблица_pr7[[#This Row],[Удельное сопротивление грунта, Ом·м]]))</f>
        <v/>
      </c>
      <c r="AW425" s="51"/>
      <c r="AX425" s="52"/>
      <c r="AY425" s="50"/>
      <c r="AZ425" s="61" t="str">
        <f t="shared" si="51"/>
        <v/>
      </c>
      <c r="BA425" s="61" t="str">
        <f>IFERROR(IF(AX425-AX424&lt;=0,"",AZ425/SQRT(Таблица_pr8[[#This Row],[Удельное сопротивление грунта, Ом·м]])),AZ425/SQRT(Таблица_pr8[[#This Row],[Удельное сопротивление грунта, Ом·м]]))</f>
        <v/>
      </c>
      <c r="BC425" s="51"/>
      <c r="BD425" s="52"/>
      <c r="BE425" s="50"/>
      <c r="BF425" s="61" t="str">
        <f t="shared" si="45"/>
        <v/>
      </c>
      <c r="BG425" s="61" t="str">
        <f>IFERROR(IF(BD425-AX444&lt;=0,"",BF425/SQRT(Таблица_pr9[[#This Row],[Удельное сопротивление грунта, Ом·м]])),BF425/SQRT(Таблица_pr9[[#This Row],[Удельное сопротивление грунта, Ом·м]]))</f>
        <v/>
      </c>
      <c r="BI425" s="51"/>
      <c r="BJ425" s="52"/>
      <c r="BK425" s="50"/>
      <c r="BL425" s="61" t="str">
        <f t="shared" si="52"/>
        <v/>
      </c>
      <c r="BM425" s="61" t="str">
        <f>IFERROR(IF(BJ425-BD454&lt;=0,"",BL425/SQRT(Таблица_pr10[[#This Row],[Удельное сопротивление грунта, Ом·м]])),BL425/SQRT(Таблица_pr10[[#This Row],[Удельное сопротивление грунта, Ом·м]]))</f>
        <v/>
      </c>
    </row>
    <row r="426" spans="1:65">
      <c r="A426" s="53"/>
      <c r="B426" s="52"/>
      <c r="C426" s="50"/>
      <c r="E426" s="61" t="str">
        <f>IFERROR(IF(B426-B425&lt;=0,"",D426/SQRT(Таблица_pr[[#This Row],[Удельное сопротивление грунта, Ом·м]])),D426/SQRT(Таблица_pr[[#This Row],[Удельное сопротивление грунта, Ом·м]]))</f>
        <v/>
      </c>
      <c r="G426" s="188"/>
      <c r="H426" s="184"/>
      <c r="I426" s="182"/>
      <c r="J426" s="181"/>
      <c r="K426" s="61" t="str">
        <f>IFERROR(IF(H426-H425&lt;=0,"",J426/SQRT(Таблица_pr1[[#This Row],[Удельное сопротивление грунта, Ом·м]])),J426/SQRT(Таблица_pr1[[#This Row],[Удельное сопротивление грунта, Ом·м]]))</f>
        <v/>
      </c>
      <c r="M426" s="53"/>
      <c r="N426" s="52"/>
      <c r="O426" s="50"/>
      <c r="P426" s="61" t="str">
        <f t="shared" si="48"/>
        <v/>
      </c>
      <c r="Q426" s="61" t="str">
        <f>IFERROR(IF(N426-N425&lt;=0,"",P426/SQRT(Таблица_pr2[[#This Row],[Удельное сопротивление грунта, Ом·м]])),P426/SQRT(Таблица_pr2[[#This Row],[Удельное сопротивление грунта, Ом·м]]))</f>
        <v/>
      </c>
      <c r="S426" s="53"/>
      <c r="T426" s="52"/>
      <c r="U426" s="50"/>
      <c r="V426" s="61" t="str">
        <f t="shared" si="42"/>
        <v/>
      </c>
      <c r="W426" s="61" t="str">
        <f>IFERROR(IF(T426-T425&lt;=0,"",V426/SQRT(Таблица_pr3[[#This Row],[Удельное сопротивление грунта, Ом·м]])),V426/SQRT(Таблица_pr3[[#This Row],[Удельное сопротивление грунта, Ом·м]]))</f>
        <v/>
      </c>
      <c r="Y426" s="53"/>
      <c r="Z426" s="52"/>
      <c r="AA426" s="50"/>
      <c r="AB426" s="61" t="str">
        <f t="shared" si="49"/>
        <v/>
      </c>
      <c r="AC426" s="61" t="str">
        <f>IFERROR(IF(Z426-Z425&lt;=0,"",AB426/SQRT(Таблица_pr4[[#This Row],[Удельное сопротивление грунта, Ом·м]])),AB426/SQRT(Таблица_pr4[[#This Row],[Удельное сопротивление грунта, Ом·м]]))</f>
        <v/>
      </c>
      <c r="AE426" s="53"/>
      <c r="AF426" s="52"/>
      <c r="AG426" s="50"/>
      <c r="AH426" s="61" t="str">
        <f t="shared" si="43"/>
        <v/>
      </c>
      <c r="AI426" s="61" t="str">
        <f>IFERROR(IF(AF426-AF425&lt;=0,"",AH426/SQRT(Таблица_pr5[[#This Row],[Удельное сопротивление грунта, Ом·м]])),AH426/SQRT(Таблица_pr5[[#This Row],[Удельное сопротивление грунта, Ом·м]]))</f>
        <v/>
      </c>
      <c r="AK426" s="53"/>
      <c r="AL426" s="52"/>
      <c r="AM426" s="50"/>
      <c r="AN426" s="61" t="str">
        <f t="shared" si="50"/>
        <v/>
      </c>
      <c r="AO426" s="61" t="str">
        <f>IFERROR(IF(AL426-AL425&lt;=0,"",AN426/SQRT(Таблица_pr6[[#This Row],[Удельное сопротивление грунта, Ом·м]])),AN426/SQRT(Таблица_pr6[[#This Row],[Удельное сопротивление грунта, Ом·м]]))</f>
        <v/>
      </c>
      <c r="AQ426" s="53"/>
      <c r="AR426" s="52"/>
      <c r="AS426" s="50"/>
      <c r="AT426" s="61" t="str">
        <f t="shared" si="44"/>
        <v/>
      </c>
      <c r="AU426" s="61" t="str">
        <f>IFERROR(IF(AR426-AR425&lt;=0,"",AT426/SQRT(Таблица_pr7[[#This Row],[Удельное сопротивление грунта, Ом·м]])),AT426/SQRT(Таблица_pr7[[#This Row],[Удельное сопротивление грунта, Ом·м]]))</f>
        <v/>
      </c>
      <c r="AW426" s="53"/>
      <c r="AX426" s="52"/>
      <c r="AY426" s="50"/>
      <c r="AZ426" s="61" t="str">
        <f t="shared" si="51"/>
        <v/>
      </c>
      <c r="BA426" s="61" t="str">
        <f>IFERROR(IF(AX426-AX425&lt;=0,"",AZ426/SQRT(Таблица_pr8[[#This Row],[Удельное сопротивление грунта, Ом·м]])),AZ426/SQRT(Таблица_pr8[[#This Row],[Удельное сопротивление грунта, Ом·м]]))</f>
        <v/>
      </c>
      <c r="BC426" s="53"/>
      <c r="BD426" s="52"/>
      <c r="BE426" s="50"/>
      <c r="BF426" s="61" t="str">
        <f t="shared" si="45"/>
        <v/>
      </c>
      <c r="BG426" s="61" t="str">
        <f>IFERROR(IF(BD426-AX445&lt;=0,"",BF426/SQRT(Таблица_pr9[[#This Row],[Удельное сопротивление грунта, Ом·м]])),BF426/SQRT(Таблица_pr9[[#This Row],[Удельное сопротивление грунта, Ом·м]]))</f>
        <v/>
      </c>
      <c r="BI426" s="53"/>
      <c r="BJ426" s="52"/>
      <c r="BK426" s="50"/>
      <c r="BL426" s="61" t="str">
        <f t="shared" si="52"/>
        <v/>
      </c>
      <c r="BM426" s="61" t="str">
        <f>IFERROR(IF(BJ426-BD455&lt;=0,"",BL426/SQRT(Таблица_pr10[[#This Row],[Удельное сопротивление грунта, Ом·м]])),BL426/SQRT(Таблица_pr10[[#This Row],[Удельное сопротивление грунта, Ом·м]]))</f>
        <v/>
      </c>
    </row>
    <row r="427" spans="1:65">
      <c r="A427" s="51"/>
      <c r="B427" s="52"/>
      <c r="C427" s="50"/>
      <c r="E427" s="61" t="str">
        <f>IFERROR(IF(B427-B426&lt;=0,"",D427/SQRT(Таблица_pr[[#This Row],[Удельное сопротивление грунта, Ом·м]])),D427/SQRT(Таблица_pr[[#This Row],[Удельное сопротивление грунта, Ом·м]]))</f>
        <v/>
      </c>
      <c r="G427" s="189"/>
      <c r="H427" s="185"/>
      <c r="I427" s="183"/>
      <c r="J427" s="180"/>
      <c r="K427" s="61" t="str">
        <f>IFERROR(IF(H427-H426&lt;=0,"",J427/SQRT(Таблица_pr1[[#This Row],[Удельное сопротивление грунта, Ом·м]])),J427/SQRT(Таблица_pr1[[#This Row],[Удельное сопротивление грунта, Ом·м]]))</f>
        <v/>
      </c>
      <c r="M427" s="51"/>
      <c r="N427" s="52"/>
      <c r="O427" s="50"/>
      <c r="P427" s="61" t="str">
        <f t="shared" si="48"/>
        <v/>
      </c>
      <c r="Q427" s="61" t="str">
        <f>IFERROR(IF(N427-N426&lt;=0,"",P427/SQRT(Таблица_pr2[[#This Row],[Удельное сопротивление грунта, Ом·м]])),P427/SQRT(Таблица_pr2[[#This Row],[Удельное сопротивление грунта, Ом·м]]))</f>
        <v/>
      </c>
      <c r="S427" s="51"/>
      <c r="T427" s="52"/>
      <c r="U427" s="50"/>
      <c r="V427" s="61" t="str">
        <f t="shared" si="42"/>
        <v/>
      </c>
      <c r="W427" s="61" t="str">
        <f>IFERROR(IF(T427-T426&lt;=0,"",V427/SQRT(Таблица_pr3[[#This Row],[Удельное сопротивление грунта, Ом·м]])),V427/SQRT(Таблица_pr3[[#This Row],[Удельное сопротивление грунта, Ом·м]]))</f>
        <v/>
      </c>
      <c r="Y427" s="51"/>
      <c r="Z427" s="52"/>
      <c r="AA427" s="50"/>
      <c r="AB427" s="61" t="str">
        <f t="shared" si="49"/>
        <v/>
      </c>
      <c r="AC427" s="61" t="str">
        <f>IFERROR(IF(Z427-Z426&lt;=0,"",AB427/SQRT(Таблица_pr4[[#This Row],[Удельное сопротивление грунта, Ом·м]])),AB427/SQRT(Таблица_pr4[[#This Row],[Удельное сопротивление грунта, Ом·м]]))</f>
        <v/>
      </c>
      <c r="AE427" s="51"/>
      <c r="AF427" s="52"/>
      <c r="AG427" s="50"/>
      <c r="AH427" s="61" t="str">
        <f t="shared" si="43"/>
        <v/>
      </c>
      <c r="AI427" s="61" t="str">
        <f>IFERROR(IF(AF427-AF426&lt;=0,"",AH427/SQRT(Таблица_pr5[[#This Row],[Удельное сопротивление грунта, Ом·м]])),AH427/SQRT(Таблица_pr5[[#This Row],[Удельное сопротивление грунта, Ом·м]]))</f>
        <v/>
      </c>
      <c r="AK427" s="51"/>
      <c r="AL427" s="52"/>
      <c r="AM427" s="50"/>
      <c r="AN427" s="61" t="str">
        <f t="shared" si="50"/>
        <v/>
      </c>
      <c r="AO427" s="61" t="str">
        <f>IFERROR(IF(AL427-AL426&lt;=0,"",AN427/SQRT(Таблица_pr6[[#This Row],[Удельное сопротивление грунта, Ом·м]])),AN427/SQRT(Таблица_pr6[[#This Row],[Удельное сопротивление грунта, Ом·м]]))</f>
        <v/>
      </c>
      <c r="AQ427" s="51"/>
      <c r="AR427" s="52"/>
      <c r="AS427" s="50"/>
      <c r="AT427" s="61" t="str">
        <f t="shared" si="44"/>
        <v/>
      </c>
      <c r="AU427" s="61" t="str">
        <f>IFERROR(IF(AR427-AR426&lt;=0,"",AT427/SQRT(Таблица_pr7[[#This Row],[Удельное сопротивление грунта, Ом·м]])),AT427/SQRT(Таблица_pr7[[#This Row],[Удельное сопротивление грунта, Ом·м]]))</f>
        <v/>
      </c>
      <c r="AW427" s="51"/>
      <c r="AX427" s="52"/>
      <c r="AY427" s="50"/>
      <c r="AZ427" s="61" t="str">
        <f t="shared" si="51"/>
        <v/>
      </c>
      <c r="BA427" s="61" t="str">
        <f>IFERROR(IF(AX427-AX426&lt;=0,"",AZ427/SQRT(Таблица_pr8[[#This Row],[Удельное сопротивление грунта, Ом·м]])),AZ427/SQRT(Таблица_pr8[[#This Row],[Удельное сопротивление грунта, Ом·м]]))</f>
        <v/>
      </c>
      <c r="BC427" s="51"/>
      <c r="BD427" s="52"/>
      <c r="BE427" s="50"/>
      <c r="BF427" s="61" t="str">
        <f t="shared" si="45"/>
        <v/>
      </c>
      <c r="BG427" s="61" t="str">
        <f>IFERROR(IF(BD427-AX446&lt;=0,"",BF427/SQRT(Таблица_pr9[[#This Row],[Удельное сопротивление грунта, Ом·м]])),BF427/SQRT(Таблица_pr9[[#This Row],[Удельное сопротивление грунта, Ом·м]]))</f>
        <v/>
      </c>
      <c r="BI427" s="51"/>
      <c r="BJ427" s="52"/>
      <c r="BK427" s="50"/>
      <c r="BL427" s="61" t="str">
        <f t="shared" si="52"/>
        <v/>
      </c>
      <c r="BM427" s="61" t="str">
        <f>IFERROR(IF(BJ427-BD456&lt;=0,"",BL427/SQRT(Таблица_pr10[[#This Row],[Удельное сопротивление грунта, Ом·м]])),BL427/SQRT(Таблица_pr10[[#This Row],[Удельное сопротивление грунта, Ом·м]]))</f>
        <v/>
      </c>
    </row>
    <row r="428" spans="1:65">
      <c r="A428" s="53"/>
      <c r="B428" s="52"/>
      <c r="C428" s="50"/>
      <c r="E428" s="61" t="str">
        <f>IFERROR(IF(B428-B427&lt;=0,"",D428/SQRT(Таблица_pr[[#This Row],[Удельное сопротивление грунта, Ом·м]])),D428/SQRT(Таблица_pr[[#This Row],[Удельное сопротивление грунта, Ом·м]]))</f>
        <v/>
      </c>
      <c r="G428" s="188"/>
      <c r="H428" s="184"/>
      <c r="I428" s="182"/>
      <c r="J428" s="181"/>
      <c r="K428" s="61" t="str">
        <f>IFERROR(IF(H428-H427&lt;=0,"",J428/SQRT(Таблица_pr1[[#This Row],[Удельное сопротивление грунта, Ом·м]])),J428/SQRT(Таблица_pr1[[#This Row],[Удельное сопротивление грунта, Ом·м]]))</f>
        <v/>
      </c>
      <c r="M428" s="53"/>
      <c r="N428" s="52"/>
      <c r="O428" s="50"/>
      <c r="P428" s="61" t="str">
        <f t="shared" si="48"/>
        <v/>
      </c>
      <c r="Q428" s="61" t="str">
        <f>IFERROR(IF(N428-N427&lt;=0,"",P428/SQRT(Таблица_pr2[[#This Row],[Удельное сопротивление грунта, Ом·м]])),P428/SQRT(Таблица_pr2[[#This Row],[Удельное сопротивление грунта, Ом·м]]))</f>
        <v/>
      </c>
      <c r="S428" s="53"/>
      <c r="T428" s="52"/>
      <c r="U428" s="50"/>
      <c r="V428" s="61" t="str">
        <f t="shared" si="42"/>
        <v/>
      </c>
      <c r="W428" s="61" t="str">
        <f>IFERROR(IF(T428-T427&lt;=0,"",V428/SQRT(Таблица_pr3[[#This Row],[Удельное сопротивление грунта, Ом·м]])),V428/SQRT(Таблица_pr3[[#This Row],[Удельное сопротивление грунта, Ом·м]]))</f>
        <v/>
      </c>
      <c r="Y428" s="53"/>
      <c r="Z428" s="52"/>
      <c r="AA428" s="50"/>
      <c r="AB428" s="61" t="str">
        <f t="shared" si="49"/>
        <v/>
      </c>
      <c r="AC428" s="61" t="str">
        <f>IFERROR(IF(Z428-Z427&lt;=0,"",AB428/SQRT(Таблица_pr4[[#This Row],[Удельное сопротивление грунта, Ом·м]])),AB428/SQRT(Таблица_pr4[[#This Row],[Удельное сопротивление грунта, Ом·м]]))</f>
        <v/>
      </c>
      <c r="AE428" s="53"/>
      <c r="AF428" s="52"/>
      <c r="AG428" s="50"/>
      <c r="AH428" s="61" t="str">
        <f t="shared" si="43"/>
        <v/>
      </c>
      <c r="AI428" s="61" t="str">
        <f>IFERROR(IF(AF428-AF427&lt;=0,"",AH428/SQRT(Таблица_pr5[[#This Row],[Удельное сопротивление грунта, Ом·м]])),AH428/SQRT(Таблица_pr5[[#This Row],[Удельное сопротивление грунта, Ом·м]]))</f>
        <v/>
      </c>
      <c r="AK428" s="53"/>
      <c r="AL428" s="52"/>
      <c r="AM428" s="50"/>
      <c r="AN428" s="61" t="str">
        <f t="shared" si="50"/>
        <v/>
      </c>
      <c r="AO428" s="61" t="str">
        <f>IFERROR(IF(AL428-AL427&lt;=0,"",AN428/SQRT(Таблица_pr6[[#This Row],[Удельное сопротивление грунта, Ом·м]])),AN428/SQRT(Таблица_pr6[[#This Row],[Удельное сопротивление грунта, Ом·м]]))</f>
        <v/>
      </c>
      <c r="AQ428" s="53"/>
      <c r="AR428" s="52"/>
      <c r="AS428" s="50"/>
      <c r="AT428" s="61" t="str">
        <f t="shared" si="44"/>
        <v/>
      </c>
      <c r="AU428" s="61" t="str">
        <f>IFERROR(IF(AR428-AR427&lt;=0,"",AT428/SQRT(Таблица_pr7[[#This Row],[Удельное сопротивление грунта, Ом·м]])),AT428/SQRT(Таблица_pr7[[#This Row],[Удельное сопротивление грунта, Ом·м]]))</f>
        <v/>
      </c>
      <c r="AW428" s="53"/>
      <c r="AX428" s="52"/>
      <c r="AY428" s="50"/>
      <c r="AZ428" s="61" t="str">
        <f t="shared" si="51"/>
        <v/>
      </c>
      <c r="BA428" s="61" t="str">
        <f>IFERROR(IF(AX428-AX427&lt;=0,"",AZ428/SQRT(Таблица_pr8[[#This Row],[Удельное сопротивление грунта, Ом·м]])),AZ428/SQRT(Таблица_pr8[[#This Row],[Удельное сопротивление грунта, Ом·м]]))</f>
        <v/>
      </c>
      <c r="BC428" s="53"/>
      <c r="BD428" s="52"/>
      <c r="BE428" s="50"/>
      <c r="BF428" s="61" t="str">
        <f t="shared" si="45"/>
        <v/>
      </c>
      <c r="BG428" s="61" t="str">
        <f>IFERROR(IF(BD428-AX447&lt;=0,"",BF428/SQRT(Таблица_pr9[[#This Row],[Удельное сопротивление грунта, Ом·м]])),BF428/SQRT(Таблица_pr9[[#This Row],[Удельное сопротивление грунта, Ом·м]]))</f>
        <v/>
      </c>
      <c r="BI428" s="53"/>
      <c r="BJ428" s="52"/>
      <c r="BK428" s="50"/>
      <c r="BL428" s="61" t="str">
        <f t="shared" si="52"/>
        <v/>
      </c>
      <c r="BM428" s="61" t="str">
        <f>IFERROR(IF(BJ428-BD457&lt;=0,"",BL428/SQRT(Таблица_pr10[[#This Row],[Удельное сопротивление грунта, Ом·м]])),BL428/SQRT(Таблица_pr10[[#This Row],[Удельное сопротивление грунта, Ом·м]]))</f>
        <v/>
      </c>
    </row>
    <row r="429" spans="1:65">
      <c r="A429" s="51"/>
      <c r="B429" s="52"/>
      <c r="C429" s="50"/>
      <c r="E429" s="61" t="str">
        <f>IFERROR(IF(B429-B428&lt;=0,"",D429/SQRT(Таблица_pr[[#This Row],[Удельное сопротивление грунта, Ом·м]])),D429/SQRT(Таблица_pr[[#This Row],[Удельное сопротивление грунта, Ом·м]]))</f>
        <v/>
      </c>
      <c r="G429" s="189"/>
      <c r="H429" s="185"/>
      <c r="I429" s="183"/>
      <c r="J429" s="180"/>
      <c r="K429" s="61" t="str">
        <f>IFERROR(IF(H429-H428&lt;=0,"",J429/SQRT(Таблица_pr1[[#This Row],[Удельное сопротивление грунта, Ом·м]])),J429/SQRT(Таблица_pr1[[#This Row],[Удельное сопротивление грунта, Ом·м]]))</f>
        <v/>
      </c>
      <c r="M429" s="51"/>
      <c r="N429" s="52"/>
      <c r="O429" s="50"/>
      <c r="P429" s="61" t="str">
        <f t="shared" si="48"/>
        <v/>
      </c>
      <c r="Q429" s="61" t="str">
        <f>IFERROR(IF(N429-N428&lt;=0,"",P429/SQRT(Таблица_pr2[[#This Row],[Удельное сопротивление грунта, Ом·м]])),P429/SQRT(Таблица_pr2[[#This Row],[Удельное сопротивление грунта, Ом·м]]))</f>
        <v/>
      </c>
      <c r="S429" s="51"/>
      <c r="T429" s="52"/>
      <c r="U429" s="50"/>
      <c r="V429" s="61" t="str">
        <f t="shared" si="42"/>
        <v/>
      </c>
      <c r="W429" s="61" t="str">
        <f>IFERROR(IF(T429-T428&lt;=0,"",V429/SQRT(Таблица_pr3[[#This Row],[Удельное сопротивление грунта, Ом·м]])),V429/SQRT(Таблица_pr3[[#This Row],[Удельное сопротивление грунта, Ом·м]]))</f>
        <v/>
      </c>
      <c r="Y429" s="51"/>
      <c r="Z429" s="52"/>
      <c r="AA429" s="50"/>
      <c r="AB429" s="61" t="str">
        <f t="shared" si="49"/>
        <v/>
      </c>
      <c r="AC429" s="61" t="str">
        <f>IFERROR(IF(Z429-Z428&lt;=0,"",AB429/SQRT(Таблица_pr4[[#This Row],[Удельное сопротивление грунта, Ом·м]])),AB429/SQRT(Таблица_pr4[[#This Row],[Удельное сопротивление грунта, Ом·м]]))</f>
        <v/>
      </c>
      <c r="AE429" s="51"/>
      <c r="AF429" s="52"/>
      <c r="AG429" s="50"/>
      <c r="AH429" s="61" t="str">
        <f t="shared" si="43"/>
        <v/>
      </c>
      <c r="AI429" s="61" t="str">
        <f>IFERROR(IF(AF429-AF428&lt;=0,"",AH429/SQRT(Таблица_pr5[[#This Row],[Удельное сопротивление грунта, Ом·м]])),AH429/SQRT(Таблица_pr5[[#This Row],[Удельное сопротивление грунта, Ом·м]]))</f>
        <v/>
      </c>
      <c r="AK429" s="51"/>
      <c r="AL429" s="52"/>
      <c r="AM429" s="50"/>
      <c r="AN429" s="61" t="str">
        <f t="shared" si="50"/>
        <v/>
      </c>
      <c r="AO429" s="61" t="str">
        <f>IFERROR(IF(AL429-AL428&lt;=0,"",AN429/SQRT(Таблица_pr6[[#This Row],[Удельное сопротивление грунта, Ом·м]])),AN429/SQRT(Таблица_pr6[[#This Row],[Удельное сопротивление грунта, Ом·м]]))</f>
        <v/>
      </c>
      <c r="AQ429" s="51"/>
      <c r="AR429" s="52"/>
      <c r="AS429" s="50"/>
      <c r="AT429" s="61" t="str">
        <f t="shared" si="44"/>
        <v/>
      </c>
      <c r="AU429" s="61" t="str">
        <f>IFERROR(IF(AR429-AR428&lt;=0,"",AT429/SQRT(Таблица_pr7[[#This Row],[Удельное сопротивление грунта, Ом·м]])),AT429/SQRT(Таблица_pr7[[#This Row],[Удельное сопротивление грунта, Ом·м]]))</f>
        <v/>
      </c>
      <c r="AW429" s="51"/>
      <c r="AX429" s="52"/>
      <c r="AY429" s="50"/>
      <c r="AZ429" s="61" t="str">
        <f t="shared" si="51"/>
        <v/>
      </c>
      <c r="BA429" s="61" t="str">
        <f>IFERROR(IF(AX429-AX428&lt;=0,"",AZ429/SQRT(Таблица_pr8[[#This Row],[Удельное сопротивление грунта, Ом·м]])),AZ429/SQRT(Таблица_pr8[[#This Row],[Удельное сопротивление грунта, Ом·м]]))</f>
        <v/>
      </c>
      <c r="BC429" s="51"/>
      <c r="BD429" s="52"/>
      <c r="BE429" s="50"/>
      <c r="BF429" s="61" t="str">
        <f t="shared" si="45"/>
        <v/>
      </c>
      <c r="BG429" s="61" t="str">
        <f>IFERROR(IF(BD429-AX448&lt;=0,"",BF429/SQRT(Таблица_pr9[[#This Row],[Удельное сопротивление грунта, Ом·м]])),BF429/SQRT(Таблица_pr9[[#This Row],[Удельное сопротивление грунта, Ом·м]]))</f>
        <v/>
      </c>
      <c r="BI429" s="51"/>
      <c r="BJ429" s="52"/>
      <c r="BK429" s="50"/>
      <c r="BL429" s="61" t="str">
        <f t="shared" si="52"/>
        <v/>
      </c>
      <c r="BM429" s="61" t="str">
        <f>IFERROR(IF(BJ429-BD458&lt;=0,"",BL429/SQRT(Таблица_pr10[[#This Row],[Удельное сопротивление грунта, Ом·м]])),BL429/SQRT(Таблица_pr10[[#This Row],[Удельное сопротивление грунта, Ом·м]]))</f>
        <v/>
      </c>
    </row>
    <row r="430" spans="1:65">
      <c r="A430" s="53"/>
      <c r="B430" s="52"/>
      <c r="C430" s="50"/>
      <c r="E430" s="61" t="str">
        <f>IFERROR(IF(B430-B429&lt;=0,"",D430/SQRT(Таблица_pr[[#This Row],[Удельное сопротивление грунта, Ом·м]])),D430/SQRT(Таблица_pr[[#This Row],[Удельное сопротивление грунта, Ом·м]]))</f>
        <v/>
      </c>
      <c r="G430" s="188"/>
      <c r="H430" s="184"/>
      <c r="I430" s="182"/>
      <c r="J430" s="181"/>
      <c r="K430" s="61" t="str">
        <f>IFERROR(IF(H430-H429&lt;=0,"",J430/SQRT(Таблица_pr1[[#This Row],[Удельное сопротивление грунта, Ом·м]])),J430/SQRT(Таблица_pr1[[#This Row],[Удельное сопротивление грунта, Ом·м]]))</f>
        <v/>
      </c>
      <c r="M430" s="53"/>
      <c r="N430" s="52"/>
      <c r="O430" s="50"/>
      <c r="P430" s="61" t="str">
        <f t="shared" si="48"/>
        <v/>
      </c>
      <c r="Q430" s="61" t="str">
        <f>IFERROR(IF(N430-N429&lt;=0,"",P430/SQRT(Таблица_pr2[[#This Row],[Удельное сопротивление грунта, Ом·м]])),P430/SQRT(Таблица_pr2[[#This Row],[Удельное сопротивление грунта, Ом·м]]))</f>
        <v/>
      </c>
      <c r="S430" s="53"/>
      <c r="T430" s="52"/>
      <c r="U430" s="50"/>
      <c r="V430" s="61" t="str">
        <f t="shared" si="42"/>
        <v/>
      </c>
      <c r="W430" s="61" t="str">
        <f>IFERROR(IF(T430-T429&lt;=0,"",V430/SQRT(Таблица_pr3[[#This Row],[Удельное сопротивление грунта, Ом·м]])),V430/SQRT(Таблица_pr3[[#This Row],[Удельное сопротивление грунта, Ом·м]]))</f>
        <v/>
      </c>
      <c r="Y430" s="53"/>
      <c r="Z430" s="52"/>
      <c r="AA430" s="50"/>
      <c r="AB430" s="61" t="str">
        <f t="shared" si="49"/>
        <v/>
      </c>
      <c r="AC430" s="61" t="str">
        <f>IFERROR(IF(Z430-Z429&lt;=0,"",AB430/SQRT(Таблица_pr4[[#This Row],[Удельное сопротивление грунта, Ом·м]])),AB430/SQRT(Таблица_pr4[[#This Row],[Удельное сопротивление грунта, Ом·м]]))</f>
        <v/>
      </c>
      <c r="AE430" s="53"/>
      <c r="AF430" s="52"/>
      <c r="AG430" s="50"/>
      <c r="AH430" s="61" t="str">
        <f t="shared" si="43"/>
        <v/>
      </c>
      <c r="AI430" s="61" t="str">
        <f>IFERROR(IF(AF430-AF429&lt;=0,"",AH430/SQRT(Таблица_pr5[[#This Row],[Удельное сопротивление грунта, Ом·м]])),AH430/SQRT(Таблица_pr5[[#This Row],[Удельное сопротивление грунта, Ом·м]]))</f>
        <v/>
      </c>
      <c r="AK430" s="53"/>
      <c r="AL430" s="52"/>
      <c r="AM430" s="50"/>
      <c r="AN430" s="61" t="str">
        <f t="shared" si="50"/>
        <v/>
      </c>
      <c r="AO430" s="61" t="str">
        <f>IFERROR(IF(AL430-AL429&lt;=0,"",AN430/SQRT(Таблица_pr6[[#This Row],[Удельное сопротивление грунта, Ом·м]])),AN430/SQRT(Таблица_pr6[[#This Row],[Удельное сопротивление грунта, Ом·м]]))</f>
        <v/>
      </c>
      <c r="AQ430" s="53"/>
      <c r="AR430" s="52"/>
      <c r="AS430" s="50"/>
      <c r="AT430" s="61" t="str">
        <f t="shared" si="44"/>
        <v/>
      </c>
      <c r="AU430" s="61" t="str">
        <f>IFERROR(IF(AR430-AR429&lt;=0,"",AT430/SQRT(Таблица_pr7[[#This Row],[Удельное сопротивление грунта, Ом·м]])),AT430/SQRT(Таблица_pr7[[#This Row],[Удельное сопротивление грунта, Ом·м]]))</f>
        <v/>
      </c>
      <c r="AW430" s="53"/>
      <c r="AX430" s="52"/>
      <c r="AY430" s="50"/>
      <c r="AZ430" s="61" t="str">
        <f t="shared" si="51"/>
        <v/>
      </c>
      <c r="BA430" s="61" t="str">
        <f>IFERROR(IF(AX430-AX429&lt;=0,"",AZ430/SQRT(Таблица_pr8[[#This Row],[Удельное сопротивление грунта, Ом·м]])),AZ430/SQRT(Таблица_pr8[[#This Row],[Удельное сопротивление грунта, Ом·м]]))</f>
        <v/>
      </c>
      <c r="BC430" s="53"/>
      <c r="BD430" s="52"/>
      <c r="BE430" s="50"/>
      <c r="BF430" s="61" t="str">
        <f t="shared" si="45"/>
        <v/>
      </c>
      <c r="BG430" s="61" t="str">
        <f>IFERROR(IF(BD430-AX449&lt;=0,"",BF430/SQRT(Таблица_pr9[[#This Row],[Удельное сопротивление грунта, Ом·м]])),BF430/SQRT(Таблица_pr9[[#This Row],[Удельное сопротивление грунта, Ом·м]]))</f>
        <v/>
      </c>
      <c r="BI430" s="53"/>
      <c r="BJ430" s="52"/>
      <c r="BK430" s="50"/>
      <c r="BL430" s="61" t="str">
        <f t="shared" si="52"/>
        <v/>
      </c>
      <c r="BM430" s="61" t="str">
        <f>IFERROR(IF(BJ430-BD459&lt;=0,"",BL430/SQRT(Таблица_pr10[[#This Row],[Удельное сопротивление грунта, Ом·м]])),BL430/SQRT(Таблица_pr10[[#This Row],[Удельное сопротивление грунта, Ом·м]]))</f>
        <v/>
      </c>
    </row>
    <row r="431" spans="1:65">
      <c r="A431" s="51"/>
      <c r="B431" s="52"/>
      <c r="C431" s="50"/>
      <c r="E431" s="61" t="str">
        <f>IFERROR(IF(B431-B430&lt;=0,"",D431/SQRT(Таблица_pr[[#This Row],[Удельное сопротивление грунта, Ом·м]])),D431/SQRT(Таблица_pr[[#This Row],[Удельное сопротивление грунта, Ом·м]]))</f>
        <v/>
      </c>
      <c r="G431" s="189"/>
      <c r="H431" s="185"/>
      <c r="I431" s="183"/>
      <c r="J431" s="180"/>
      <c r="K431" s="61" t="str">
        <f>IFERROR(IF(H431-H430&lt;=0,"",J431/SQRT(Таблица_pr1[[#This Row],[Удельное сопротивление грунта, Ом·м]])),J431/SQRT(Таблица_pr1[[#This Row],[Удельное сопротивление грунта, Ом·м]]))</f>
        <v/>
      </c>
      <c r="M431" s="51"/>
      <c r="N431" s="52"/>
      <c r="O431" s="50"/>
      <c r="P431" s="61" t="str">
        <f t="shared" si="48"/>
        <v/>
      </c>
      <c r="Q431" s="61" t="str">
        <f>IFERROR(IF(N431-N430&lt;=0,"",P431/SQRT(Таблица_pr2[[#This Row],[Удельное сопротивление грунта, Ом·м]])),P431/SQRT(Таблица_pr2[[#This Row],[Удельное сопротивление грунта, Ом·м]]))</f>
        <v/>
      </c>
      <c r="S431" s="51"/>
      <c r="T431" s="52"/>
      <c r="U431" s="50"/>
      <c r="V431" s="61" t="str">
        <f t="shared" si="42"/>
        <v/>
      </c>
      <c r="W431" s="61" t="str">
        <f>IFERROR(IF(T431-T430&lt;=0,"",V431/SQRT(Таблица_pr3[[#This Row],[Удельное сопротивление грунта, Ом·м]])),V431/SQRT(Таблица_pr3[[#This Row],[Удельное сопротивление грунта, Ом·м]]))</f>
        <v/>
      </c>
      <c r="Y431" s="51"/>
      <c r="Z431" s="52"/>
      <c r="AA431" s="50"/>
      <c r="AB431" s="61" t="str">
        <f t="shared" si="49"/>
        <v/>
      </c>
      <c r="AC431" s="61" t="str">
        <f>IFERROR(IF(Z431-Z430&lt;=0,"",AB431/SQRT(Таблица_pr4[[#This Row],[Удельное сопротивление грунта, Ом·м]])),AB431/SQRT(Таблица_pr4[[#This Row],[Удельное сопротивление грунта, Ом·м]]))</f>
        <v/>
      </c>
      <c r="AE431" s="51"/>
      <c r="AF431" s="52"/>
      <c r="AG431" s="50"/>
      <c r="AH431" s="61" t="str">
        <f t="shared" si="43"/>
        <v/>
      </c>
      <c r="AI431" s="61" t="str">
        <f>IFERROR(IF(AF431-AF430&lt;=0,"",AH431/SQRT(Таблица_pr5[[#This Row],[Удельное сопротивление грунта, Ом·м]])),AH431/SQRT(Таблица_pr5[[#This Row],[Удельное сопротивление грунта, Ом·м]]))</f>
        <v/>
      </c>
      <c r="AK431" s="51"/>
      <c r="AL431" s="52"/>
      <c r="AM431" s="50"/>
      <c r="AN431" s="61" t="str">
        <f t="shared" si="50"/>
        <v/>
      </c>
      <c r="AO431" s="61" t="str">
        <f>IFERROR(IF(AL431-AL430&lt;=0,"",AN431/SQRT(Таблица_pr6[[#This Row],[Удельное сопротивление грунта, Ом·м]])),AN431/SQRT(Таблица_pr6[[#This Row],[Удельное сопротивление грунта, Ом·м]]))</f>
        <v/>
      </c>
      <c r="AQ431" s="51"/>
      <c r="AR431" s="52"/>
      <c r="AS431" s="50"/>
      <c r="AT431" s="61" t="str">
        <f t="shared" si="44"/>
        <v/>
      </c>
      <c r="AU431" s="61" t="str">
        <f>IFERROR(IF(AR431-AR430&lt;=0,"",AT431/SQRT(Таблица_pr7[[#This Row],[Удельное сопротивление грунта, Ом·м]])),AT431/SQRT(Таблица_pr7[[#This Row],[Удельное сопротивление грунта, Ом·м]]))</f>
        <v/>
      </c>
      <c r="AW431" s="51"/>
      <c r="AX431" s="52"/>
      <c r="AY431" s="50"/>
      <c r="AZ431" s="61" t="str">
        <f t="shared" si="51"/>
        <v/>
      </c>
      <c r="BA431" s="61" t="str">
        <f>IFERROR(IF(AX431-AX430&lt;=0,"",AZ431/SQRT(Таблица_pr8[[#This Row],[Удельное сопротивление грунта, Ом·м]])),AZ431/SQRT(Таблица_pr8[[#This Row],[Удельное сопротивление грунта, Ом·м]]))</f>
        <v/>
      </c>
      <c r="BC431" s="51"/>
      <c r="BD431" s="52"/>
      <c r="BE431" s="50"/>
      <c r="BF431" s="61" t="str">
        <f t="shared" si="45"/>
        <v/>
      </c>
      <c r="BG431" s="61" t="str">
        <f>IFERROR(IF(BD431-AX450&lt;=0,"",BF431/SQRT(Таблица_pr9[[#This Row],[Удельное сопротивление грунта, Ом·м]])),BF431/SQRT(Таблица_pr9[[#This Row],[Удельное сопротивление грунта, Ом·м]]))</f>
        <v/>
      </c>
      <c r="BI431" s="51"/>
      <c r="BJ431" s="52"/>
      <c r="BK431" s="50"/>
      <c r="BL431" s="61" t="str">
        <f t="shared" si="52"/>
        <v/>
      </c>
      <c r="BM431" s="61" t="str">
        <f>IFERROR(IF(BJ431-BD460&lt;=0,"",BL431/SQRT(Таблица_pr10[[#This Row],[Удельное сопротивление грунта, Ом·м]])),BL431/SQRT(Таблица_pr10[[#This Row],[Удельное сопротивление грунта, Ом·м]]))</f>
        <v/>
      </c>
    </row>
    <row r="432" spans="1:65">
      <c r="A432" s="53"/>
      <c r="B432" s="52"/>
      <c r="C432" s="50"/>
      <c r="E432" s="61" t="str">
        <f>IFERROR(IF(B432-B431&lt;=0,"",D432/SQRT(Таблица_pr[[#This Row],[Удельное сопротивление грунта, Ом·м]])),D432/SQRT(Таблица_pr[[#This Row],[Удельное сопротивление грунта, Ом·м]]))</f>
        <v/>
      </c>
      <c r="G432" s="188"/>
      <c r="H432" s="184"/>
      <c r="I432" s="182"/>
      <c r="J432" s="181"/>
      <c r="K432" s="61" t="str">
        <f>IFERROR(IF(H432-H431&lt;=0,"",J432/SQRT(Таблица_pr1[[#This Row],[Удельное сопротивление грунта, Ом·м]])),J432/SQRT(Таблица_pr1[[#This Row],[Удельное сопротивление грунта, Ом·м]]))</f>
        <v/>
      </c>
      <c r="M432" s="53"/>
      <c r="N432" s="52"/>
      <c r="O432" s="50"/>
      <c r="P432" s="61" t="str">
        <f t="shared" si="48"/>
        <v/>
      </c>
      <c r="Q432" s="61" t="str">
        <f>IFERROR(IF(N432-N431&lt;=0,"",P432/SQRT(Таблица_pr2[[#This Row],[Удельное сопротивление грунта, Ом·м]])),P432/SQRT(Таблица_pr2[[#This Row],[Удельное сопротивление грунта, Ом·м]]))</f>
        <v/>
      </c>
      <c r="S432" s="53"/>
      <c r="T432" s="52"/>
      <c r="U432" s="50"/>
      <c r="V432" s="61" t="str">
        <f t="shared" si="42"/>
        <v/>
      </c>
      <c r="W432" s="61" t="str">
        <f>IFERROR(IF(T432-T431&lt;=0,"",V432/SQRT(Таблица_pr3[[#This Row],[Удельное сопротивление грунта, Ом·м]])),V432/SQRT(Таблица_pr3[[#This Row],[Удельное сопротивление грунта, Ом·м]]))</f>
        <v/>
      </c>
      <c r="Y432" s="53"/>
      <c r="Z432" s="52"/>
      <c r="AA432" s="50"/>
      <c r="AB432" s="61" t="str">
        <f t="shared" si="49"/>
        <v/>
      </c>
      <c r="AC432" s="61" t="str">
        <f>IFERROR(IF(Z432-Z431&lt;=0,"",AB432/SQRT(Таблица_pr4[[#This Row],[Удельное сопротивление грунта, Ом·м]])),AB432/SQRT(Таблица_pr4[[#This Row],[Удельное сопротивление грунта, Ом·м]]))</f>
        <v/>
      </c>
      <c r="AE432" s="53"/>
      <c r="AF432" s="52"/>
      <c r="AG432" s="50"/>
      <c r="AH432" s="61" t="str">
        <f t="shared" si="43"/>
        <v/>
      </c>
      <c r="AI432" s="61" t="str">
        <f>IFERROR(IF(AF432-AF431&lt;=0,"",AH432/SQRT(Таблица_pr5[[#This Row],[Удельное сопротивление грунта, Ом·м]])),AH432/SQRT(Таблица_pr5[[#This Row],[Удельное сопротивление грунта, Ом·м]]))</f>
        <v/>
      </c>
      <c r="AK432" s="53"/>
      <c r="AL432" s="52"/>
      <c r="AM432" s="50"/>
      <c r="AN432" s="61" t="str">
        <f t="shared" si="50"/>
        <v/>
      </c>
      <c r="AO432" s="61" t="str">
        <f>IFERROR(IF(AL432-AL431&lt;=0,"",AN432/SQRT(Таблица_pr6[[#This Row],[Удельное сопротивление грунта, Ом·м]])),AN432/SQRT(Таблица_pr6[[#This Row],[Удельное сопротивление грунта, Ом·м]]))</f>
        <v/>
      </c>
      <c r="AQ432" s="53"/>
      <c r="AR432" s="52"/>
      <c r="AS432" s="50"/>
      <c r="AT432" s="61" t="str">
        <f t="shared" si="44"/>
        <v/>
      </c>
      <c r="AU432" s="61" t="str">
        <f>IFERROR(IF(AR432-AR431&lt;=0,"",AT432/SQRT(Таблица_pr7[[#This Row],[Удельное сопротивление грунта, Ом·м]])),AT432/SQRT(Таблица_pr7[[#This Row],[Удельное сопротивление грунта, Ом·м]]))</f>
        <v/>
      </c>
      <c r="AW432" s="53"/>
      <c r="AX432" s="52"/>
      <c r="AY432" s="50"/>
      <c r="AZ432" s="61" t="str">
        <f t="shared" si="51"/>
        <v/>
      </c>
      <c r="BA432" s="61" t="str">
        <f>IFERROR(IF(AX432-AX431&lt;=0,"",AZ432/SQRT(Таблица_pr8[[#This Row],[Удельное сопротивление грунта, Ом·м]])),AZ432/SQRT(Таблица_pr8[[#This Row],[Удельное сопротивление грунта, Ом·м]]))</f>
        <v/>
      </c>
      <c r="BC432" s="53"/>
      <c r="BD432" s="52"/>
      <c r="BE432" s="50"/>
      <c r="BF432" s="61" t="str">
        <f t="shared" si="45"/>
        <v/>
      </c>
      <c r="BG432" s="61" t="str">
        <f>IFERROR(IF(BD432-AX451&lt;=0,"",BF432/SQRT(Таблица_pr9[[#This Row],[Удельное сопротивление грунта, Ом·м]])),BF432/SQRT(Таблица_pr9[[#This Row],[Удельное сопротивление грунта, Ом·м]]))</f>
        <v/>
      </c>
      <c r="BI432" s="53"/>
      <c r="BJ432" s="52"/>
      <c r="BK432" s="50"/>
      <c r="BL432" s="61" t="str">
        <f t="shared" si="52"/>
        <v/>
      </c>
      <c r="BM432" s="61" t="str">
        <f>IFERROR(IF(BJ432-BD461&lt;=0,"",BL432/SQRT(Таблица_pr10[[#This Row],[Удельное сопротивление грунта, Ом·м]])),BL432/SQRT(Таблица_pr10[[#This Row],[Удельное сопротивление грунта, Ом·м]]))</f>
        <v/>
      </c>
    </row>
    <row r="433" spans="1:65">
      <c r="A433" s="51"/>
      <c r="B433" s="52"/>
      <c r="C433" s="50"/>
      <c r="E433" s="61" t="str">
        <f>IFERROR(IF(B433-B432&lt;=0,"",D433/SQRT(Таблица_pr[[#This Row],[Удельное сопротивление грунта, Ом·м]])),D433/SQRT(Таблица_pr[[#This Row],[Удельное сопротивление грунта, Ом·м]]))</f>
        <v/>
      </c>
      <c r="G433" s="189"/>
      <c r="H433" s="185"/>
      <c r="I433" s="183"/>
      <c r="J433" s="180"/>
      <c r="K433" s="61" t="str">
        <f>IFERROR(IF(H433-H432&lt;=0,"",J433/SQRT(Таблица_pr1[[#This Row],[Удельное сопротивление грунта, Ом·м]])),J433/SQRT(Таблица_pr1[[#This Row],[Удельное сопротивление грунта, Ом·м]]))</f>
        <v/>
      </c>
      <c r="M433" s="51"/>
      <c r="N433" s="52"/>
      <c r="O433" s="50"/>
      <c r="P433" s="61" t="str">
        <f t="shared" si="48"/>
        <v/>
      </c>
      <c r="Q433" s="61" t="str">
        <f>IFERROR(IF(N433-N432&lt;=0,"",P433/SQRT(Таблица_pr2[[#This Row],[Удельное сопротивление грунта, Ом·м]])),P433/SQRT(Таблица_pr2[[#This Row],[Удельное сопротивление грунта, Ом·м]]))</f>
        <v/>
      </c>
      <c r="S433" s="51"/>
      <c r="T433" s="52"/>
      <c r="U433" s="50"/>
      <c r="V433" s="61" t="str">
        <f t="shared" si="42"/>
        <v/>
      </c>
      <c r="W433" s="61" t="str">
        <f>IFERROR(IF(T433-T432&lt;=0,"",V433/SQRT(Таблица_pr3[[#This Row],[Удельное сопротивление грунта, Ом·м]])),V433/SQRT(Таблица_pr3[[#This Row],[Удельное сопротивление грунта, Ом·м]]))</f>
        <v/>
      </c>
      <c r="Y433" s="51"/>
      <c r="Z433" s="52"/>
      <c r="AA433" s="50"/>
      <c r="AB433" s="61" t="str">
        <f t="shared" si="49"/>
        <v/>
      </c>
      <c r="AC433" s="61" t="str">
        <f>IFERROR(IF(Z433-Z432&lt;=0,"",AB433/SQRT(Таблица_pr4[[#This Row],[Удельное сопротивление грунта, Ом·м]])),AB433/SQRT(Таблица_pr4[[#This Row],[Удельное сопротивление грунта, Ом·м]]))</f>
        <v/>
      </c>
      <c r="AE433" s="51"/>
      <c r="AF433" s="52"/>
      <c r="AG433" s="50"/>
      <c r="AH433" s="61" t="str">
        <f t="shared" si="43"/>
        <v/>
      </c>
      <c r="AI433" s="61" t="str">
        <f>IFERROR(IF(AF433-AF432&lt;=0,"",AH433/SQRT(Таблица_pr5[[#This Row],[Удельное сопротивление грунта, Ом·м]])),AH433/SQRT(Таблица_pr5[[#This Row],[Удельное сопротивление грунта, Ом·м]]))</f>
        <v/>
      </c>
      <c r="AK433" s="51"/>
      <c r="AL433" s="52"/>
      <c r="AM433" s="50"/>
      <c r="AN433" s="61" t="str">
        <f t="shared" si="50"/>
        <v/>
      </c>
      <c r="AO433" s="61" t="str">
        <f>IFERROR(IF(AL433-AL432&lt;=0,"",AN433/SQRT(Таблица_pr6[[#This Row],[Удельное сопротивление грунта, Ом·м]])),AN433/SQRT(Таблица_pr6[[#This Row],[Удельное сопротивление грунта, Ом·м]]))</f>
        <v/>
      </c>
      <c r="AQ433" s="51"/>
      <c r="AR433" s="52"/>
      <c r="AS433" s="50"/>
      <c r="AT433" s="61" t="str">
        <f t="shared" si="44"/>
        <v/>
      </c>
      <c r="AU433" s="61" t="str">
        <f>IFERROR(IF(AR433-AR432&lt;=0,"",AT433/SQRT(Таблица_pr7[[#This Row],[Удельное сопротивление грунта, Ом·м]])),AT433/SQRT(Таблица_pr7[[#This Row],[Удельное сопротивление грунта, Ом·м]]))</f>
        <v/>
      </c>
      <c r="AW433" s="51"/>
      <c r="AX433" s="52"/>
      <c r="AY433" s="50"/>
      <c r="AZ433" s="61" t="str">
        <f t="shared" si="51"/>
        <v/>
      </c>
      <c r="BA433" s="61" t="str">
        <f>IFERROR(IF(AX433-AX432&lt;=0,"",AZ433/SQRT(Таблица_pr8[[#This Row],[Удельное сопротивление грунта, Ом·м]])),AZ433/SQRT(Таблица_pr8[[#This Row],[Удельное сопротивление грунта, Ом·м]]))</f>
        <v/>
      </c>
      <c r="BC433" s="51"/>
      <c r="BD433" s="52"/>
      <c r="BE433" s="50"/>
      <c r="BF433" s="61" t="str">
        <f t="shared" si="45"/>
        <v/>
      </c>
      <c r="BG433" s="61" t="str">
        <f>IFERROR(IF(BD433-AX452&lt;=0,"",BF433/SQRT(Таблица_pr9[[#This Row],[Удельное сопротивление грунта, Ом·м]])),BF433/SQRT(Таблица_pr9[[#This Row],[Удельное сопротивление грунта, Ом·м]]))</f>
        <v/>
      </c>
      <c r="BI433" s="51"/>
      <c r="BJ433" s="52"/>
      <c r="BK433" s="50"/>
      <c r="BL433" s="61" t="str">
        <f t="shared" si="52"/>
        <v/>
      </c>
      <c r="BM433" s="61" t="str">
        <f>IFERROR(IF(BJ433-BD462&lt;=0,"",BL433/SQRT(Таблица_pr10[[#This Row],[Удельное сопротивление грунта, Ом·м]])),BL433/SQRT(Таблица_pr10[[#This Row],[Удельное сопротивление грунта, Ом·м]]))</f>
        <v/>
      </c>
    </row>
    <row r="434" spans="1:65">
      <c r="A434" s="53"/>
      <c r="B434" s="52"/>
      <c r="C434" s="50"/>
      <c r="E434" s="61" t="str">
        <f>IFERROR(IF(B434-B433&lt;=0,"",D434/SQRT(Таблица_pr[[#This Row],[Удельное сопротивление грунта, Ом·м]])),D434/SQRT(Таблица_pr[[#This Row],[Удельное сопротивление грунта, Ом·м]]))</f>
        <v/>
      </c>
      <c r="G434" s="188"/>
      <c r="H434" s="184"/>
      <c r="I434" s="182"/>
      <c r="J434" s="181"/>
      <c r="K434" s="61" t="str">
        <f>IFERROR(IF(H434-H433&lt;=0,"",J434/SQRT(Таблица_pr1[[#This Row],[Удельное сопротивление грунта, Ом·м]])),J434/SQRT(Таблица_pr1[[#This Row],[Удельное сопротивление грунта, Ом·м]]))</f>
        <v/>
      </c>
      <c r="M434" s="53"/>
      <c r="N434" s="52"/>
      <c r="O434" s="50"/>
      <c r="P434" s="61" t="str">
        <f t="shared" si="48"/>
        <v/>
      </c>
      <c r="Q434" s="61" t="str">
        <f>IFERROR(IF(N434-N433&lt;=0,"",P434/SQRT(Таблица_pr2[[#This Row],[Удельное сопротивление грунта, Ом·м]])),P434/SQRT(Таблица_pr2[[#This Row],[Удельное сопротивление грунта, Ом·м]]))</f>
        <v/>
      </c>
      <c r="S434" s="53"/>
      <c r="T434" s="52"/>
      <c r="U434" s="50"/>
      <c r="V434" s="61" t="str">
        <f t="shared" si="42"/>
        <v/>
      </c>
      <c r="W434" s="61" t="str">
        <f>IFERROR(IF(T434-T433&lt;=0,"",V434/SQRT(Таблица_pr3[[#This Row],[Удельное сопротивление грунта, Ом·м]])),V434/SQRT(Таблица_pr3[[#This Row],[Удельное сопротивление грунта, Ом·м]]))</f>
        <v/>
      </c>
      <c r="Y434" s="53"/>
      <c r="Z434" s="52"/>
      <c r="AA434" s="50"/>
      <c r="AB434" s="61" t="str">
        <f t="shared" si="49"/>
        <v/>
      </c>
      <c r="AC434" s="61" t="str">
        <f>IFERROR(IF(Z434-Z433&lt;=0,"",AB434/SQRT(Таблица_pr4[[#This Row],[Удельное сопротивление грунта, Ом·м]])),AB434/SQRT(Таблица_pr4[[#This Row],[Удельное сопротивление грунта, Ом·м]]))</f>
        <v/>
      </c>
      <c r="AE434" s="53"/>
      <c r="AF434" s="52"/>
      <c r="AG434" s="50"/>
      <c r="AH434" s="61" t="str">
        <f t="shared" si="43"/>
        <v/>
      </c>
      <c r="AI434" s="61" t="str">
        <f>IFERROR(IF(AF434-AF433&lt;=0,"",AH434/SQRT(Таблица_pr5[[#This Row],[Удельное сопротивление грунта, Ом·м]])),AH434/SQRT(Таблица_pr5[[#This Row],[Удельное сопротивление грунта, Ом·м]]))</f>
        <v/>
      </c>
      <c r="AK434" s="53"/>
      <c r="AL434" s="52"/>
      <c r="AM434" s="50"/>
      <c r="AN434" s="61" t="str">
        <f t="shared" si="50"/>
        <v/>
      </c>
      <c r="AO434" s="61" t="str">
        <f>IFERROR(IF(AL434-AL433&lt;=0,"",AN434/SQRT(Таблица_pr6[[#This Row],[Удельное сопротивление грунта, Ом·м]])),AN434/SQRT(Таблица_pr6[[#This Row],[Удельное сопротивление грунта, Ом·м]]))</f>
        <v/>
      </c>
      <c r="AQ434" s="53"/>
      <c r="AR434" s="52"/>
      <c r="AS434" s="50"/>
      <c r="AT434" s="61" t="str">
        <f t="shared" si="44"/>
        <v/>
      </c>
      <c r="AU434" s="61" t="str">
        <f>IFERROR(IF(AR434-AR433&lt;=0,"",AT434/SQRT(Таблица_pr7[[#This Row],[Удельное сопротивление грунта, Ом·м]])),AT434/SQRT(Таблица_pr7[[#This Row],[Удельное сопротивление грунта, Ом·м]]))</f>
        <v/>
      </c>
      <c r="AW434" s="53"/>
      <c r="AX434" s="52"/>
      <c r="AY434" s="50"/>
      <c r="AZ434" s="61" t="str">
        <f t="shared" si="51"/>
        <v/>
      </c>
      <c r="BA434" s="61" t="str">
        <f>IFERROR(IF(AX434-AX433&lt;=0,"",AZ434/SQRT(Таблица_pr8[[#This Row],[Удельное сопротивление грунта, Ом·м]])),AZ434/SQRT(Таблица_pr8[[#This Row],[Удельное сопротивление грунта, Ом·м]]))</f>
        <v/>
      </c>
      <c r="BC434" s="53"/>
      <c r="BD434" s="52"/>
      <c r="BE434" s="50"/>
      <c r="BF434" s="61" t="str">
        <f t="shared" si="45"/>
        <v/>
      </c>
      <c r="BG434" s="61" t="str">
        <f>IFERROR(IF(BD434-AX453&lt;=0,"",BF434/SQRT(Таблица_pr9[[#This Row],[Удельное сопротивление грунта, Ом·м]])),BF434/SQRT(Таблица_pr9[[#This Row],[Удельное сопротивление грунта, Ом·м]]))</f>
        <v/>
      </c>
      <c r="BI434" s="53"/>
      <c r="BJ434" s="52"/>
      <c r="BK434" s="50"/>
      <c r="BL434" s="61" t="str">
        <f t="shared" si="52"/>
        <v/>
      </c>
      <c r="BM434" s="61" t="str">
        <f>IFERROR(IF(BJ434-BD463&lt;=0,"",BL434/SQRT(Таблица_pr10[[#This Row],[Удельное сопротивление грунта, Ом·м]])),BL434/SQRT(Таблица_pr10[[#This Row],[Удельное сопротивление грунта, Ом·м]]))</f>
        <v/>
      </c>
    </row>
    <row r="435" spans="1:65">
      <c r="A435" s="51"/>
      <c r="B435" s="52"/>
      <c r="C435" s="50"/>
      <c r="E435" s="61" t="str">
        <f>IFERROR(IF(B435-B434&lt;=0,"",D435/SQRT(Таблица_pr[[#This Row],[Удельное сопротивление грунта, Ом·м]])),D435/SQRT(Таблица_pr[[#This Row],[Удельное сопротивление грунта, Ом·м]]))</f>
        <v/>
      </c>
      <c r="G435" s="189"/>
      <c r="H435" s="185"/>
      <c r="I435" s="183"/>
      <c r="J435" s="180"/>
      <c r="K435" s="61" t="str">
        <f>IFERROR(IF(H435-H434&lt;=0,"",J435/SQRT(Таблица_pr1[[#This Row],[Удельное сопротивление грунта, Ом·м]])),J435/SQRT(Таблица_pr1[[#This Row],[Удельное сопротивление грунта, Ом·м]]))</f>
        <v/>
      </c>
      <c r="M435" s="51"/>
      <c r="N435" s="52"/>
      <c r="O435" s="50"/>
      <c r="P435" s="61" t="str">
        <f t="shared" si="48"/>
        <v/>
      </c>
      <c r="Q435" s="61" t="str">
        <f>IFERROR(IF(N435-N434&lt;=0,"",P435/SQRT(Таблица_pr2[[#This Row],[Удельное сопротивление грунта, Ом·м]])),P435/SQRT(Таблица_pr2[[#This Row],[Удельное сопротивление грунта, Ом·м]]))</f>
        <v/>
      </c>
      <c r="S435" s="51"/>
      <c r="T435" s="52"/>
      <c r="U435" s="50"/>
      <c r="V435" s="61" t="str">
        <f t="shared" si="42"/>
        <v/>
      </c>
      <c r="W435" s="61" t="str">
        <f>IFERROR(IF(T435-T434&lt;=0,"",V435/SQRT(Таблица_pr3[[#This Row],[Удельное сопротивление грунта, Ом·м]])),V435/SQRT(Таблица_pr3[[#This Row],[Удельное сопротивление грунта, Ом·м]]))</f>
        <v/>
      </c>
      <c r="Y435" s="51"/>
      <c r="Z435" s="52"/>
      <c r="AA435" s="50"/>
      <c r="AB435" s="61" t="str">
        <f t="shared" si="49"/>
        <v/>
      </c>
      <c r="AC435" s="61" t="str">
        <f>IFERROR(IF(Z435-Z434&lt;=0,"",AB435/SQRT(Таблица_pr4[[#This Row],[Удельное сопротивление грунта, Ом·м]])),AB435/SQRT(Таблица_pr4[[#This Row],[Удельное сопротивление грунта, Ом·м]]))</f>
        <v/>
      </c>
      <c r="AE435" s="51"/>
      <c r="AF435" s="52"/>
      <c r="AG435" s="50"/>
      <c r="AH435" s="61" t="str">
        <f t="shared" si="43"/>
        <v/>
      </c>
      <c r="AI435" s="61" t="str">
        <f>IFERROR(IF(AF435-AF434&lt;=0,"",AH435/SQRT(Таблица_pr5[[#This Row],[Удельное сопротивление грунта, Ом·м]])),AH435/SQRT(Таблица_pr5[[#This Row],[Удельное сопротивление грунта, Ом·м]]))</f>
        <v/>
      </c>
      <c r="AK435" s="51"/>
      <c r="AL435" s="52"/>
      <c r="AM435" s="50"/>
      <c r="AN435" s="61" t="str">
        <f t="shared" si="50"/>
        <v/>
      </c>
      <c r="AO435" s="61" t="str">
        <f>IFERROR(IF(AL435-AL434&lt;=0,"",AN435/SQRT(Таблица_pr6[[#This Row],[Удельное сопротивление грунта, Ом·м]])),AN435/SQRT(Таблица_pr6[[#This Row],[Удельное сопротивление грунта, Ом·м]]))</f>
        <v/>
      </c>
      <c r="AQ435" s="51"/>
      <c r="AR435" s="52"/>
      <c r="AS435" s="50"/>
      <c r="AT435" s="61" t="str">
        <f t="shared" si="44"/>
        <v/>
      </c>
      <c r="AU435" s="61" t="str">
        <f>IFERROR(IF(AR435-AR434&lt;=0,"",AT435/SQRT(Таблица_pr7[[#This Row],[Удельное сопротивление грунта, Ом·м]])),AT435/SQRT(Таблица_pr7[[#This Row],[Удельное сопротивление грунта, Ом·м]]))</f>
        <v/>
      </c>
      <c r="AW435" s="51"/>
      <c r="AX435" s="52"/>
      <c r="AY435" s="50"/>
      <c r="AZ435" s="61" t="str">
        <f t="shared" si="51"/>
        <v/>
      </c>
      <c r="BA435" s="61" t="str">
        <f>IFERROR(IF(AX435-AX434&lt;=0,"",AZ435/SQRT(Таблица_pr8[[#This Row],[Удельное сопротивление грунта, Ом·м]])),AZ435/SQRT(Таблица_pr8[[#This Row],[Удельное сопротивление грунта, Ом·м]]))</f>
        <v/>
      </c>
      <c r="BC435" s="51"/>
      <c r="BD435" s="52"/>
      <c r="BE435" s="50"/>
      <c r="BF435" s="61" t="str">
        <f t="shared" si="45"/>
        <v/>
      </c>
      <c r="BG435" s="61" t="str">
        <f>IFERROR(IF(BD435-AX454&lt;=0,"",BF435/SQRT(Таблица_pr9[[#This Row],[Удельное сопротивление грунта, Ом·м]])),BF435/SQRT(Таблица_pr9[[#This Row],[Удельное сопротивление грунта, Ом·м]]))</f>
        <v/>
      </c>
      <c r="BI435" s="51"/>
      <c r="BJ435" s="52"/>
      <c r="BK435" s="50"/>
      <c r="BL435" s="61" t="str">
        <f t="shared" si="52"/>
        <v/>
      </c>
      <c r="BM435" s="61" t="str">
        <f>IFERROR(IF(BJ435-BD464&lt;=0,"",BL435/SQRT(Таблица_pr10[[#This Row],[Удельное сопротивление грунта, Ом·м]])),BL435/SQRT(Таблица_pr10[[#This Row],[Удельное сопротивление грунта, Ом·м]]))</f>
        <v/>
      </c>
    </row>
    <row r="436" spans="1:65">
      <c r="A436" s="53"/>
      <c r="B436" s="52"/>
      <c r="C436" s="50"/>
      <c r="E436" s="61" t="str">
        <f>IFERROR(IF(B436-B435&lt;=0,"",D436/SQRT(Таблица_pr[[#This Row],[Удельное сопротивление грунта, Ом·м]])),D436/SQRT(Таблица_pr[[#This Row],[Удельное сопротивление грунта, Ом·м]]))</f>
        <v/>
      </c>
      <c r="G436" s="188"/>
      <c r="H436" s="184"/>
      <c r="I436" s="182"/>
      <c r="J436" s="181"/>
      <c r="K436" s="61" t="str">
        <f>IFERROR(IF(H436-H435&lt;=0,"",J436/SQRT(Таблица_pr1[[#This Row],[Удельное сопротивление грунта, Ом·м]])),J436/SQRT(Таблица_pr1[[#This Row],[Удельное сопротивление грунта, Ом·м]]))</f>
        <v/>
      </c>
      <c r="M436" s="53"/>
      <c r="N436" s="52"/>
      <c r="O436" s="50"/>
      <c r="P436" s="61" t="str">
        <f t="shared" si="48"/>
        <v/>
      </c>
      <c r="Q436" s="61" t="str">
        <f>IFERROR(IF(N436-N435&lt;=0,"",P436/SQRT(Таблица_pr2[[#This Row],[Удельное сопротивление грунта, Ом·м]])),P436/SQRT(Таблица_pr2[[#This Row],[Удельное сопротивление грунта, Ом·м]]))</f>
        <v/>
      </c>
      <c r="S436" s="53"/>
      <c r="T436" s="52"/>
      <c r="U436" s="50"/>
      <c r="V436" s="61" t="str">
        <f t="shared" si="42"/>
        <v/>
      </c>
      <c r="W436" s="61" t="str">
        <f>IFERROR(IF(T436-T435&lt;=0,"",V436/SQRT(Таблица_pr3[[#This Row],[Удельное сопротивление грунта, Ом·м]])),V436/SQRT(Таблица_pr3[[#This Row],[Удельное сопротивление грунта, Ом·м]]))</f>
        <v/>
      </c>
      <c r="Y436" s="53"/>
      <c r="Z436" s="52"/>
      <c r="AA436" s="50"/>
      <c r="AB436" s="61" t="str">
        <f t="shared" si="49"/>
        <v/>
      </c>
      <c r="AC436" s="61" t="str">
        <f>IFERROR(IF(Z436-Z435&lt;=0,"",AB436/SQRT(Таблица_pr4[[#This Row],[Удельное сопротивление грунта, Ом·м]])),AB436/SQRT(Таблица_pr4[[#This Row],[Удельное сопротивление грунта, Ом·м]]))</f>
        <v/>
      </c>
      <c r="AE436" s="53"/>
      <c r="AF436" s="52"/>
      <c r="AG436" s="50"/>
      <c r="AH436" s="61" t="str">
        <f t="shared" si="43"/>
        <v/>
      </c>
      <c r="AI436" s="61" t="str">
        <f>IFERROR(IF(AF436-AF435&lt;=0,"",AH436/SQRT(Таблица_pr5[[#This Row],[Удельное сопротивление грунта, Ом·м]])),AH436/SQRT(Таблица_pr5[[#This Row],[Удельное сопротивление грунта, Ом·м]]))</f>
        <v/>
      </c>
      <c r="AK436" s="53"/>
      <c r="AL436" s="52"/>
      <c r="AM436" s="50"/>
      <c r="AN436" s="61" t="str">
        <f t="shared" si="50"/>
        <v/>
      </c>
      <c r="AO436" s="61" t="str">
        <f>IFERROR(IF(AL436-AL435&lt;=0,"",AN436/SQRT(Таблица_pr6[[#This Row],[Удельное сопротивление грунта, Ом·м]])),AN436/SQRT(Таблица_pr6[[#This Row],[Удельное сопротивление грунта, Ом·м]]))</f>
        <v/>
      </c>
      <c r="AQ436" s="53"/>
      <c r="AR436" s="52"/>
      <c r="AS436" s="50"/>
      <c r="AT436" s="61" t="str">
        <f t="shared" si="44"/>
        <v/>
      </c>
      <c r="AU436" s="61" t="str">
        <f>IFERROR(IF(AR436-AR435&lt;=0,"",AT436/SQRT(Таблица_pr7[[#This Row],[Удельное сопротивление грунта, Ом·м]])),AT436/SQRT(Таблица_pr7[[#This Row],[Удельное сопротивление грунта, Ом·м]]))</f>
        <v/>
      </c>
      <c r="AW436" s="53"/>
      <c r="AX436" s="52"/>
      <c r="AY436" s="50"/>
      <c r="AZ436" s="61" t="str">
        <f t="shared" si="51"/>
        <v/>
      </c>
      <c r="BA436" s="61" t="str">
        <f>IFERROR(IF(AX436-AX435&lt;=0,"",AZ436/SQRT(Таблица_pr8[[#This Row],[Удельное сопротивление грунта, Ом·м]])),AZ436/SQRT(Таблица_pr8[[#This Row],[Удельное сопротивление грунта, Ом·м]]))</f>
        <v/>
      </c>
      <c r="BC436" s="53"/>
      <c r="BD436" s="52"/>
      <c r="BE436" s="50"/>
      <c r="BF436" s="61" t="str">
        <f t="shared" si="45"/>
        <v/>
      </c>
      <c r="BG436" s="61" t="str">
        <f>IFERROR(IF(BD436-AX455&lt;=0,"",BF436/SQRT(Таблица_pr9[[#This Row],[Удельное сопротивление грунта, Ом·м]])),BF436/SQRT(Таблица_pr9[[#This Row],[Удельное сопротивление грунта, Ом·м]]))</f>
        <v/>
      </c>
      <c r="BI436" s="53"/>
      <c r="BJ436" s="52"/>
      <c r="BK436" s="50"/>
      <c r="BL436" s="61" t="str">
        <f t="shared" si="52"/>
        <v/>
      </c>
      <c r="BM436" s="61" t="str">
        <f>IFERROR(IF(BJ436-BD465&lt;=0,"",BL436/SQRT(Таблица_pr10[[#This Row],[Удельное сопротивление грунта, Ом·м]])),BL436/SQRT(Таблица_pr10[[#This Row],[Удельное сопротивление грунта, Ом·м]]))</f>
        <v/>
      </c>
    </row>
    <row r="437" spans="1:65">
      <c r="A437" s="51"/>
      <c r="B437" s="52"/>
      <c r="C437" s="50"/>
      <c r="E437" s="61" t="str">
        <f>IFERROR(IF(B437-B436&lt;=0,"",D437/SQRT(Таблица_pr[[#This Row],[Удельное сопротивление грунта, Ом·м]])),D437/SQRT(Таблица_pr[[#This Row],[Удельное сопротивление грунта, Ом·м]]))</f>
        <v/>
      </c>
      <c r="G437" s="189"/>
      <c r="H437" s="185"/>
      <c r="I437" s="183"/>
      <c r="J437" s="180"/>
      <c r="K437" s="61" t="str">
        <f>IFERROR(IF(H437-H436&lt;=0,"",J437/SQRT(Таблица_pr1[[#This Row],[Удельное сопротивление грунта, Ом·м]])),J437/SQRT(Таблица_pr1[[#This Row],[Удельное сопротивление грунта, Ом·м]]))</f>
        <v/>
      </c>
      <c r="M437" s="51"/>
      <c r="N437" s="52"/>
      <c r="O437" s="50"/>
      <c r="P437" s="61" t="str">
        <f t="shared" si="48"/>
        <v/>
      </c>
      <c r="Q437" s="61" t="str">
        <f>IFERROR(IF(N437-N436&lt;=0,"",P437/SQRT(Таблица_pr2[[#This Row],[Удельное сопротивление грунта, Ом·м]])),P437/SQRT(Таблица_pr2[[#This Row],[Удельное сопротивление грунта, Ом·м]]))</f>
        <v/>
      </c>
      <c r="S437" s="51"/>
      <c r="T437" s="52"/>
      <c r="U437" s="50"/>
      <c r="V437" s="61" t="str">
        <f t="shared" si="42"/>
        <v/>
      </c>
      <c r="W437" s="61" t="str">
        <f>IFERROR(IF(T437-T436&lt;=0,"",V437/SQRT(Таблица_pr3[[#This Row],[Удельное сопротивление грунта, Ом·м]])),V437/SQRT(Таблица_pr3[[#This Row],[Удельное сопротивление грунта, Ом·м]]))</f>
        <v/>
      </c>
      <c r="Y437" s="51"/>
      <c r="Z437" s="52"/>
      <c r="AA437" s="50"/>
      <c r="AB437" s="61" t="str">
        <f t="shared" si="49"/>
        <v/>
      </c>
      <c r="AC437" s="61" t="str">
        <f>IFERROR(IF(Z437-Z436&lt;=0,"",AB437/SQRT(Таблица_pr4[[#This Row],[Удельное сопротивление грунта, Ом·м]])),AB437/SQRT(Таблица_pr4[[#This Row],[Удельное сопротивление грунта, Ом·м]]))</f>
        <v/>
      </c>
      <c r="AE437" s="51"/>
      <c r="AF437" s="52"/>
      <c r="AG437" s="50"/>
      <c r="AH437" s="61" t="str">
        <f t="shared" si="43"/>
        <v/>
      </c>
      <c r="AI437" s="61" t="str">
        <f>IFERROR(IF(AF437-AF436&lt;=0,"",AH437/SQRT(Таблица_pr5[[#This Row],[Удельное сопротивление грунта, Ом·м]])),AH437/SQRT(Таблица_pr5[[#This Row],[Удельное сопротивление грунта, Ом·м]]))</f>
        <v/>
      </c>
      <c r="AK437" s="51"/>
      <c r="AL437" s="52"/>
      <c r="AM437" s="50"/>
      <c r="AN437" s="61" t="str">
        <f t="shared" si="50"/>
        <v/>
      </c>
      <c r="AO437" s="61" t="str">
        <f>IFERROR(IF(AL437-AL436&lt;=0,"",AN437/SQRT(Таблица_pr6[[#This Row],[Удельное сопротивление грунта, Ом·м]])),AN437/SQRT(Таблица_pr6[[#This Row],[Удельное сопротивление грунта, Ом·м]]))</f>
        <v/>
      </c>
      <c r="AQ437" s="51"/>
      <c r="AR437" s="52"/>
      <c r="AS437" s="50"/>
      <c r="AT437" s="61" t="str">
        <f t="shared" si="44"/>
        <v/>
      </c>
      <c r="AU437" s="61" t="str">
        <f>IFERROR(IF(AR437-AR436&lt;=0,"",AT437/SQRT(Таблица_pr7[[#This Row],[Удельное сопротивление грунта, Ом·м]])),AT437/SQRT(Таблица_pr7[[#This Row],[Удельное сопротивление грунта, Ом·м]]))</f>
        <v/>
      </c>
      <c r="AW437" s="51"/>
      <c r="AX437" s="52"/>
      <c r="AY437" s="50"/>
      <c r="AZ437" s="61" t="str">
        <f t="shared" si="51"/>
        <v/>
      </c>
      <c r="BA437" s="61" t="str">
        <f>IFERROR(IF(AX437-AX436&lt;=0,"",AZ437/SQRT(Таблица_pr8[[#This Row],[Удельное сопротивление грунта, Ом·м]])),AZ437/SQRT(Таблица_pr8[[#This Row],[Удельное сопротивление грунта, Ом·м]]))</f>
        <v/>
      </c>
      <c r="BC437" s="51"/>
      <c r="BD437" s="52"/>
      <c r="BE437" s="50"/>
      <c r="BF437" s="61" t="str">
        <f t="shared" si="45"/>
        <v/>
      </c>
      <c r="BG437" s="61" t="str">
        <f>IFERROR(IF(BD437-AX456&lt;=0,"",BF437/SQRT(Таблица_pr9[[#This Row],[Удельное сопротивление грунта, Ом·м]])),BF437/SQRT(Таблица_pr9[[#This Row],[Удельное сопротивление грунта, Ом·м]]))</f>
        <v/>
      </c>
      <c r="BI437" s="51"/>
      <c r="BJ437" s="52"/>
      <c r="BK437" s="50"/>
      <c r="BL437" s="61" t="str">
        <f t="shared" si="52"/>
        <v/>
      </c>
      <c r="BM437" s="61" t="str">
        <f>IFERROR(IF(BJ437-BD466&lt;=0,"",BL437/SQRT(Таблица_pr10[[#This Row],[Удельное сопротивление грунта, Ом·м]])),BL437/SQRT(Таблица_pr10[[#This Row],[Удельное сопротивление грунта, Ом·м]]))</f>
        <v/>
      </c>
    </row>
    <row r="438" spans="1:65">
      <c r="A438" s="53"/>
      <c r="B438" s="52"/>
      <c r="C438" s="50"/>
      <c r="E438" s="61" t="str">
        <f>IFERROR(IF(B438-B437&lt;=0,"",D438/SQRT(Таблица_pr[[#This Row],[Удельное сопротивление грунта, Ом·м]])),D438/SQRT(Таблица_pr[[#This Row],[Удельное сопротивление грунта, Ом·м]]))</f>
        <v/>
      </c>
      <c r="G438" s="188"/>
      <c r="H438" s="184"/>
      <c r="I438" s="182"/>
      <c r="J438" s="181"/>
      <c r="K438" s="61" t="str">
        <f>IFERROR(IF(H438-H437&lt;=0,"",J438/SQRT(Таблица_pr1[[#This Row],[Удельное сопротивление грунта, Ом·м]])),J438/SQRT(Таблица_pr1[[#This Row],[Удельное сопротивление грунта, Ом·м]]))</f>
        <v/>
      </c>
      <c r="M438" s="53"/>
      <c r="N438" s="52"/>
      <c r="O438" s="50"/>
      <c r="P438" s="61" t="str">
        <f t="shared" si="48"/>
        <v/>
      </c>
      <c r="Q438" s="61" t="str">
        <f>IFERROR(IF(N438-N437&lt;=0,"",P438/SQRT(Таблица_pr2[[#This Row],[Удельное сопротивление грунта, Ом·м]])),P438/SQRT(Таблица_pr2[[#This Row],[Удельное сопротивление грунта, Ом·м]]))</f>
        <v/>
      </c>
      <c r="S438" s="53"/>
      <c r="T438" s="52"/>
      <c r="U438" s="50"/>
      <c r="V438" s="61" t="str">
        <f t="shared" si="42"/>
        <v/>
      </c>
      <c r="W438" s="61" t="str">
        <f>IFERROR(IF(T438-T437&lt;=0,"",V438/SQRT(Таблица_pr3[[#This Row],[Удельное сопротивление грунта, Ом·м]])),V438/SQRT(Таблица_pr3[[#This Row],[Удельное сопротивление грунта, Ом·м]]))</f>
        <v/>
      </c>
      <c r="Y438" s="53"/>
      <c r="Z438" s="52"/>
      <c r="AA438" s="50"/>
      <c r="AB438" s="61" t="str">
        <f t="shared" si="49"/>
        <v/>
      </c>
      <c r="AC438" s="61" t="str">
        <f>IFERROR(IF(Z438-Z437&lt;=0,"",AB438/SQRT(Таблица_pr4[[#This Row],[Удельное сопротивление грунта, Ом·м]])),AB438/SQRT(Таблица_pr4[[#This Row],[Удельное сопротивление грунта, Ом·м]]))</f>
        <v/>
      </c>
      <c r="AE438" s="53"/>
      <c r="AF438" s="52"/>
      <c r="AG438" s="50"/>
      <c r="AH438" s="61" t="str">
        <f t="shared" si="43"/>
        <v/>
      </c>
      <c r="AI438" s="61" t="str">
        <f>IFERROR(IF(AF438-AF437&lt;=0,"",AH438/SQRT(Таблица_pr5[[#This Row],[Удельное сопротивление грунта, Ом·м]])),AH438/SQRT(Таблица_pr5[[#This Row],[Удельное сопротивление грунта, Ом·м]]))</f>
        <v/>
      </c>
      <c r="AK438" s="53"/>
      <c r="AL438" s="52"/>
      <c r="AM438" s="50"/>
      <c r="AN438" s="61" t="str">
        <f t="shared" si="50"/>
        <v/>
      </c>
      <c r="AO438" s="61" t="str">
        <f>IFERROR(IF(AL438-AL437&lt;=0,"",AN438/SQRT(Таблица_pr6[[#This Row],[Удельное сопротивление грунта, Ом·м]])),AN438/SQRT(Таблица_pr6[[#This Row],[Удельное сопротивление грунта, Ом·м]]))</f>
        <v/>
      </c>
      <c r="AQ438" s="53"/>
      <c r="AR438" s="52"/>
      <c r="AS438" s="50"/>
      <c r="AT438" s="61" t="str">
        <f t="shared" si="44"/>
        <v/>
      </c>
      <c r="AU438" s="61" t="str">
        <f>IFERROR(IF(AR438-AR437&lt;=0,"",AT438/SQRT(Таблица_pr7[[#This Row],[Удельное сопротивление грунта, Ом·м]])),AT438/SQRT(Таблица_pr7[[#This Row],[Удельное сопротивление грунта, Ом·м]]))</f>
        <v/>
      </c>
      <c r="AW438" s="53"/>
      <c r="AX438" s="52"/>
      <c r="AY438" s="50"/>
      <c r="AZ438" s="61" t="str">
        <f t="shared" si="51"/>
        <v/>
      </c>
      <c r="BA438" s="61" t="str">
        <f>IFERROR(IF(AX438-AX437&lt;=0,"",AZ438/SQRT(Таблица_pr8[[#This Row],[Удельное сопротивление грунта, Ом·м]])),AZ438/SQRT(Таблица_pr8[[#This Row],[Удельное сопротивление грунта, Ом·м]]))</f>
        <v/>
      </c>
      <c r="BC438" s="53"/>
      <c r="BD438" s="52"/>
      <c r="BE438" s="50"/>
      <c r="BF438" s="61" t="str">
        <f t="shared" si="45"/>
        <v/>
      </c>
      <c r="BG438" s="61" t="str">
        <f>IFERROR(IF(BD438-AX457&lt;=0,"",BF438/SQRT(Таблица_pr9[[#This Row],[Удельное сопротивление грунта, Ом·м]])),BF438/SQRT(Таблица_pr9[[#This Row],[Удельное сопротивление грунта, Ом·м]]))</f>
        <v/>
      </c>
      <c r="BI438" s="53"/>
      <c r="BJ438" s="52"/>
      <c r="BK438" s="50"/>
      <c r="BL438" s="61" t="str">
        <f t="shared" si="52"/>
        <v/>
      </c>
      <c r="BM438" s="61" t="str">
        <f>IFERROR(IF(BJ438-BD467&lt;=0,"",BL438/SQRT(Таблица_pr10[[#This Row],[Удельное сопротивление грунта, Ом·м]])),BL438/SQRT(Таблица_pr10[[#This Row],[Удельное сопротивление грунта, Ом·м]]))</f>
        <v/>
      </c>
    </row>
    <row r="439" spans="1:65">
      <c r="A439" s="51"/>
      <c r="B439" s="52"/>
      <c r="C439" s="50"/>
      <c r="E439" s="61" t="str">
        <f>IFERROR(IF(B439-B438&lt;=0,"",D439/SQRT(Таблица_pr[[#This Row],[Удельное сопротивление грунта, Ом·м]])),D439/SQRT(Таблица_pr[[#This Row],[Удельное сопротивление грунта, Ом·м]]))</f>
        <v/>
      </c>
      <c r="G439" s="189"/>
      <c r="H439" s="185"/>
      <c r="I439" s="183"/>
      <c r="J439" s="180"/>
      <c r="K439" s="61" t="str">
        <f>IFERROR(IF(H439-H438&lt;=0,"",J439/SQRT(Таблица_pr1[[#This Row],[Удельное сопротивление грунта, Ом·м]])),J439/SQRT(Таблица_pr1[[#This Row],[Удельное сопротивление грунта, Ом·м]]))</f>
        <v/>
      </c>
      <c r="M439" s="51"/>
      <c r="N439" s="52"/>
      <c r="O439" s="50"/>
      <c r="P439" s="61" t="str">
        <f t="shared" si="48"/>
        <v/>
      </c>
      <c r="Q439" s="61" t="str">
        <f>IFERROR(IF(N439-N438&lt;=0,"",P439/SQRT(Таблица_pr2[[#This Row],[Удельное сопротивление грунта, Ом·м]])),P439/SQRT(Таблица_pr2[[#This Row],[Удельное сопротивление грунта, Ом·м]]))</f>
        <v/>
      </c>
      <c r="S439" s="51"/>
      <c r="T439" s="52"/>
      <c r="U439" s="50"/>
      <c r="V439" s="61" t="str">
        <f t="shared" si="42"/>
        <v/>
      </c>
      <c r="W439" s="61" t="str">
        <f>IFERROR(IF(T439-T438&lt;=0,"",V439/SQRT(Таблица_pr3[[#This Row],[Удельное сопротивление грунта, Ом·м]])),V439/SQRT(Таблица_pr3[[#This Row],[Удельное сопротивление грунта, Ом·м]]))</f>
        <v/>
      </c>
      <c r="Y439" s="51"/>
      <c r="Z439" s="52"/>
      <c r="AA439" s="50"/>
      <c r="AB439" s="61" t="str">
        <f t="shared" si="49"/>
        <v/>
      </c>
      <c r="AC439" s="61" t="str">
        <f>IFERROR(IF(Z439-Z438&lt;=0,"",AB439/SQRT(Таблица_pr4[[#This Row],[Удельное сопротивление грунта, Ом·м]])),AB439/SQRT(Таблица_pr4[[#This Row],[Удельное сопротивление грунта, Ом·м]]))</f>
        <v/>
      </c>
      <c r="AE439" s="51"/>
      <c r="AF439" s="52"/>
      <c r="AG439" s="50"/>
      <c r="AH439" s="61" t="str">
        <f t="shared" si="43"/>
        <v/>
      </c>
      <c r="AI439" s="61" t="str">
        <f>IFERROR(IF(AF439-AF438&lt;=0,"",AH439/SQRT(Таблица_pr5[[#This Row],[Удельное сопротивление грунта, Ом·м]])),AH439/SQRT(Таблица_pr5[[#This Row],[Удельное сопротивление грунта, Ом·м]]))</f>
        <v/>
      </c>
      <c r="AK439" s="51"/>
      <c r="AL439" s="52"/>
      <c r="AM439" s="50"/>
      <c r="AN439" s="61" t="str">
        <f t="shared" si="50"/>
        <v/>
      </c>
      <c r="AO439" s="61" t="str">
        <f>IFERROR(IF(AL439-AL438&lt;=0,"",AN439/SQRT(Таблица_pr6[[#This Row],[Удельное сопротивление грунта, Ом·м]])),AN439/SQRT(Таблица_pr6[[#This Row],[Удельное сопротивление грунта, Ом·м]]))</f>
        <v/>
      </c>
      <c r="AQ439" s="51"/>
      <c r="AR439" s="52"/>
      <c r="AS439" s="50"/>
      <c r="AT439" s="61" t="str">
        <f t="shared" si="44"/>
        <v/>
      </c>
      <c r="AU439" s="61" t="str">
        <f>IFERROR(IF(AR439-AR438&lt;=0,"",AT439/SQRT(Таблица_pr7[[#This Row],[Удельное сопротивление грунта, Ом·м]])),AT439/SQRT(Таблица_pr7[[#This Row],[Удельное сопротивление грунта, Ом·м]]))</f>
        <v/>
      </c>
      <c r="AW439" s="51"/>
      <c r="AX439" s="52"/>
      <c r="AY439" s="50"/>
      <c r="AZ439" s="61" t="str">
        <f t="shared" si="51"/>
        <v/>
      </c>
      <c r="BA439" s="61" t="str">
        <f>IFERROR(IF(AX439-AX438&lt;=0,"",AZ439/SQRT(Таблица_pr8[[#This Row],[Удельное сопротивление грунта, Ом·м]])),AZ439/SQRT(Таблица_pr8[[#This Row],[Удельное сопротивление грунта, Ом·м]]))</f>
        <v/>
      </c>
      <c r="BC439" s="51"/>
      <c r="BD439" s="52"/>
      <c r="BE439" s="50"/>
      <c r="BF439" s="61" t="str">
        <f t="shared" si="45"/>
        <v/>
      </c>
      <c r="BG439" s="61" t="str">
        <f>IFERROR(IF(BD439-AX458&lt;=0,"",BF439/SQRT(Таблица_pr9[[#This Row],[Удельное сопротивление грунта, Ом·м]])),BF439/SQRT(Таблица_pr9[[#This Row],[Удельное сопротивление грунта, Ом·м]]))</f>
        <v/>
      </c>
      <c r="BI439" s="51"/>
      <c r="BJ439" s="52"/>
      <c r="BK439" s="50"/>
      <c r="BL439" s="61" t="str">
        <f t="shared" si="52"/>
        <v/>
      </c>
      <c r="BM439" s="61" t="str">
        <f>IFERROR(IF(BJ439-BD468&lt;=0,"",BL439/SQRT(Таблица_pr10[[#This Row],[Удельное сопротивление грунта, Ом·м]])),BL439/SQRT(Таблица_pr10[[#This Row],[Удельное сопротивление грунта, Ом·м]]))</f>
        <v/>
      </c>
    </row>
    <row r="440" spans="1:65">
      <c r="A440" s="53"/>
      <c r="B440" s="52"/>
      <c r="C440" s="50"/>
      <c r="E440" s="61" t="str">
        <f>IFERROR(IF(B440-B439&lt;=0,"",D440/SQRT(Таблица_pr[[#This Row],[Удельное сопротивление грунта, Ом·м]])),D440/SQRT(Таблица_pr[[#This Row],[Удельное сопротивление грунта, Ом·м]]))</f>
        <v/>
      </c>
      <c r="G440" s="188"/>
      <c r="H440" s="184"/>
      <c r="I440" s="182"/>
      <c r="J440" s="181"/>
      <c r="K440" s="61" t="str">
        <f>IFERROR(IF(H440-H439&lt;=0,"",J440/SQRT(Таблица_pr1[[#This Row],[Удельное сопротивление грунта, Ом·м]])),J440/SQRT(Таблица_pr1[[#This Row],[Удельное сопротивление грунта, Ом·м]]))</f>
        <v/>
      </c>
      <c r="M440" s="53"/>
      <c r="N440" s="52"/>
      <c r="O440" s="50"/>
      <c r="P440" s="61" t="str">
        <f t="shared" si="48"/>
        <v/>
      </c>
      <c r="Q440" s="61" t="str">
        <f>IFERROR(IF(N440-N439&lt;=0,"",P440/SQRT(Таблица_pr2[[#This Row],[Удельное сопротивление грунта, Ом·м]])),P440/SQRT(Таблица_pr2[[#This Row],[Удельное сопротивление грунта, Ом·м]]))</f>
        <v/>
      </c>
      <c r="S440" s="53"/>
      <c r="T440" s="52"/>
      <c r="U440" s="50"/>
      <c r="V440" s="61" t="str">
        <f t="shared" si="42"/>
        <v/>
      </c>
      <c r="W440" s="61" t="str">
        <f>IFERROR(IF(T440-T439&lt;=0,"",V440/SQRT(Таблица_pr3[[#This Row],[Удельное сопротивление грунта, Ом·м]])),V440/SQRT(Таблица_pr3[[#This Row],[Удельное сопротивление грунта, Ом·м]]))</f>
        <v/>
      </c>
      <c r="Y440" s="53"/>
      <c r="Z440" s="52"/>
      <c r="AA440" s="50"/>
      <c r="AB440" s="61" t="str">
        <f t="shared" si="49"/>
        <v/>
      </c>
      <c r="AC440" s="61" t="str">
        <f>IFERROR(IF(Z440-Z439&lt;=0,"",AB440/SQRT(Таблица_pr4[[#This Row],[Удельное сопротивление грунта, Ом·м]])),AB440/SQRT(Таблица_pr4[[#This Row],[Удельное сопротивление грунта, Ом·м]]))</f>
        <v/>
      </c>
      <c r="AE440" s="53"/>
      <c r="AF440" s="52"/>
      <c r="AG440" s="50"/>
      <c r="AH440" s="61" t="str">
        <f t="shared" si="43"/>
        <v/>
      </c>
      <c r="AI440" s="61" t="str">
        <f>IFERROR(IF(AF440-AF439&lt;=0,"",AH440/SQRT(Таблица_pr5[[#This Row],[Удельное сопротивление грунта, Ом·м]])),AH440/SQRT(Таблица_pr5[[#This Row],[Удельное сопротивление грунта, Ом·м]]))</f>
        <v/>
      </c>
      <c r="AK440" s="53"/>
      <c r="AL440" s="52"/>
      <c r="AM440" s="50"/>
      <c r="AN440" s="61" t="str">
        <f t="shared" si="50"/>
        <v/>
      </c>
      <c r="AO440" s="61" t="str">
        <f>IFERROR(IF(AL440-AL439&lt;=0,"",AN440/SQRT(Таблица_pr6[[#This Row],[Удельное сопротивление грунта, Ом·м]])),AN440/SQRT(Таблица_pr6[[#This Row],[Удельное сопротивление грунта, Ом·м]]))</f>
        <v/>
      </c>
      <c r="AQ440" s="53"/>
      <c r="AR440" s="52"/>
      <c r="AS440" s="50"/>
      <c r="AT440" s="61" t="str">
        <f t="shared" si="44"/>
        <v/>
      </c>
      <c r="AU440" s="61" t="str">
        <f>IFERROR(IF(AR440-AR439&lt;=0,"",AT440/SQRT(Таблица_pr7[[#This Row],[Удельное сопротивление грунта, Ом·м]])),AT440/SQRT(Таблица_pr7[[#This Row],[Удельное сопротивление грунта, Ом·м]]))</f>
        <v/>
      </c>
      <c r="AW440" s="53"/>
      <c r="AX440" s="52"/>
      <c r="AY440" s="50"/>
      <c r="AZ440" s="61" t="str">
        <f t="shared" si="51"/>
        <v/>
      </c>
      <c r="BA440" s="61" t="str">
        <f>IFERROR(IF(AX440-AX439&lt;=0,"",AZ440/SQRT(Таблица_pr8[[#This Row],[Удельное сопротивление грунта, Ом·м]])),AZ440/SQRT(Таблица_pr8[[#This Row],[Удельное сопротивление грунта, Ом·м]]))</f>
        <v/>
      </c>
      <c r="BC440" s="53"/>
      <c r="BD440" s="52"/>
      <c r="BE440" s="50"/>
      <c r="BF440" s="61" t="str">
        <f t="shared" si="45"/>
        <v/>
      </c>
      <c r="BG440" s="61" t="str">
        <f>IFERROR(IF(BD440-AX459&lt;=0,"",BF440/SQRT(Таблица_pr9[[#This Row],[Удельное сопротивление грунта, Ом·м]])),BF440/SQRT(Таблица_pr9[[#This Row],[Удельное сопротивление грунта, Ом·м]]))</f>
        <v/>
      </c>
      <c r="BI440" s="53"/>
      <c r="BJ440" s="52"/>
      <c r="BK440" s="50"/>
      <c r="BL440" s="61" t="str">
        <f t="shared" si="52"/>
        <v/>
      </c>
      <c r="BM440" s="61" t="str">
        <f>IFERROR(IF(BJ440-BD469&lt;=0,"",BL440/SQRT(Таблица_pr10[[#This Row],[Удельное сопротивление грунта, Ом·м]])),BL440/SQRT(Таблица_pr10[[#This Row],[Удельное сопротивление грунта, Ом·м]]))</f>
        <v/>
      </c>
    </row>
    <row r="441" spans="1:65">
      <c r="A441" s="51"/>
      <c r="B441" s="52"/>
      <c r="C441" s="50"/>
      <c r="E441" s="61" t="str">
        <f>IFERROR(IF(B441-B440&lt;=0,"",D441/SQRT(Таблица_pr[[#This Row],[Удельное сопротивление грунта, Ом·м]])),D441/SQRT(Таблица_pr[[#This Row],[Удельное сопротивление грунта, Ом·м]]))</f>
        <v/>
      </c>
      <c r="G441" s="189"/>
      <c r="H441" s="185"/>
      <c r="I441" s="183"/>
      <c r="J441" s="180"/>
      <c r="K441" s="61" t="str">
        <f>IFERROR(IF(H441-H440&lt;=0,"",J441/SQRT(Таблица_pr1[[#This Row],[Удельное сопротивление грунта, Ом·м]])),J441/SQRT(Таблица_pr1[[#This Row],[Удельное сопротивление грунта, Ом·м]]))</f>
        <v/>
      </c>
      <c r="M441" s="51"/>
      <c r="N441" s="52"/>
      <c r="O441" s="50"/>
      <c r="P441" s="61" t="str">
        <f t="shared" si="48"/>
        <v/>
      </c>
      <c r="Q441" s="61" t="str">
        <f>IFERROR(IF(N441-N440&lt;=0,"",P441/SQRT(Таблица_pr2[[#This Row],[Удельное сопротивление грунта, Ом·м]])),P441/SQRT(Таблица_pr2[[#This Row],[Удельное сопротивление грунта, Ом·м]]))</f>
        <v/>
      </c>
      <c r="S441" s="51"/>
      <c r="T441" s="52"/>
      <c r="U441" s="50"/>
      <c r="V441" s="61" t="str">
        <f t="shared" si="42"/>
        <v/>
      </c>
      <c r="W441" s="61" t="str">
        <f>IFERROR(IF(T441-T440&lt;=0,"",V441/SQRT(Таблица_pr3[[#This Row],[Удельное сопротивление грунта, Ом·м]])),V441/SQRT(Таблица_pr3[[#This Row],[Удельное сопротивление грунта, Ом·м]]))</f>
        <v/>
      </c>
      <c r="Y441" s="51"/>
      <c r="Z441" s="52"/>
      <c r="AA441" s="50"/>
      <c r="AB441" s="61" t="str">
        <f t="shared" si="49"/>
        <v/>
      </c>
      <c r="AC441" s="61" t="str">
        <f>IFERROR(IF(Z441-Z440&lt;=0,"",AB441/SQRT(Таблица_pr4[[#This Row],[Удельное сопротивление грунта, Ом·м]])),AB441/SQRT(Таблица_pr4[[#This Row],[Удельное сопротивление грунта, Ом·м]]))</f>
        <v/>
      </c>
      <c r="AE441" s="51"/>
      <c r="AF441" s="52"/>
      <c r="AG441" s="50"/>
      <c r="AH441" s="61" t="str">
        <f t="shared" si="43"/>
        <v/>
      </c>
      <c r="AI441" s="61" t="str">
        <f>IFERROR(IF(AF441-AF440&lt;=0,"",AH441/SQRT(Таблица_pr5[[#This Row],[Удельное сопротивление грунта, Ом·м]])),AH441/SQRT(Таблица_pr5[[#This Row],[Удельное сопротивление грунта, Ом·м]]))</f>
        <v/>
      </c>
      <c r="AK441" s="51"/>
      <c r="AL441" s="52"/>
      <c r="AM441" s="50"/>
      <c r="AN441" s="61" t="str">
        <f t="shared" si="50"/>
        <v/>
      </c>
      <c r="AO441" s="61" t="str">
        <f>IFERROR(IF(AL441-AL440&lt;=0,"",AN441/SQRT(Таблица_pr6[[#This Row],[Удельное сопротивление грунта, Ом·м]])),AN441/SQRT(Таблица_pr6[[#This Row],[Удельное сопротивление грунта, Ом·м]]))</f>
        <v/>
      </c>
      <c r="AQ441" s="51"/>
      <c r="AR441" s="52"/>
      <c r="AS441" s="50"/>
      <c r="AT441" s="61" t="str">
        <f t="shared" si="44"/>
        <v/>
      </c>
      <c r="AU441" s="61" t="str">
        <f>IFERROR(IF(AR441-AR440&lt;=0,"",AT441/SQRT(Таблица_pr7[[#This Row],[Удельное сопротивление грунта, Ом·м]])),AT441/SQRT(Таблица_pr7[[#This Row],[Удельное сопротивление грунта, Ом·м]]))</f>
        <v/>
      </c>
      <c r="AW441" s="51"/>
      <c r="AX441" s="52"/>
      <c r="AY441" s="50"/>
      <c r="AZ441" s="61" t="str">
        <f t="shared" si="51"/>
        <v/>
      </c>
      <c r="BA441" s="61" t="str">
        <f>IFERROR(IF(AX441-AX440&lt;=0,"",AZ441/SQRT(Таблица_pr8[[#This Row],[Удельное сопротивление грунта, Ом·м]])),AZ441/SQRT(Таблица_pr8[[#This Row],[Удельное сопротивление грунта, Ом·м]]))</f>
        <v/>
      </c>
      <c r="BC441" s="51"/>
      <c r="BD441" s="52"/>
      <c r="BE441" s="50"/>
      <c r="BF441" s="61" t="str">
        <f t="shared" si="45"/>
        <v/>
      </c>
      <c r="BG441" s="61" t="str">
        <f>IFERROR(IF(BD441-AX460&lt;=0,"",BF441/SQRT(Таблица_pr9[[#This Row],[Удельное сопротивление грунта, Ом·м]])),BF441/SQRT(Таблица_pr9[[#This Row],[Удельное сопротивление грунта, Ом·м]]))</f>
        <v/>
      </c>
      <c r="BI441" s="51"/>
      <c r="BJ441" s="52"/>
      <c r="BK441" s="50"/>
      <c r="BL441" s="61" t="str">
        <f t="shared" si="52"/>
        <v/>
      </c>
      <c r="BM441" s="61" t="str">
        <f>IFERROR(IF(BJ441-BD470&lt;=0,"",BL441/SQRT(Таблица_pr10[[#This Row],[Удельное сопротивление грунта, Ом·м]])),BL441/SQRT(Таблица_pr10[[#This Row],[Удельное сопротивление грунта, Ом·м]]))</f>
        <v/>
      </c>
    </row>
    <row r="442" spans="1:65">
      <c r="A442" s="53"/>
      <c r="B442" s="52"/>
      <c r="C442" s="50"/>
      <c r="E442" s="61" t="str">
        <f>IFERROR(IF(B442-B441&lt;=0,"",D442/SQRT(Таблица_pr[[#This Row],[Удельное сопротивление грунта, Ом·м]])),D442/SQRT(Таблица_pr[[#This Row],[Удельное сопротивление грунта, Ом·м]]))</f>
        <v/>
      </c>
      <c r="G442" s="188"/>
      <c r="H442" s="184"/>
      <c r="I442" s="182"/>
      <c r="J442" s="181"/>
      <c r="K442" s="61" t="str">
        <f>IFERROR(IF(H442-H441&lt;=0,"",J442/SQRT(Таблица_pr1[[#This Row],[Удельное сопротивление грунта, Ом·м]])),J442/SQRT(Таблица_pr1[[#This Row],[Удельное сопротивление грунта, Ом·м]]))</f>
        <v/>
      </c>
      <c r="M442" s="53"/>
      <c r="N442" s="52"/>
      <c r="O442" s="50"/>
      <c r="P442" s="61" t="str">
        <f t="shared" si="48"/>
        <v/>
      </c>
      <c r="Q442" s="61" t="str">
        <f>IFERROR(IF(N442-N441&lt;=0,"",P442/SQRT(Таблица_pr2[[#This Row],[Удельное сопротивление грунта, Ом·м]])),P442/SQRT(Таблица_pr2[[#This Row],[Удельное сопротивление грунта, Ом·м]]))</f>
        <v/>
      </c>
      <c r="S442" s="53"/>
      <c r="T442" s="52"/>
      <c r="U442" s="50"/>
      <c r="V442" s="61" t="str">
        <f t="shared" si="42"/>
        <v/>
      </c>
      <c r="W442" s="61" t="str">
        <f>IFERROR(IF(T442-T441&lt;=0,"",V442/SQRT(Таблица_pr3[[#This Row],[Удельное сопротивление грунта, Ом·м]])),V442/SQRT(Таблица_pr3[[#This Row],[Удельное сопротивление грунта, Ом·м]]))</f>
        <v/>
      </c>
      <c r="Y442" s="53"/>
      <c r="Z442" s="52"/>
      <c r="AA442" s="50"/>
      <c r="AB442" s="61" t="str">
        <f t="shared" si="49"/>
        <v/>
      </c>
      <c r="AC442" s="61" t="str">
        <f>IFERROR(IF(Z442-Z441&lt;=0,"",AB442/SQRT(Таблица_pr4[[#This Row],[Удельное сопротивление грунта, Ом·м]])),AB442/SQRT(Таблица_pr4[[#This Row],[Удельное сопротивление грунта, Ом·м]]))</f>
        <v/>
      </c>
      <c r="AE442" s="53"/>
      <c r="AF442" s="52"/>
      <c r="AG442" s="50"/>
      <c r="AH442" s="61" t="str">
        <f t="shared" si="43"/>
        <v/>
      </c>
      <c r="AI442" s="61" t="str">
        <f>IFERROR(IF(AF442-AF441&lt;=0,"",AH442/SQRT(Таблица_pr5[[#This Row],[Удельное сопротивление грунта, Ом·м]])),AH442/SQRT(Таблица_pr5[[#This Row],[Удельное сопротивление грунта, Ом·м]]))</f>
        <v/>
      </c>
      <c r="AK442" s="53"/>
      <c r="AL442" s="52"/>
      <c r="AM442" s="50"/>
      <c r="AN442" s="61" t="str">
        <f t="shared" si="50"/>
        <v/>
      </c>
      <c r="AO442" s="61" t="str">
        <f>IFERROR(IF(AL442-AL441&lt;=0,"",AN442/SQRT(Таблица_pr6[[#This Row],[Удельное сопротивление грунта, Ом·м]])),AN442/SQRT(Таблица_pr6[[#This Row],[Удельное сопротивление грунта, Ом·м]]))</f>
        <v/>
      </c>
      <c r="AQ442" s="53"/>
      <c r="AR442" s="52"/>
      <c r="AS442" s="50"/>
      <c r="AT442" s="61" t="str">
        <f t="shared" si="44"/>
        <v/>
      </c>
      <c r="AU442" s="61" t="str">
        <f>IFERROR(IF(AR442-AR441&lt;=0,"",AT442/SQRT(Таблица_pr7[[#This Row],[Удельное сопротивление грунта, Ом·м]])),AT442/SQRT(Таблица_pr7[[#This Row],[Удельное сопротивление грунта, Ом·м]]))</f>
        <v/>
      </c>
      <c r="AW442" s="53"/>
      <c r="AX442" s="52"/>
      <c r="AY442" s="50"/>
      <c r="AZ442" s="61" t="str">
        <f t="shared" si="51"/>
        <v/>
      </c>
      <c r="BA442" s="61" t="str">
        <f>IFERROR(IF(AX442-AX441&lt;=0,"",AZ442/SQRT(Таблица_pr8[[#This Row],[Удельное сопротивление грунта, Ом·м]])),AZ442/SQRT(Таблица_pr8[[#This Row],[Удельное сопротивление грунта, Ом·м]]))</f>
        <v/>
      </c>
      <c r="BC442" s="53"/>
      <c r="BD442" s="52"/>
      <c r="BE442" s="50"/>
      <c r="BF442" s="61" t="str">
        <f t="shared" si="45"/>
        <v/>
      </c>
      <c r="BG442" s="61" t="str">
        <f>IFERROR(IF(BD442-AX461&lt;=0,"",BF442/SQRT(Таблица_pr9[[#This Row],[Удельное сопротивление грунта, Ом·м]])),BF442/SQRT(Таблица_pr9[[#This Row],[Удельное сопротивление грунта, Ом·м]]))</f>
        <v/>
      </c>
      <c r="BI442" s="53"/>
      <c r="BJ442" s="52"/>
      <c r="BK442" s="50"/>
      <c r="BL442" s="61" t="str">
        <f t="shared" si="52"/>
        <v/>
      </c>
      <c r="BM442" s="61" t="str">
        <f>IFERROR(IF(BJ442-BD471&lt;=0,"",BL442/SQRT(Таблица_pr10[[#This Row],[Удельное сопротивление грунта, Ом·м]])),BL442/SQRT(Таблица_pr10[[#This Row],[Удельное сопротивление грунта, Ом·м]]))</f>
        <v/>
      </c>
    </row>
    <row r="443" spans="1:65">
      <c r="A443" s="51"/>
      <c r="B443" s="52"/>
      <c r="C443" s="50"/>
      <c r="E443" s="61" t="str">
        <f>IFERROR(IF(B443-B442&lt;=0,"",D443/SQRT(Таблица_pr[[#This Row],[Удельное сопротивление грунта, Ом·м]])),D443/SQRT(Таблица_pr[[#This Row],[Удельное сопротивление грунта, Ом·м]]))</f>
        <v/>
      </c>
      <c r="G443" s="189"/>
      <c r="H443" s="185"/>
      <c r="I443" s="183"/>
      <c r="J443" s="180"/>
      <c r="K443" s="61" t="str">
        <f>IFERROR(IF(H443-H442&lt;=0,"",J443/SQRT(Таблица_pr1[[#This Row],[Удельное сопротивление грунта, Ом·м]])),J443/SQRT(Таблица_pr1[[#This Row],[Удельное сопротивление грунта, Ом·м]]))</f>
        <v/>
      </c>
      <c r="M443" s="51"/>
      <c r="N443" s="52"/>
      <c r="O443" s="50"/>
      <c r="P443" s="61" t="str">
        <f t="shared" si="48"/>
        <v/>
      </c>
      <c r="Q443" s="61" t="str">
        <f>IFERROR(IF(N443-N442&lt;=0,"",P443/SQRT(Таблица_pr2[[#This Row],[Удельное сопротивление грунта, Ом·м]])),P443/SQRT(Таблица_pr2[[#This Row],[Удельное сопротивление грунта, Ом·м]]))</f>
        <v/>
      </c>
      <c r="S443" s="51"/>
      <c r="T443" s="52"/>
      <c r="U443" s="50"/>
      <c r="V443" s="61" t="str">
        <f t="shared" si="42"/>
        <v/>
      </c>
      <c r="W443" s="61" t="str">
        <f>IFERROR(IF(T443-T442&lt;=0,"",V443/SQRT(Таблица_pr3[[#This Row],[Удельное сопротивление грунта, Ом·м]])),V443/SQRT(Таблица_pr3[[#This Row],[Удельное сопротивление грунта, Ом·м]]))</f>
        <v/>
      </c>
      <c r="Y443" s="51"/>
      <c r="Z443" s="52"/>
      <c r="AA443" s="50"/>
      <c r="AB443" s="61" t="str">
        <f t="shared" si="49"/>
        <v/>
      </c>
      <c r="AC443" s="61" t="str">
        <f>IFERROR(IF(Z443-Z442&lt;=0,"",AB443/SQRT(Таблица_pr4[[#This Row],[Удельное сопротивление грунта, Ом·м]])),AB443/SQRT(Таблица_pr4[[#This Row],[Удельное сопротивление грунта, Ом·м]]))</f>
        <v/>
      </c>
      <c r="AE443" s="51"/>
      <c r="AF443" s="52"/>
      <c r="AG443" s="50"/>
      <c r="AH443" s="61" t="str">
        <f t="shared" si="43"/>
        <v/>
      </c>
      <c r="AI443" s="61" t="str">
        <f>IFERROR(IF(AF443-AF442&lt;=0,"",AH443/SQRT(Таблица_pr5[[#This Row],[Удельное сопротивление грунта, Ом·м]])),AH443/SQRT(Таблица_pr5[[#This Row],[Удельное сопротивление грунта, Ом·м]]))</f>
        <v/>
      </c>
      <c r="AK443" s="51"/>
      <c r="AL443" s="52"/>
      <c r="AM443" s="50"/>
      <c r="AN443" s="61" t="str">
        <f t="shared" si="50"/>
        <v/>
      </c>
      <c r="AO443" s="61" t="str">
        <f>IFERROR(IF(AL443-AL442&lt;=0,"",AN443/SQRT(Таблица_pr6[[#This Row],[Удельное сопротивление грунта, Ом·м]])),AN443/SQRT(Таблица_pr6[[#This Row],[Удельное сопротивление грунта, Ом·м]]))</f>
        <v/>
      </c>
      <c r="AQ443" s="51"/>
      <c r="AR443" s="52"/>
      <c r="AS443" s="50"/>
      <c r="AT443" s="61" t="str">
        <f t="shared" si="44"/>
        <v/>
      </c>
      <c r="AU443" s="61" t="str">
        <f>IFERROR(IF(AR443-AR442&lt;=0,"",AT443/SQRT(Таблица_pr7[[#This Row],[Удельное сопротивление грунта, Ом·м]])),AT443/SQRT(Таблица_pr7[[#This Row],[Удельное сопротивление грунта, Ом·м]]))</f>
        <v/>
      </c>
      <c r="AW443" s="51"/>
      <c r="AX443" s="52"/>
      <c r="AY443" s="50"/>
      <c r="AZ443" s="61" t="str">
        <f t="shared" si="51"/>
        <v/>
      </c>
      <c r="BA443" s="61" t="str">
        <f>IFERROR(IF(AX443-AX442&lt;=0,"",AZ443/SQRT(Таблица_pr8[[#This Row],[Удельное сопротивление грунта, Ом·м]])),AZ443/SQRT(Таблица_pr8[[#This Row],[Удельное сопротивление грунта, Ом·м]]))</f>
        <v/>
      </c>
      <c r="BC443" s="51"/>
      <c r="BD443" s="52"/>
      <c r="BE443" s="50"/>
      <c r="BF443" s="61" t="str">
        <f t="shared" si="45"/>
        <v/>
      </c>
      <c r="BG443" s="61" t="str">
        <f>IFERROR(IF(BD443-AX462&lt;=0,"",BF443/SQRT(Таблица_pr9[[#This Row],[Удельное сопротивление грунта, Ом·м]])),BF443/SQRT(Таблица_pr9[[#This Row],[Удельное сопротивление грунта, Ом·м]]))</f>
        <v/>
      </c>
      <c r="BI443" s="51"/>
      <c r="BJ443" s="52"/>
      <c r="BK443" s="50"/>
      <c r="BL443" s="61" t="str">
        <f t="shared" si="52"/>
        <v/>
      </c>
      <c r="BM443" s="61" t="str">
        <f>IFERROR(IF(BJ443-BD472&lt;=0,"",BL443/SQRT(Таблица_pr10[[#This Row],[Удельное сопротивление грунта, Ом·м]])),BL443/SQRT(Таблица_pr10[[#This Row],[Удельное сопротивление грунта, Ом·м]]))</f>
        <v/>
      </c>
    </row>
    <row r="444" spans="1:65">
      <c r="A444" s="53"/>
      <c r="B444" s="52"/>
      <c r="C444" s="50"/>
      <c r="E444" s="61" t="str">
        <f>IFERROR(IF(B444-B443&lt;=0,"",D444/SQRT(Таблица_pr[[#This Row],[Удельное сопротивление грунта, Ом·м]])),D444/SQRT(Таблица_pr[[#This Row],[Удельное сопротивление грунта, Ом·м]]))</f>
        <v/>
      </c>
      <c r="G444" s="188"/>
      <c r="H444" s="184"/>
      <c r="I444" s="182"/>
      <c r="J444" s="181"/>
      <c r="K444" s="61" t="str">
        <f>IFERROR(IF(H444-H443&lt;=0,"",J444/SQRT(Таблица_pr1[[#This Row],[Удельное сопротивление грунта, Ом·м]])),J444/SQRT(Таблица_pr1[[#This Row],[Удельное сопротивление грунта, Ом·м]]))</f>
        <v/>
      </c>
      <c r="M444" s="53"/>
      <c r="N444" s="52"/>
      <c r="O444" s="50"/>
      <c r="P444" s="61" t="str">
        <f t="shared" si="48"/>
        <v/>
      </c>
      <c r="Q444" s="61" t="str">
        <f>IFERROR(IF(N444-N443&lt;=0,"",P444/SQRT(Таблица_pr2[[#This Row],[Удельное сопротивление грунта, Ом·м]])),P444/SQRT(Таблица_pr2[[#This Row],[Удельное сопротивление грунта, Ом·м]]))</f>
        <v/>
      </c>
      <c r="S444" s="53"/>
      <c r="T444" s="52"/>
      <c r="U444" s="50"/>
      <c r="V444" s="61" t="str">
        <f t="shared" si="42"/>
        <v/>
      </c>
      <c r="W444" s="61" t="str">
        <f>IFERROR(IF(T444-T443&lt;=0,"",V444/SQRT(Таблица_pr3[[#This Row],[Удельное сопротивление грунта, Ом·м]])),V444/SQRT(Таблица_pr3[[#This Row],[Удельное сопротивление грунта, Ом·м]]))</f>
        <v/>
      </c>
      <c r="Y444" s="53"/>
      <c r="Z444" s="52"/>
      <c r="AA444" s="50"/>
      <c r="AB444" s="61" t="str">
        <f t="shared" si="49"/>
        <v/>
      </c>
      <c r="AC444" s="61" t="str">
        <f>IFERROR(IF(Z444-Z443&lt;=0,"",AB444/SQRT(Таблица_pr4[[#This Row],[Удельное сопротивление грунта, Ом·м]])),AB444/SQRT(Таблица_pr4[[#This Row],[Удельное сопротивление грунта, Ом·м]]))</f>
        <v/>
      </c>
      <c r="AE444" s="53"/>
      <c r="AF444" s="52"/>
      <c r="AG444" s="50"/>
      <c r="AH444" s="61" t="str">
        <f t="shared" si="43"/>
        <v/>
      </c>
      <c r="AI444" s="61" t="str">
        <f>IFERROR(IF(AF444-AF443&lt;=0,"",AH444/SQRT(Таблица_pr5[[#This Row],[Удельное сопротивление грунта, Ом·м]])),AH444/SQRT(Таблица_pr5[[#This Row],[Удельное сопротивление грунта, Ом·м]]))</f>
        <v/>
      </c>
      <c r="AK444" s="53"/>
      <c r="AL444" s="52"/>
      <c r="AM444" s="50"/>
      <c r="AN444" s="61" t="str">
        <f t="shared" si="50"/>
        <v/>
      </c>
      <c r="AO444" s="61" t="str">
        <f>IFERROR(IF(AL444-AL443&lt;=0,"",AN444/SQRT(Таблица_pr6[[#This Row],[Удельное сопротивление грунта, Ом·м]])),AN444/SQRT(Таблица_pr6[[#This Row],[Удельное сопротивление грунта, Ом·м]]))</f>
        <v/>
      </c>
      <c r="AQ444" s="53"/>
      <c r="AR444" s="52"/>
      <c r="AS444" s="50"/>
      <c r="AT444" s="61" t="str">
        <f t="shared" si="44"/>
        <v/>
      </c>
      <c r="AU444" s="61" t="str">
        <f>IFERROR(IF(AR444-AR443&lt;=0,"",AT444/SQRT(Таблица_pr7[[#This Row],[Удельное сопротивление грунта, Ом·м]])),AT444/SQRT(Таблица_pr7[[#This Row],[Удельное сопротивление грунта, Ом·м]]))</f>
        <v/>
      </c>
      <c r="AW444" s="53"/>
      <c r="AX444" s="52"/>
      <c r="AY444" s="50"/>
      <c r="AZ444" s="61" t="str">
        <f t="shared" si="51"/>
        <v/>
      </c>
      <c r="BA444" s="61" t="str">
        <f>IFERROR(IF(AX444-AX443&lt;=0,"",AZ444/SQRT(Таблица_pr8[[#This Row],[Удельное сопротивление грунта, Ом·м]])),AZ444/SQRT(Таблица_pr8[[#This Row],[Удельное сопротивление грунта, Ом·м]]))</f>
        <v/>
      </c>
      <c r="BC444" s="53"/>
      <c r="BD444" s="52"/>
      <c r="BE444" s="50"/>
      <c r="BF444" s="61" t="str">
        <f t="shared" si="45"/>
        <v/>
      </c>
      <c r="BG444" s="61" t="str">
        <f>IFERROR(IF(BD444-AX463&lt;=0,"",BF444/SQRT(Таблица_pr9[[#This Row],[Удельное сопротивление грунта, Ом·м]])),BF444/SQRT(Таблица_pr9[[#This Row],[Удельное сопротивление грунта, Ом·м]]))</f>
        <v/>
      </c>
      <c r="BI444" s="53"/>
      <c r="BJ444" s="52"/>
      <c r="BK444" s="50"/>
      <c r="BL444" s="61" t="str">
        <f t="shared" si="52"/>
        <v/>
      </c>
      <c r="BM444" s="61" t="str">
        <f>IFERROR(IF(BJ444-BD473&lt;=0,"",BL444/SQRT(Таблица_pr10[[#This Row],[Удельное сопротивление грунта, Ом·м]])),BL444/SQRT(Таблица_pr10[[#This Row],[Удельное сопротивление грунта, Ом·м]]))</f>
        <v/>
      </c>
    </row>
    <row r="445" spans="1:65">
      <c r="A445" s="51"/>
      <c r="B445" s="52"/>
      <c r="C445" s="50"/>
      <c r="D445" s="61" t="str">
        <f>IFERROR(IF(B445-B444&lt;=0,"",(B445-B444)*1000),100)</f>
        <v/>
      </c>
      <c r="E445" s="61" t="str">
        <f>IFERROR(IF(B445-B444&lt;=0,"",D445/SQRT(Таблица_pr[[#This Row],[Удельное сопротивление грунта, Ом·м]])),D445/SQRT(Таблица_pr[[#This Row],[Удельное сопротивление грунта, Ом·м]]))</f>
        <v/>
      </c>
      <c r="G445" s="189"/>
      <c r="H445" s="185"/>
      <c r="I445" s="183"/>
      <c r="J445" s="180" t="str">
        <f>IFERROR(IF(H445-H444&lt;=0,"",(H445-H444)*1000),100)</f>
        <v/>
      </c>
      <c r="K445" s="61" t="str">
        <f>IFERROR(IF(H445-H444&lt;=0,"",J445/SQRT(Таблица_pr1[[#This Row],[Удельное сопротивление грунта, Ом·м]])),J445/SQRT(Таблица_pr1[[#This Row],[Удельное сопротивление грунта, Ом·м]]))</f>
        <v/>
      </c>
      <c r="M445" s="51"/>
      <c r="N445" s="52"/>
      <c r="O445" s="50"/>
      <c r="P445" s="61" t="str">
        <f t="shared" si="48"/>
        <v/>
      </c>
      <c r="Q445" s="61" t="str">
        <f>IFERROR(IF(N445-N444&lt;=0,"",P445/SQRT(Таблица_pr2[[#This Row],[Удельное сопротивление грунта, Ом·м]])),P445/SQRT(Таблица_pr2[[#This Row],[Удельное сопротивление грунта, Ом·м]]))</f>
        <v/>
      </c>
      <c r="S445" s="51"/>
      <c r="T445" s="52"/>
      <c r="U445" s="50"/>
      <c r="V445" s="61" t="str">
        <f t="shared" si="42"/>
        <v/>
      </c>
      <c r="W445" s="61" t="str">
        <f>IFERROR(IF(T445-T444&lt;=0,"",V445/SQRT(Таблица_pr3[[#This Row],[Удельное сопротивление грунта, Ом·м]])),V445/SQRT(Таблица_pr3[[#This Row],[Удельное сопротивление грунта, Ом·м]]))</f>
        <v/>
      </c>
      <c r="Y445" s="51"/>
      <c r="Z445" s="52"/>
      <c r="AA445" s="50"/>
      <c r="AB445" s="61" t="str">
        <f t="shared" si="49"/>
        <v/>
      </c>
      <c r="AC445" s="61" t="str">
        <f>IFERROR(IF(Z445-Z444&lt;=0,"",AB445/SQRT(Таблица_pr4[[#This Row],[Удельное сопротивление грунта, Ом·м]])),AB445/SQRT(Таблица_pr4[[#This Row],[Удельное сопротивление грунта, Ом·м]]))</f>
        <v/>
      </c>
      <c r="AE445" s="51"/>
      <c r="AF445" s="52"/>
      <c r="AG445" s="50"/>
      <c r="AH445" s="61" t="str">
        <f t="shared" si="43"/>
        <v/>
      </c>
      <c r="AI445" s="61" t="str">
        <f>IFERROR(IF(AF445-AF444&lt;=0,"",AH445/SQRT(Таблица_pr5[[#This Row],[Удельное сопротивление грунта, Ом·м]])),AH445/SQRT(Таблица_pr5[[#This Row],[Удельное сопротивление грунта, Ом·м]]))</f>
        <v/>
      </c>
      <c r="AK445" s="51"/>
      <c r="AL445" s="52"/>
      <c r="AM445" s="50"/>
      <c r="AN445" s="61" t="str">
        <f t="shared" si="50"/>
        <v/>
      </c>
      <c r="AO445" s="61" t="str">
        <f>IFERROR(IF(AL445-AL444&lt;=0,"",AN445/SQRT(Таблица_pr6[[#This Row],[Удельное сопротивление грунта, Ом·м]])),AN445/SQRT(Таблица_pr6[[#This Row],[Удельное сопротивление грунта, Ом·м]]))</f>
        <v/>
      </c>
      <c r="AQ445" s="51"/>
      <c r="AR445" s="52"/>
      <c r="AS445" s="50"/>
      <c r="AT445" s="61" t="str">
        <f t="shared" si="44"/>
        <v/>
      </c>
      <c r="AU445" s="61" t="str">
        <f>IFERROR(IF(AR445-AR444&lt;=0,"",AT445/SQRT(Таблица_pr7[[#This Row],[Удельное сопротивление грунта, Ом·м]])),AT445/SQRT(Таблица_pr7[[#This Row],[Удельное сопротивление грунта, Ом·м]]))</f>
        <v/>
      </c>
      <c r="AW445" s="51"/>
      <c r="AX445" s="52"/>
      <c r="AY445" s="50"/>
      <c r="AZ445" s="61" t="str">
        <f t="shared" si="51"/>
        <v/>
      </c>
      <c r="BA445" s="61" t="str">
        <f>IFERROR(IF(AX445-AX444&lt;=0,"",AZ445/SQRT(Таблица_pr8[[#This Row],[Удельное сопротивление грунта, Ом·м]])),AZ445/SQRT(Таблица_pr8[[#This Row],[Удельное сопротивление грунта, Ом·м]]))</f>
        <v/>
      </c>
      <c r="BC445" s="51"/>
      <c r="BD445" s="52"/>
      <c r="BE445" s="50"/>
      <c r="BF445" s="61" t="str">
        <f t="shared" si="45"/>
        <v/>
      </c>
      <c r="BG445" s="61" t="str">
        <f>IFERROR(IF(BD445-AX464&lt;=0,"",BF445/SQRT(Таблица_pr9[[#This Row],[Удельное сопротивление грунта, Ом·м]])),BF445/SQRT(Таблица_pr9[[#This Row],[Удельное сопротивление грунта, Ом·м]]))</f>
        <v/>
      </c>
      <c r="BI445" s="51"/>
      <c r="BJ445" s="52"/>
      <c r="BK445" s="50"/>
      <c r="BL445" s="61" t="str">
        <f t="shared" si="52"/>
        <v/>
      </c>
      <c r="BM445" s="61" t="str">
        <f>IFERROR(IF(BJ445-BD474&lt;=0,"",BL445/SQRT(Таблица_pr10[[#This Row],[Удельное сопротивление грунта, Ом·м]])),BL445/SQRT(Таблица_pr10[[#This Row],[Удельное сопротивление грунта, Ом·м]]))</f>
        <v/>
      </c>
    </row>
    <row r="446" spans="1:65">
      <c r="A446" s="53"/>
      <c r="B446" s="52"/>
      <c r="C446" s="50"/>
      <c r="D446" s="61" t="str">
        <f>IFERROR(IF(B446-B445&lt;=0,"",(B446-B445)*1000),100)</f>
        <v/>
      </c>
      <c r="E446" s="61" t="str">
        <f>IFERROR(IF(B446-B445&lt;=0,"",D446/SQRT(Таблица_pr[[#This Row],[Удельное сопротивление грунта, Ом·м]])),D446/SQRT(Таблица_pr[[#This Row],[Удельное сопротивление грунта, Ом·м]]))</f>
        <v/>
      </c>
      <c r="G446" s="188"/>
      <c r="H446" s="184"/>
      <c r="I446" s="182"/>
      <c r="J446" s="181" t="str">
        <f>IFERROR(IF(H446-H445&lt;=0,"",(H446-H445)*1000),100)</f>
        <v/>
      </c>
      <c r="K446" s="61" t="str">
        <f>IFERROR(IF(H446-H445&lt;=0,"",J446/SQRT(Таблица_pr1[[#This Row],[Удельное сопротивление грунта, Ом·м]])),J446/SQRT(Таблица_pr1[[#This Row],[Удельное сопротивление грунта, Ом·м]]))</f>
        <v/>
      </c>
      <c r="M446" s="53"/>
      <c r="N446" s="52"/>
      <c r="O446" s="50"/>
      <c r="P446" s="61" t="str">
        <f t="shared" si="48"/>
        <v/>
      </c>
      <c r="Q446" s="61" t="str">
        <f>IFERROR(IF(N446-N445&lt;=0,"",P446/SQRT(Таблица_pr2[[#This Row],[Удельное сопротивление грунта, Ом·м]])),P446/SQRT(Таблица_pr2[[#This Row],[Удельное сопротивление грунта, Ом·м]]))</f>
        <v/>
      </c>
      <c r="S446" s="53"/>
      <c r="T446" s="52"/>
      <c r="U446" s="50"/>
      <c r="V446" s="61" t="str">
        <f t="shared" si="42"/>
        <v/>
      </c>
      <c r="W446" s="61" t="str">
        <f>IFERROR(IF(T446-T445&lt;=0,"",V446/SQRT(Таблица_pr3[[#This Row],[Удельное сопротивление грунта, Ом·м]])),V446/SQRT(Таблица_pr3[[#This Row],[Удельное сопротивление грунта, Ом·м]]))</f>
        <v/>
      </c>
      <c r="Y446" s="53"/>
      <c r="Z446" s="52"/>
      <c r="AA446" s="50"/>
      <c r="AB446" s="61" t="str">
        <f t="shared" si="49"/>
        <v/>
      </c>
      <c r="AC446" s="61" t="str">
        <f>IFERROR(IF(Z446-Z445&lt;=0,"",AB446/SQRT(Таблица_pr4[[#This Row],[Удельное сопротивление грунта, Ом·м]])),AB446/SQRT(Таблица_pr4[[#This Row],[Удельное сопротивление грунта, Ом·м]]))</f>
        <v/>
      </c>
      <c r="AE446" s="53"/>
      <c r="AF446" s="52"/>
      <c r="AG446" s="50"/>
      <c r="AH446" s="61" t="str">
        <f t="shared" si="43"/>
        <v/>
      </c>
      <c r="AI446" s="61" t="str">
        <f>IFERROR(IF(AF446-AF445&lt;=0,"",AH446/SQRT(Таблица_pr5[[#This Row],[Удельное сопротивление грунта, Ом·м]])),AH446/SQRT(Таблица_pr5[[#This Row],[Удельное сопротивление грунта, Ом·м]]))</f>
        <v/>
      </c>
      <c r="AK446" s="53"/>
      <c r="AL446" s="52"/>
      <c r="AM446" s="50"/>
      <c r="AN446" s="61" t="str">
        <f t="shared" si="50"/>
        <v/>
      </c>
      <c r="AO446" s="61" t="str">
        <f>IFERROR(IF(AL446-AL445&lt;=0,"",AN446/SQRT(Таблица_pr6[[#This Row],[Удельное сопротивление грунта, Ом·м]])),AN446/SQRT(Таблица_pr6[[#This Row],[Удельное сопротивление грунта, Ом·м]]))</f>
        <v/>
      </c>
      <c r="AQ446" s="53"/>
      <c r="AR446" s="52"/>
      <c r="AS446" s="50"/>
      <c r="AT446" s="61" t="str">
        <f t="shared" si="44"/>
        <v/>
      </c>
      <c r="AU446" s="61" t="str">
        <f>IFERROR(IF(AR446-AR445&lt;=0,"",AT446/SQRT(Таблица_pr7[[#This Row],[Удельное сопротивление грунта, Ом·м]])),AT446/SQRT(Таблица_pr7[[#This Row],[Удельное сопротивление грунта, Ом·м]]))</f>
        <v/>
      </c>
      <c r="AW446" s="53"/>
      <c r="AX446" s="52"/>
      <c r="AY446" s="50"/>
      <c r="AZ446" s="61" t="str">
        <f t="shared" si="51"/>
        <v/>
      </c>
      <c r="BA446" s="61" t="str">
        <f>IFERROR(IF(AX446-AX445&lt;=0,"",AZ446/SQRT(Таблица_pr8[[#This Row],[Удельное сопротивление грунта, Ом·м]])),AZ446/SQRT(Таблица_pr8[[#This Row],[Удельное сопротивление грунта, Ом·м]]))</f>
        <v/>
      </c>
      <c r="BC446" s="53"/>
      <c r="BD446" s="52"/>
      <c r="BE446" s="50"/>
      <c r="BF446" s="61" t="str">
        <f t="shared" si="45"/>
        <v/>
      </c>
      <c r="BG446" s="61" t="str">
        <f>IFERROR(IF(BD446-AX465&lt;=0,"",BF446/SQRT(Таблица_pr9[[#This Row],[Удельное сопротивление грунта, Ом·м]])),BF446/SQRT(Таблица_pr9[[#This Row],[Удельное сопротивление грунта, Ом·м]]))</f>
        <v/>
      </c>
      <c r="BI446" s="53"/>
      <c r="BJ446" s="52"/>
      <c r="BK446" s="50"/>
      <c r="BL446" s="61" t="str">
        <f t="shared" si="52"/>
        <v/>
      </c>
      <c r="BM446" s="61" t="str">
        <f>IFERROR(IF(BJ446-BD475&lt;=0,"",BL446/SQRT(Таблица_pr10[[#This Row],[Удельное сопротивление грунта, Ом·м]])),BL446/SQRT(Таблица_pr10[[#This Row],[Удельное сопротивление грунта, Ом·м]]))</f>
        <v/>
      </c>
    </row>
    <row r="447" spans="1:65">
      <c r="A447" s="51"/>
      <c r="B447" s="52"/>
      <c r="C447" s="50"/>
      <c r="D447" s="61" t="str">
        <f>IFERROR(IF(B447-B446&lt;=0,"",(B447-B446)*1000),100)</f>
        <v/>
      </c>
      <c r="E447" s="61" t="str">
        <f>IFERROR(IF(B447-B446&lt;=0,"",D447/SQRT(Таблица_pr[[#This Row],[Удельное сопротивление грунта, Ом·м]])),D447/SQRT(Таблица_pr[[#This Row],[Удельное сопротивление грунта, Ом·м]]))</f>
        <v/>
      </c>
      <c r="G447" s="189"/>
      <c r="H447" s="185"/>
      <c r="I447" s="183"/>
      <c r="J447" s="180" t="str">
        <f>IFERROR(IF(H447-H446&lt;=0,"",(H447-H446)*1000),100)</f>
        <v/>
      </c>
      <c r="K447" s="61" t="str">
        <f>IFERROR(IF(H447-H446&lt;=0,"",J447/SQRT(Таблица_pr1[[#This Row],[Удельное сопротивление грунта, Ом·м]])),J447/SQRT(Таблица_pr1[[#This Row],[Удельное сопротивление грунта, Ом·м]]))</f>
        <v/>
      </c>
      <c r="M447" s="51"/>
      <c r="N447" s="52"/>
      <c r="O447" s="50"/>
      <c r="P447" s="61" t="str">
        <f t="shared" si="48"/>
        <v/>
      </c>
      <c r="Q447" s="61" t="str">
        <f>IFERROR(IF(N447-N446&lt;=0,"",P447/SQRT(Таблица_pr2[[#This Row],[Удельное сопротивление грунта, Ом·м]])),P447/SQRT(Таблица_pr2[[#This Row],[Удельное сопротивление грунта, Ом·м]]))</f>
        <v/>
      </c>
      <c r="S447" s="51"/>
      <c r="T447" s="52"/>
      <c r="U447" s="50"/>
      <c r="V447" s="61" t="str">
        <f t="shared" si="42"/>
        <v/>
      </c>
      <c r="W447" s="61" t="str">
        <f>IFERROR(IF(T447-T446&lt;=0,"",V447/SQRT(Таблица_pr3[[#This Row],[Удельное сопротивление грунта, Ом·м]])),V447/SQRT(Таблица_pr3[[#This Row],[Удельное сопротивление грунта, Ом·м]]))</f>
        <v/>
      </c>
      <c r="Y447" s="51"/>
      <c r="Z447" s="52"/>
      <c r="AA447" s="50"/>
      <c r="AB447" s="61" t="str">
        <f t="shared" si="49"/>
        <v/>
      </c>
      <c r="AC447" s="61" t="str">
        <f>IFERROR(IF(Z447-Z446&lt;=0,"",AB447/SQRT(Таблица_pr4[[#This Row],[Удельное сопротивление грунта, Ом·м]])),AB447/SQRT(Таблица_pr4[[#This Row],[Удельное сопротивление грунта, Ом·м]]))</f>
        <v/>
      </c>
      <c r="AE447" s="51"/>
      <c r="AF447" s="52"/>
      <c r="AG447" s="50"/>
      <c r="AH447" s="61" t="str">
        <f t="shared" si="43"/>
        <v/>
      </c>
      <c r="AI447" s="61" t="str">
        <f>IFERROR(IF(AF447-AF446&lt;=0,"",AH447/SQRT(Таблица_pr5[[#This Row],[Удельное сопротивление грунта, Ом·м]])),AH447/SQRT(Таблица_pr5[[#This Row],[Удельное сопротивление грунта, Ом·м]]))</f>
        <v/>
      </c>
      <c r="AK447" s="51"/>
      <c r="AL447" s="52"/>
      <c r="AM447" s="50"/>
      <c r="AN447" s="61" t="str">
        <f t="shared" si="50"/>
        <v/>
      </c>
      <c r="AO447" s="61" t="str">
        <f>IFERROR(IF(AL447-AL446&lt;=0,"",AN447/SQRT(Таблица_pr6[[#This Row],[Удельное сопротивление грунта, Ом·м]])),AN447/SQRT(Таблица_pr6[[#This Row],[Удельное сопротивление грунта, Ом·м]]))</f>
        <v/>
      </c>
      <c r="AQ447" s="51"/>
      <c r="AR447" s="52"/>
      <c r="AS447" s="50"/>
      <c r="AT447" s="61" t="str">
        <f t="shared" si="44"/>
        <v/>
      </c>
      <c r="AU447" s="61" t="str">
        <f>IFERROR(IF(AR447-AR446&lt;=0,"",AT447/SQRT(Таблица_pr7[[#This Row],[Удельное сопротивление грунта, Ом·м]])),AT447/SQRT(Таблица_pr7[[#This Row],[Удельное сопротивление грунта, Ом·м]]))</f>
        <v/>
      </c>
      <c r="AW447" s="51"/>
      <c r="AX447" s="52"/>
      <c r="AY447" s="50"/>
      <c r="AZ447" s="61" t="str">
        <f t="shared" si="51"/>
        <v/>
      </c>
      <c r="BA447" s="61" t="str">
        <f>IFERROR(IF(AX447-AX446&lt;=0,"",AZ447/SQRT(Таблица_pr8[[#This Row],[Удельное сопротивление грунта, Ом·м]])),AZ447/SQRT(Таблица_pr8[[#This Row],[Удельное сопротивление грунта, Ом·м]]))</f>
        <v/>
      </c>
      <c r="BC447" s="51"/>
      <c r="BD447" s="52"/>
      <c r="BE447" s="50"/>
      <c r="BF447" s="61" t="str">
        <f t="shared" si="45"/>
        <v/>
      </c>
      <c r="BG447" s="61" t="str">
        <f>IFERROR(IF(BD447-AX466&lt;=0,"",BF447/SQRT(Таблица_pr9[[#This Row],[Удельное сопротивление грунта, Ом·м]])),BF447/SQRT(Таблица_pr9[[#This Row],[Удельное сопротивление грунта, Ом·м]]))</f>
        <v/>
      </c>
      <c r="BI447" s="51"/>
      <c r="BJ447" s="52"/>
      <c r="BK447" s="50"/>
      <c r="BL447" s="61" t="str">
        <f t="shared" si="52"/>
        <v/>
      </c>
      <c r="BM447" s="61" t="str">
        <f>IFERROR(IF(BJ447-BD476&lt;=0,"",BL447/SQRT(Таблица_pr10[[#This Row],[Удельное сопротивление грунта, Ом·м]])),BL447/SQRT(Таблица_pr10[[#This Row],[Удельное сопротивление грунта, Ом·м]]))</f>
        <v/>
      </c>
    </row>
    <row r="448" spans="1:65">
      <c r="A448" s="53"/>
      <c r="B448" s="52"/>
      <c r="C448" s="50"/>
      <c r="D448" s="61" t="str">
        <f t="shared" ref="D448:D511" si="53">IFERROR(IF(B448-B447&lt;=0,"",(B448-B447)*1000),100)</f>
        <v/>
      </c>
      <c r="E448" s="61" t="str">
        <f>IFERROR(IF(B448-B447&lt;=0,"",D448/SQRT(Таблица_pr[[#This Row],[Удельное сопротивление грунта, Ом·м]])),D448/SQRT(Таблица_pr[[#This Row],[Удельное сопротивление грунта, Ом·м]]))</f>
        <v/>
      </c>
      <c r="G448" s="188"/>
      <c r="H448" s="184"/>
      <c r="I448" s="182"/>
      <c r="J448" s="181" t="str">
        <f t="shared" ref="J448:J511" si="54">IFERROR(IF(H448-H447&lt;=0,"",(H448-H447)*1000),100)</f>
        <v/>
      </c>
      <c r="K448" s="61" t="str">
        <f>IFERROR(IF(H448-H447&lt;=0,"",J448/SQRT(Таблица_pr1[[#This Row],[Удельное сопротивление грунта, Ом·м]])),J448/SQRT(Таблица_pr1[[#This Row],[Удельное сопротивление грунта, Ом·м]]))</f>
        <v/>
      </c>
      <c r="M448" s="53"/>
      <c r="N448" s="52"/>
      <c r="O448" s="50"/>
      <c r="P448" s="61" t="str">
        <f t="shared" si="48"/>
        <v/>
      </c>
      <c r="Q448" s="61" t="str">
        <f>IFERROR(IF(N448-N447&lt;=0,"",P448/SQRT(Таблица_pr2[[#This Row],[Удельное сопротивление грунта, Ом·м]])),P448/SQRT(Таблица_pr2[[#This Row],[Удельное сопротивление грунта, Ом·м]]))</f>
        <v/>
      </c>
      <c r="S448" s="53"/>
      <c r="T448" s="52"/>
      <c r="U448" s="50"/>
      <c r="V448" s="61" t="str">
        <f t="shared" ref="V448:V511" si="55">IFERROR(IF(T448-T447&lt;=0,"",(T448-T447)*1000),100)</f>
        <v/>
      </c>
      <c r="W448" s="61" t="str">
        <f>IFERROR(IF(T448-T447&lt;=0,"",V448/SQRT(Таблица_pr3[[#This Row],[Удельное сопротивление грунта, Ом·м]])),V448/SQRT(Таблица_pr3[[#This Row],[Удельное сопротивление грунта, Ом·м]]))</f>
        <v/>
      </c>
      <c r="Y448" s="53"/>
      <c r="Z448" s="52"/>
      <c r="AA448" s="50"/>
      <c r="AB448" s="61" t="str">
        <f t="shared" si="49"/>
        <v/>
      </c>
      <c r="AC448" s="61" t="str">
        <f>IFERROR(IF(Z448-Z447&lt;=0,"",AB448/SQRT(Таблица_pr4[[#This Row],[Удельное сопротивление грунта, Ом·м]])),AB448/SQRT(Таблица_pr4[[#This Row],[Удельное сопротивление грунта, Ом·м]]))</f>
        <v/>
      </c>
      <c r="AE448" s="53"/>
      <c r="AF448" s="52"/>
      <c r="AG448" s="50"/>
      <c r="AH448" s="61" t="str">
        <f t="shared" ref="AH448:AH511" si="56">IFERROR(IF(AF448-AF447&lt;=0,"",(AF448-AF447)*1000),100)</f>
        <v/>
      </c>
      <c r="AI448" s="61" t="str">
        <f>IFERROR(IF(AF448-AF447&lt;=0,"",AH448/SQRT(Таблица_pr5[[#This Row],[Удельное сопротивление грунта, Ом·м]])),AH448/SQRT(Таблица_pr5[[#This Row],[Удельное сопротивление грунта, Ом·м]]))</f>
        <v/>
      </c>
      <c r="AK448" s="53"/>
      <c r="AL448" s="52"/>
      <c r="AM448" s="50"/>
      <c r="AN448" s="61" t="str">
        <f t="shared" si="50"/>
        <v/>
      </c>
      <c r="AO448" s="61" t="str">
        <f>IFERROR(IF(AL448-AL447&lt;=0,"",AN448/SQRT(Таблица_pr6[[#This Row],[Удельное сопротивление грунта, Ом·м]])),AN448/SQRT(Таблица_pr6[[#This Row],[Удельное сопротивление грунта, Ом·м]]))</f>
        <v/>
      </c>
      <c r="AQ448" s="53"/>
      <c r="AR448" s="52"/>
      <c r="AS448" s="50"/>
      <c r="AT448" s="61" t="str">
        <f t="shared" ref="AT448:AT511" si="57">IFERROR(IF(AR448-AR447&lt;=0,"",(AR448-AR447)*1000),100)</f>
        <v/>
      </c>
      <c r="AU448" s="61" t="str">
        <f>IFERROR(IF(AR448-AR447&lt;=0,"",AT448/SQRT(Таблица_pr7[[#This Row],[Удельное сопротивление грунта, Ом·м]])),AT448/SQRT(Таблица_pr7[[#This Row],[Удельное сопротивление грунта, Ом·м]]))</f>
        <v/>
      </c>
      <c r="AW448" s="53"/>
      <c r="AX448" s="52"/>
      <c r="AY448" s="50"/>
      <c r="AZ448" s="61" t="str">
        <f t="shared" si="51"/>
        <v/>
      </c>
      <c r="BA448" s="61" t="str">
        <f>IFERROR(IF(AX448-AX447&lt;=0,"",AZ448/SQRT(Таблица_pr8[[#This Row],[Удельное сопротивление грунта, Ом·м]])),AZ448/SQRT(Таблица_pr8[[#This Row],[Удельное сопротивление грунта, Ом·м]]))</f>
        <v/>
      </c>
      <c r="BC448" s="53"/>
      <c r="BD448" s="52"/>
      <c r="BE448" s="50"/>
      <c r="BF448" s="61" t="str">
        <f t="shared" ref="BF448:BF511" si="58">IFERROR(IF(BD448-BD447&lt;=0,"",(BD448-BD447)*1000),100)</f>
        <v/>
      </c>
      <c r="BG448" s="61" t="str">
        <f>IFERROR(IF(BD448-AX467&lt;=0,"",BF448/SQRT(Таблица_pr9[[#This Row],[Удельное сопротивление грунта, Ом·м]])),BF448/SQRT(Таблица_pr9[[#This Row],[Удельное сопротивление грунта, Ом·м]]))</f>
        <v/>
      </c>
      <c r="BI448" s="53"/>
      <c r="BJ448" s="52"/>
      <c r="BK448" s="50"/>
      <c r="BL448" s="61" t="str">
        <f t="shared" si="52"/>
        <v/>
      </c>
      <c r="BM448" s="61" t="str">
        <f>IFERROR(IF(BJ448-BD477&lt;=0,"",BL448/SQRT(Таблица_pr10[[#This Row],[Удельное сопротивление грунта, Ом·м]])),BL448/SQRT(Таблица_pr10[[#This Row],[Удельное сопротивление грунта, Ом·м]]))</f>
        <v/>
      </c>
    </row>
    <row r="449" spans="1:65">
      <c r="A449" s="51"/>
      <c r="B449" s="52"/>
      <c r="C449" s="50"/>
      <c r="D449" s="61" t="str">
        <f t="shared" si="53"/>
        <v/>
      </c>
      <c r="E449" s="61" t="str">
        <f>IFERROR(IF(B449-B448&lt;=0,"",D449/SQRT(Таблица_pr[[#This Row],[Удельное сопротивление грунта, Ом·м]])),D449/SQRT(Таблица_pr[[#This Row],[Удельное сопротивление грунта, Ом·м]]))</f>
        <v/>
      </c>
      <c r="G449" s="189"/>
      <c r="H449" s="185"/>
      <c r="I449" s="183"/>
      <c r="J449" s="180" t="str">
        <f t="shared" si="54"/>
        <v/>
      </c>
      <c r="K449" s="61" t="str">
        <f>IFERROR(IF(H449-H448&lt;=0,"",J449/SQRT(Таблица_pr1[[#This Row],[Удельное сопротивление грунта, Ом·м]])),J449/SQRT(Таблица_pr1[[#This Row],[Удельное сопротивление грунта, Ом·м]]))</f>
        <v/>
      </c>
      <c r="M449" s="51"/>
      <c r="N449" s="52"/>
      <c r="O449" s="50"/>
      <c r="P449" s="61" t="str">
        <f t="shared" si="48"/>
        <v/>
      </c>
      <c r="Q449" s="61" t="str">
        <f>IFERROR(IF(N449-N448&lt;=0,"",P449/SQRT(Таблица_pr2[[#This Row],[Удельное сопротивление грунта, Ом·м]])),P449/SQRT(Таблица_pr2[[#This Row],[Удельное сопротивление грунта, Ом·м]]))</f>
        <v/>
      </c>
      <c r="S449" s="51"/>
      <c r="T449" s="52"/>
      <c r="U449" s="50"/>
      <c r="V449" s="61" t="str">
        <f t="shared" si="55"/>
        <v/>
      </c>
      <c r="W449" s="61" t="str">
        <f>IFERROR(IF(T449-T448&lt;=0,"",V449/SQRT(Таблица_pr3[[#This Row],[Удельное сопротивление грунта, Ом·м]])),V449/SQRT(Таблица_pr3[[#This Row],[Удельное сопротивление грунта, Ом·м]]))</f>
        <v/>
      </c>
      <c r="Y449" s="51"/>
      <c r="Z449" s="52"/>
      <c r="AA449" s="50"/>
      <c r="AB449" s="61" t="str">
        <f t="shared" si="49"/>
        <v/>
      </c>
      <c r="AC449" s="61" t="str">
        <f>IFERROR(IF(Z449-Z448&lt;=0,"",AB449/SQRT(Таблица_pr4[[#This Row],[Удельное сопротивление грунта, Ом·м]])),AB449/SQRT(Таблица_pr4[[#This Row],[Удельное сопротивление грунта, Ом·м]]))</f>
        <v/>
      </c>
      <c r="AE449" s="51"/>
      <c r="AF449" s="52"/>
      <c r="AG449" s="50"/>
      <c r="AH449" s="61" t="str">
        <f t="shared" si="56"/>
        <v/>
      </c>
      <c r="AI449" s="61" t="str">
        <f>IFERROR(IF(AF449-AF448&lt;=0,"",AH449/SQRT(Таблица_pr5[[#This Row],[Удельное сопротивление грунта, Ом·м]])),AH449/SQRT(Таблица_pr5[[#This Row],[Удельное сопротивление грунта, Ом·м]]))</f>
        <v/>
      </c>
      <c r="AK449" s="51"/>
      <c r="AL449" s="52"/>
      <c r="AM449" s="50"/>
      <c r="AN449" s="61" t="str">
        <f t="shared" si="50"/>
        <v/>
      </c>
      <c r="AO449" s="61" t="str">
        <f>IFERROR(IF(AL449-AL448&lt;=0,"",AN449/SQRT(Таблица_pr6[[#This Row],[Удельное сопротивление грунта, Ом·м]])),AN449/SQRT(Таблица_pr6[[#This Row],[Удельное сопротивление грунта, Ом·м]]))</f>
        <v/>
      </c>
      <c r="AQ449" s="51"/>
      <c r="AR449" s="52"/>
      <c r="AS449" s="50"/>
      <c r="AT449" s="61" t="str">
        <f t="shared" si="57"/>
        <v/>
      </c>
      <c r="AU449" s="61" t="str">
        <f>IFERROR(IF(AR449-AR448&lt;=0,"",AT449/SQRT(Таблица_pr7[[#This Row],[Удельное сопротивление грунта, Ом·м]])),AT449/SQRT(Таблица_pr7[[#This Row],[Удельное сопротивление грунта, Ом·м]]))</f>
        <v/>
      </c>
      <c r="AW449" s="51"/>
      <c r="AX449" s="52"/>
      <c r="AY449" s="50"/>
      <c r="AZ449" s="61" t="str">
        <f t="shared" si="51"/>
        <v/>
      </c>
      <c r="BA449" s="61" t="str">
        <f>IFERROR(IF(AX449-AX448&lt;=0,"",AZ449/SQRT(Таблица_pr8[[#This Row],[Удельное сопротивление грунта, Ом·м]])),AZ449/SQRT(Таблица_pr8[[#This Row],[Удельное сопротивление грунта, Ом·м]]))</f>
        <v/>
      </c>
      <c r="BC449" s="51"/>
      <c r="BD449" s="52"/>
      <c r="BE449" s="50"/>
      <c r="BF449" s="61" t="str">
        <f t="shared" si="58"/>
        <v/>
      </c>
      <c r="BG449" s="61" t="str">
        <f>IFERROR(IF(BD449-AX468&lt;=0,"",BF449/SQRT(Таблица_pr9[[#This Row],[Удельное сопротивление грунта, Ом·м]])),BF449/SQRT(Таблица_pr9[[#This Row],[Удельное сопротивление грунта, Ом·м]]))</f>
        <v/>
      </c>
      <c r="BI449" s="51"/>
      <c r="BJ449" s="52"/>
      <c r="BK449" s="50"/>
      <c r="BL449" s="61" t="str">
        <f t="shared" si="52"/>
        <v/>
      </c>
      <c r="BM449" s="61" t="str">
        <f>IFERROR(IF(BJ449-BD478&lt;=0,"",BL449/SQRT(Таблица_pr10[[#This Row],[Удельное сопротивление грунта, Ом·м]])),BL449/SQRT(Таблица_pr10[[#This Row],[Удельное сопротивление грунта, Ом·м]]))</f>
        <v/>
      </c>
    </row>
    <row r="450" spans="1:65">
      <c r="A450" s="53"/>
      <c r="B450" s="52"/>
      <c r="C450" s="50"/>
      <c r="D450" s="61" t="str">
        <f t="shared" si="53"/>
        <v/>
      </c>
      <c r="E450" s="61" t="str">
        <f>IFERROR(IF(B450-B449&lt;=0,"",D450/SQRT(Таблица_pr[[#This Row],[Удельное сопротивление грунта, Ом·м]])),D450/SQRT(Таблица_pr[[#This Row],[Удельное сопротивление грунта, Ом·м]]))</f>
        <v/>
      </c>
      <c r="G450" s="188"/>
      <c r="H450" s="184"/>
      <c r="I450" s="182"/>
      <c r="J450" s="181" t="str">
        <f t="shared" si="54"/>
        <v/>
      </c>
      <c r="K450" s="61" t="str">
        <f>IFERROR(IF(H450-H449&lt;=0,"",J450/SQRT(Таблица_pr1[[#This Row],[Удельное сопротивление грунта, Ом·м]])),J450/SQRT(Таблица_pr1[[#This Row],[Удельное сопротивление грунта, Ом·м]]))</f>
        <v/>
      </c>
      <c r="M450" s="53"/>
      <c r="N450" s="52"/>
      <c r="O450" s="50"/>
      <c r="P450" s="61" t="str">
        <f t="shared" si="48"/>
        <v/>
      </c>
      <c r="Q450" s="61" t="str">
        <f>IFERROR(IF(N450-N449&lt;=0,"",P450/SQRT(Таблица_pr2[[#This Row],[Удельное сопротивление грунта, Ом·м]])),P450/SQRT(Таблица_pr2[[#This Row],[Удельное сопротивление грунта, Ом·м]]))</f>
        <v/>
      </c>
      <c r="S450" s="53"/>
      <c r="T450" s="52"/>
      <c r="U450" s="50"/>
      <c r="V450" s="61" t="str">
        <f t="shared" si="55"/>
        <v/>
      </c>
      <c r="W450" s="61" t="str">
        <f>IFERROR(IF(T450-T449&lt;=0,"",V450/SQRT(Таблица_pr3[[#This Row],[Удельное сопротивление грунта, Ом·м]])),V450/SQRT(Таблица_pr3[[#This Row],[Удельное сопротивление грунта, Ом·м]]))</f>
        <v/>
      </c>
      <c r="Y450" s="53"/>
      <c r="Z450" s="52"/>
      <c r="AA450" s="50"/>
      <c r="AB450" s="61" t="str">
        <f t="shared" si="49"/>
        <v/>
      </c>
      <c r="AC450" s="61" t="str">
        <f>IFERROR(IF(Z450-Z449&lt;=0,"",AB450/SQRT(Таблица_pr4[[#This Row],[Удельное сопротивление грунта, Ом·м]])),AB450/SQRT(Таблица_pr4[[#This Row],[Удельное сопротивление грунта, Ом·м]]))</f>
        <v/>
      </c>
      <c r="AE450" s="53"/>
      <c r="AF450" s="52"/>
      <c r="AG450" s="50"/>
      <c r="AH450" s="61" t="str">
        <f t="shared" si="56"/>
        <v/>
      </c>
      <c r="AI450" s="61" t="str">
        <f>IFERROR(IF(AF450-AF449&lt;=0,"",AH450/SQRT(Таблица_pr5[[#This Row],[Удельное сопротивление грунта, Ом·м]])),AH450/SQRT(Таблица_pr5[[#This Row],[Удельное сопротивление грунта, Ом·м]]))</f>
        <v/>
      </c>
      <c r="AK450" s="53"/>
      <c r="AL450" s="52"/>
      <c r="AM450" s="50"/>
      <c r="AN450" s="61" t="str">
        <f t="shared" si="50"/>
        <v/>
      </c>
      <c r="AO450" s="61" t="str">
        <f>IFERROR(IF(AL450-AL449&lt;=0,"",AN450/SQRT(Таблица_pr6[[#This Row],[Удельное сопротивление грунта, Ом·м]])),AN450/SQRT(Таблица_pr6[[#This Row],[Удельное сопротивление грунта, Ом·м]]))</f>
        <v/>
      </c>
      <c r="AQ450" s="53"/>
      <c r="AR450" s="52"/>
      <c r="AS450" s="50"/>
      <c r="AT450" s="61" t="str">
        <f t="shared" si="57"/>
        <v/>
      </c>
      <c r="AU450" s="61" t="str">
        <f>IFERROR(IF(AR450-AR449&lt;=0,"",AT450/SQRT(Таблица_pr7[[#This Row],[Удельное сопротивление грунта, Ом·м]])),AT450/SQRT(Таблица_pr7[[#This Row],[Удельное сопротивление грунта, Ом·м]]))</f>
        <v/>
      </c>
      <c r="AW450" s="53"/>
      <c r="AX450" s="52"/>
      <c r="AY450" s="50"/>
      <c r="AZ450" s="61" t="str">
        <f t="shared" si="51"/>
        <v/>
      </c>
      <c r="BA450" s="61" t="str">
        <f>IFERROR(IF(AX450-AX449&lt;=0,"",AZ450/SQRT(Таблица_pr8[[#This Row],[Удельное сопротивление грунта, Ом·м]])),AZ450/SQRT(Таблица_pr8[[#This Row],[Удельное сопротивление грунта, Ом·м]]))</f>
        <v/>
      </c>
      <c r="BC450" s="53"/>
      <c r="BD450" s="52"/>
      <c r="BE450" s="50"/>
      <c r="BF450" s="61" t="str">
        <f t="shared" si="58"/>
        <v/>
      </c>
      <c r="BG450" s="61" t="str">
        <f>IFERROR(IF(BD450-AX469&lt;=0,"",BF450/SQRT(Таблица_pr9[[#This Row],[Удельное сопротивление грунта, Ом·м]])),BF450/SQRT(Таблица_pr9[[#This Row],[Удельное сопротивление грунта, Ом·м]]))</f>
        <v/>
      </c>
      <c r="BI450" s="53"/>
      <c r="BJ450" s="52"/>
      <c r="BK450" s="50"/>
      <c r="BL450" s="61" t="str">
        <f t="shared" si="52"/>
        <v/>
      </c>
      <c r="BM450" s="61" t="str">
        <f>IFERROR(IF(BJ450-BD479&lt;=0,"",BL450/SQRT(Таблица_pr10[[#This Row],[Удельное сопротивление грунта, Ом·м]])),BL450/SQRT(Таблица_pr10[[#This Row],[Удельное сопротивление грунта, Ом·м]]))</f>
        <v/>
      </c>
    </row>
    <row r="451" spans="1:65">
      <c r="A451" s="51"/>
      <c r="B451" s="52"/>
      <c r="C451" s="50"/>
      <c r="D451" s="61" t="str">
        <f t="shared" si="53"/>
        <v/>
      </c>
      <c r="E451" s="61" t="str">
        <f>IFERROR(IF(B451-B450&lt;=0,"",D451/SQRT(Таблица_pr[[#This Row],[Удельное сопротивление грунта, Ом·м]])),D451/SQRT(Таблица_pr[[#This Row],[Удельное сопротивление грунта, Ом·м]]))</f>
        <v/>
      </c>
      <c r="G451" s="189"/>
      <c r="H451" s="185"/>
      <c r="I451" s="183"/>
      <c r="J451" s="180" t="str">
        <f t="shared" si="54"/>
        <v/>
      </c>
      <c r="K451" s="61" t="str">
        <f>IFERROR(IF(H451-H450&lt;=0,"",J451/SQRT(Таблица_pr1[[#This Row],[Удельное сопротивление грунта, Ом·м]])),J451/SQRT(Таблица_pr1[[#This Row],[Удельное сопротивление грунта, Ом·м]]))</f>
        <v/>
      </c>
      <c r="M451" s="51"/>
      <c r="N451" s="52"/>
      <c r="O451" s="50"/>
      <c r="P451" s="61" t="str">
        <f t="shared" si="48"/>
        <v/>
      </c>
      <c r="Q451" s="61" t="str">
        <f>IFERROR(IF(N451-N450&lt;=0,"",P451/SQRT(Таблица_pr2[[#This Row],[Удельное сопротивление грунта, Ом·м]])),P451/SQRT(Таблица_pr2[[#This Row],[Удельное сопротивление грунта, Ом·м]]))</f>
        <v/>
      </c>
      <c r="S451" s="51"/>
      <c r="T451" s="52"/>
      <c r="U451" s="50"/>
      <c r="V451" s="61" t="str">
        <f t="shared" si="55"/>
        <v/>
      </c>
      <c r="W451" s="61" t="str">
        <f>IFERROR(IF(T451-T450&lt;=0,"",V451/SQRT(Таблица_pr3[[#This Row],[Удельное сопротивление грунта, Ом·м]])),V451/SQRT(Таблица_pr3[[#This Row],[Удельное сопротивление грунта, Ом·м]]))</f>
        <v/>
      </c>
      <c r="Y451" s="51"/>
      <c r="Z451" s="52"/>
      <c r="AA451" s="50"/>
      <c r="AB451" s="61" t="str">
        <f t="shared" si="49"/>
        <v/>
      </c>
      <c r="AC451" s="61" t="str">
        <f>IFERROR(IF(Z451-Z450&lt;=0,"",AB451/SQRT(Таблица_pr4[[#This Row],[Удельное сопротивление грунта, Ом·м]])),AB451/SQRT(Таблица_pr4[[#This Row],[Удельное сопротивление грунта, Ом·м]]))</f>
        <v/>
      </c>
      <c r="AE451" s="51"/>
      <c r="AF451" s="52"/>
      <c r="AG451" s="50"/>
      <c r="AH451" s="61" t="str">
        <f t="shared" si="56"/>
        <v/>
      </c>
      <c r="AI451" s="61" t="str">
        <f>IFERROR(IF(AF451-AF450&lt;=0,"",AH451/SQRT(Таблица_pr5[[#This Row],[Удельное сопротивление грунта, Ом·м]])),AH451/SQRT(Таблица_pr5[[#This Row],[Удельное сопротивление грунта, Ом·м]]))</f>
        <v/>
      </c>
      <c r="AK451" s="51"/>
      <c r="AL451" s="52"/>
      <c r="AM451" s="50"/>
      <c r="AN451" s="61" t="str">
        <f t="shared" si="50"/>
        <v/>
      </c>
      <c r="AO451" s="61" t="str">
        <f>IFERROR(IF(AL451-AL450&lt;=0,"",AN451/SQRT(Таблица_pr6[[#This Row],[Удельное сопротивление грунта, Ом·м]])),AN451/SQRT(Таблица_pr6[[#This Row],[Удельное сопротивление грунта, Ом·м]]))</f>
        <v/>
      </c>
      <c r="AQ451" s="51"/>
      <c r="AR451" s="52"/>
      <c r="AS451" s="50"/>
      <c r="AT451" s="61" t="str">
        <f t="shared" si="57"/>
        <v/>
      </c>
      <c r="AU451" s="61" t="str">
        <f>IFERROR(IF(AR451-AR450&lt;=0,"",AT451/SQRT(Таблица_pr7[[#This Row],[Удельное сопротивление грунта, Ом·м]])),AT451/SQRT(Таблица_pr7[[#This Row],[Удельное сопротивление грунта, Ом·м]]))</f>
        <v/>
      </c>
      <c r="AW451" s="51"/>
      <c r="AX451" s="52"/>
      <c r="AY451" s="50"/>
      <c r="AZ451" s="61" t="str">
        <f t="shared" si="51"/>
        <v/>
      </c>
      <c r="BA451" s="61" t="str">
        <f>IFERROR(IF(AX451-AX450&lt;=0,"",AZ451/SQRT(Таблица_pr8[[#This Row],[Удельное сопротивление грунта, Ом·м]])),AZ451/SQRT(Таблица_pr8[[#This Row],[Удельное сопротивление грунта, Ом·м]]))</f>
        <v/>
      </c>
      <c r="BC451" s="51"/>
      <c r="BD451" s="52"/>
      <c r="BE451" s="50"/>
      <c r="BF451" s="61" t="str">
        <f t="shared" si="58"/>
        <v/>
      </c>
      <c r="BG451" s="61" t="str">
        <f>IFERROR(IF(BD451-AX470&lt;=0,"",BF451/SQRT(Таблица_pr9[[#This Row],[Удельное сопротивление грунта, Ом·м]])),BF451/SQRT(Таблица_pr9[[#This Row],[Удельное сопротивление грунта, Ом·м]]))</f>
        <v/>
      </c>
      <c r="BI451" s="51"/>
      <c r="BJ451" s="52"/>
      <c r="BK451" s="50"/>
      <c r="BL451" s="61" t="str">
        <f t="shared" si="52"/>
        <v/>
      </c>
      <c r="BM451" s="61" t="str">
        <f>IFERROR(IF(BJ451-BD480&lt;=0,"",BL451/SQRT(Таблица_pr10[[#This Row],[Удельное сопротивление грунта, Ом·м]])),BL451/SQRT(Таблица_pr10[[#This Row],[Удельное сопротивление грунта, Ом·м]]))</f>
        <v/>
      </c>
    </row>
    <row r="452" spans="1:65">
      <c r="A452" s="53"/>
      <c r="B452" s="52"/>
      <c r="C452" s="50"/>
      <c r="D452" s="61" t="str">
        <f t="shared" si="53"/>
        <v/>
      </c>
      <c r="E452" s="61" t="str">
        <f>IFERROR(IF(B452-B451&lt;=0,"",D452/SQRT(Таблица_pr[[#This Row],[Удельное сопротивление грунта, Ом·м]])),D452/SQRT(Таблица_pr[[#This Row],[Удельное сопротивление грунта, Ом·м]]))</f>
        <v/>
      </c>
      <c r="G452" s="188"/>
      <c r="H452" s="184"/>
      <c r="I452" s="182"/>
      <c r="J452" s="181" t="str">
        <f t="shared" si="54"/>
        <v/>
      </c>
      <c r="K452" s="61" t="str">
        <f>IFERROR(IF(H452-H451&lt;=0,"",J452/SQRT(Таблица_pr1[[#This Row],[Удельное сопротивление грунта, Ом·м]])),J452/SQRT(Таблица_pr1[[#This Row],[Удельное сопротивление грунта, Ом·м]]))</f>
        <v/>
      </c>
      <c r="M452" s="53"/>
      <c r="N452" s="52"/>
      <c r="O452" s="50"/>
      <c r="P452" s="61" t="str">
        <f t="shared" si="48"/>
        <v/>
      </c>
      <c r="Q452" s="61" t="str">
        <f>IFERROR(IF(N452-N451&lt;=0,"",P452/SQRT(Таблица_pr2[[#This Row],[Удельное сопротивление грунта, Ом·м]])),P452/SQRT(Таблица_pr2[[#This Row],[Удельное сопротивление грунта, Ом·м]]))</f>
        <v/>
      </c>
      <c r="S452" s="53"/>
      <c r="T452" s="52"/>
      <c r="U452" s="50"/>
      <c r="V452" s="61" t="str">
        <f t="shared" si="55"/>
        <v/>
      </c>
      <c r="W452" s="61" t="str">
        <f>IFERROR(IF(T452-T451&lt;=0,"",V452/SQRT(Таблица_pr3[[#This Row],[Удельное сопротивление грунта, Ом·м]])),V452/SQRT(Таблица_pr3[[#This Row],[Удельное сопротивление грунта, Ом·м]]))</f>
        <v/>
      </c>
      <c r="Y452" s="53"/>
      <c r="Z452" s="52"/>
      <c r="AA452" s="50"/>
      <c r="AB452" s="61" t="str">
        <f t="shared" si="49"/>
        <v/>
      </c>
      <c r="AC452" s="61" t="str">
        <f>IFERROR(IF(Z452-Z451&lt;=0,"",AB452/SQRT(Таблица_pr4[[#This Row],[Удельное сопротивление грунта, Ом·м]])),AB452/SQRT(Таблица_pr4[[#This Row],[Удельное сопротивление грунта, Ом·м]]))</f>
        <v/>
      </c>
      <c r="AE452" s="53"/>
      <c r="AF452" s="52"/>
      <c r="AG452" s="50"/>
      <c r="AH452" s="61" t="str">
        <f t="shared" si="56"/>
        <v/>
      </c>
      <c r="AI452" s="61" t="str">
        <f>IFERROR(IF(AF452-AF451&lt;=0,"",AH452/SQRT(Таблица_pr5[[#This Row],[Удельное сопротивление грунта, Ом·м]])),AH452/SQRT(Таблица_pr5[[#This Row],[Удельное сопротивление грунта, Ом·м]]))</f>
        <v/>
      </c>
      <c r="AK452" s="53"/>
      <c r="AL452" s="52"/>
      <c r="AM452" s="50"/>
      <c r="AN452" s="61" t="str">
        <f t="shared" si="50"/>
        <v/>
      </c>
      <c r="AO452" s="61" t="str">
        <f>IFERROR(IF(AL452-AL451&lt;=0,"",AN452/SQRT(Таблица_pr6[[#This Row],[Удельное сопротивление грунта, Ом·м]])),AN452/SQRT(Таблица_pr6[[#This Row],[Удельное сопротивление грунта, Ом·м]]))</f>
        <v/>
      </c>
      <c r="AQ452" s="53"/>
      <c r="AR452" s="52"/>
      <c r="AS452" s="50"/>
      <c r="AT452" s="61" t="str">
        <f t="shared" si="57"/>
        <v/>
      </c>
      <c r="AU452" s="61" t="str">
        <f>IFERROR(IF(AR452-AR451&lt;=0,"",AT452/SQRT(Таблица_pr7[[#This Row],[Удельное сопротивление грунта, Ом·м]])),AT452/SQRT(Таблица_pr7[[#This Row],[Удельное сопротивление грунта, Ом·м]]))</f>
        <v/>
      </c>
      <c r="AW452" s="53"/>
      <c r="AX452" s="52"/>
      <c r="AY452" s="50"/>
      <c r="AZ452" s="61" t="str">
        <f t="shared" si="51"/>
        <v/>
      </c>
      <c r="BA452" s="61" t="str">
        <f>IFERROR(IF(AX452-AX451&lt;=0,"",AZ452/SQRT(Таблица_pr8[[#This Row],[Удельное сопротивление грунта, Ом·м]])),AZ452/SQRT(Таблица_pr8[[#This Row],[Удельное сопротивление грунта, Ом·м]]))</f>
        <v/>
      </c>
      <c r="BC452" s="53"/>
      <c r="BD452" s="52"/>
      <c r="BE452" s="50"/>
      <c r="BF452" s="61" t="str">
        <f t="shared" si="58"/>
        <v/>
      </c>
      <c r="BG452" s="61" t="str">
        <f>IFERROR(IF(BD452-AX471&lt;=0,"",BF452/SQRT(Таблица_pr9[[#This Row],[Удельное сопротивление грунта, Ом·м]])),BF452/SQRT(Таблица_pr9[[#This Row],[Удельное сопротивление грунта, Ом·м]]))</f>
        <v/>
      </c>
      <c r="BI452" s="53"/>
      <c r="BJ452" s="52"/>
      <c r="BK452" s="50"/>
      <c r="BL452" s="61" t="str">
        <f t="shared" si="52"/>
        <v/>
      </c>
      <c r="BM452" s="61" t="str">
        <f>IFERROR(IF(BJ452-BD481&lt;=0,"",BL452/SQRT(Таблица_pr10[[#This Row],[Удельное сопротивление грунта, Ом·м]])),BL452/SQRT(Таблица_pr10[[#This Row],[Удельное сопротивление грунта, Ом·м]]))</f>
        <v/>
      </c>
    </row>
    <row r="453" spans="1:65">
      <c r="A453" s="51"/>
      <c r="B453" s="52"/>
      <c r="C453" s="50"/>
      <c r="D453" s="61" t="str">
        <f t="shared" si="53"/>
        <v/>
      </c>
      <c r="E453" s="61" t="str">
        <f>IFERROR(IF(B453-B452&lt;=0,"",D453/SQRT(Таблица_pr[[#This Row],[Удельное сопротивление грунта, Ом·м]])),D453/SQRT(Таблица_pr[[#This Row],[Удельное сопротивление грунта, Ом·м]]))</f>
        <v/>
      </c>
      <c r="G453" s="189"/>
      <c r="H453" s="185"/>
      <c r="I453" s="183"/>
      <c r="J453" s="180" t="str">
        <f t="shared" si="54"/>
        <v/>
      </c>
      <c r="K453" s="61" t="str">
        <f>IFERROR(IF(H453-H452&lt;=0,"",J453/SQRT(Таблица_pr1[[#This Row],[Удельное сопротивление грунта, Ом·м]])),J453/SQRT(Таблица_pr1[[#This Row],[Удельное сопротивление грунта, Ом·м]]))</f>
        <v/>
      </c>
      <c r="M453" s="51"/>
      <c r="N453" s="52"/>
      <c r="O453" s="50"/>
      <c r="P453" s="61" t="str">
        <f t="shared" si="48"/>
        <v/>
      </c>
      <c r="Q453" s="61" t="str">
        <f>IFERROR(IF(N453-N452&lt;=0,"",P453/SQRT(Таблица_pr2[[#This Row],[Удельное сопротивление грунта, Ом·м]])),P453/SQRT(Таблица_pr2[[#This Row],[Удельное сопротивление грунта, Ом·м]]))</f>
        <v/>
      </c>
      <c r="S453" s="51"/>
      <c r="T453" s="52"/>
      <c r="U453" s="50"/>
      <c r="V453" s="61" t="str">
        <f t="shared" si="55"/>
        <v/>
      </c>
      <c r="W453" s="61" t="str">
        <f>IFERROR(IF(T453-T452&lt;=0,"",V453/SQRT(Таблица_pr3[[#This Row],[Удельное сопротивление грунта, Ом·м]])),V453/SQRT(Таблица_pr3[[#This Row],[Удельное сопротивление грунта, Ом·м]]))</f>
        <v/>
      </c>
      <c r="Y453" s="51"/>
      <c r="Z453" s="52"/>
      <c r="AA453" s="50"/>
      <c r="AB453" s="61" t="str">
        <f t="shared" si="49"/>
        <v/>
      </c>
      <c r="AC453" s="61" t="str">
        <f>IFERROR(IF(Z453-Z452&lt;=0,"",AB453/SQRT(Таблица_pr4[[#This Row],[Удельное сопротивление грунта, Ом·м]])),AB453/SQRT(Таблица_pr4[[#This Row],[Удельное сопротивление грунта, Ом·м]]))</f>
        <v/>
      </c>
      <c r="AE453" s="51"/>
      <c r="AF453" s="52"/>
      <c r="AG453" s="50"/>
      <c r="AH453" s="61" t="str">
        <f t="shared" si="56"/>
        <v/>
      </c>
      <c r="AI453" s="61" t="str">
        <f>IFERROR(IF(AF453-AF452&lt;=0,"",AH453/SQRT(Таблица_pr5[[#This Row],[Удельное сопротивление грунта, Ом·м]])),AH453/SQRT(Таблица_pr5[[#This Row],[Удельное сопротивление грунта, Ом·м]]))</f>
        <v/>
      </c>
      <c r="AK453" s="51"/>
      <c r="AL453" s="52"/>
      <c r="AM453" s="50"/>
      <c r="AN453" s="61" t="str">
        <f t="shared" si="50"/>
        <v/>
      </c>
      <c r="AO453" s="61" t="str">
        <f>IFERROR(IF(AL453-AL452&lt;=0,"",AN453/SQRT(Таблица_pr6[[#This Row],[Удельное сопротивление грунта, Ом·м]])),AN453/SQRT(Таблица_pr6[[#This Row],[Удельное сопротивление грунта, Ом·м]]))</f>
        <v/>
      </c>
      <c r="AQ453" s="51"/>
      <c r="AR453" s="52"/>
      <c r="AS453" s="50"/>
      <c r="AT453" s="61" t="str">
        <f t="shared" si="57"/>
        <v/>
      </c>
      <c r="AU453" s="61" t="str">
        <f>IFERROR(IF(AR453-AR452&lt;=0,"",AT453/SQRT(Таблица_pr7[[#This Row],[Удельное сопротивление грунта, Ом·м]])),AT453/SQRT(Таблица_pr7[[#This Row],[Удельное сопротивление грунта, Ом·м]]))</f>
        <v/>
      </c>
      <c r="AW453" s="51"/>
      <c r="AX453" s="52"/>
      <c r="AY453" s="50"/>
      <c r="AZ453" s="61" t="str">
        <f t="shared" si="51"/>
        <v/>
      </c>
      <c r="BA453" s="61" t="str">
        <f>IFERROR(IF(AX453-AX452&lt;=0,"",AZ453/SQRT(Таблица_pr8[[#This Row],[Удельное сопротивление грунта, Ом·м]])),AZ453/SQRT(Таблица_pr8[[#This Row],[Удельное сопротивление грунта, Ом·м]]))</f>
        <v/>
      </c>
      <c r="BC453" s="51"/>
      <c r="BD453" s="52"/>
      <c r="BE453" s="50"/>
      <c r="BF453" s="61" t="str">
        <f t="shared" si="58"/>
        <v/>
      </c>
      <c r="BG453" s="61" t="str">
        <f>IFERROR(IF(BD453-AX472&lt;=0,"",BF453/SQRT(Таблица_pr9[[#This Row],[Удельное сопротивление грунта, Ом·м]])),BF453/SQRT(Таблица_pr9[[#This Row],[Удельное сопротивление грунта, Ом·м]]))</f>
        <v/>
      </c>
      <c r="BI453" s="51"/>
      <c r="BJ453" s="52"/>
      <c r="BK453" s="50"/>
      <c r="BL453" s="61" t="str">
        <f t="shared" si="52"/>
        <v/>
      </c>
      <c r="BM453" s="61" t="str">
        <f>IFERROR(IF(BJ453-BD482&lt;=0,"",BL453/SQRT(Таблица_pr10[[#This Row],[Удельное сопротивление грунта, Ом·м]])),BL453/SQRT(Таблица_pr10[[#This Row],[Удельное сопротивление грунта, Ом·м]]))</f>
        <v/>
      </c>
    </row>
    <row r="454" spans="1:65">
      <c r="A454" s="53"/>
      <c r="B454" s="52"/>
      <c r="C454" s="50"/>
      <c r="D454" s="61" t="str">
        <f t="shared" si="53"/>
        <v/>
      </c>
      <c r="E454" s="61" t="str">
        <f>IFERROR(IF(B454-B453&lt;=0,"",D454/SQRT(Таблица_pr[[#This Row],[Удельное сопротивление грунта, Ом·м]])),D454/SQRT(Таблица_pr[[#This Row],[Удельное сопротивление грунта, Ом·м]]))</f>
        <v/>
      </c>
      <c r="G454" s="188"/>
      <c r="H454" s="184"/>
      <c r="I454" s="182"/>
      <c r="J454" s="181" t="str">
        <f t="shared" si="54"/>
        <v/>
      </c>
      <c r="K454" s="61" t="str">
        <f>IFERROR(IF(H454-H453&lt;=0,"",J454/SQRT(Таблица_pr1[[#This Row],[Удельное сопротивление грунта, Ом·м]])),J454/SQRT(Таблица_pr1[[#This Row],[Удельное сопротивление грунта, Ом·м]]))</f>
        <v/>
      </c>
      <c r="M454" s="53"/>
      <c r="N454" s="52"/>
      <c r="O454" s="50"/>
      <c r="P454" s="61" t="str">
        <f t="shared" ref="P454:P517" si="59">IFERROR(IF(N454-N453&lt;=0,"",(N454-N453)*1000),100)</f>
        <v/>
      </c>
      <c r="Q454" s="61" t="str">
        <f>IFERROR(IF(N454-N453&lt;=0,"",P454/SQRT(Таблица_pr2[[#This Row],[Удельное сопротивление грунта, Ом·м]])),P454/SQRT(Таблица_pr2[[#This Row],[Удельное сопротивление грунта, Ом·м]]))</f>
        <v/>
      </c>
      <c r="S454" s="53"/>
      <c r="T454" s="52"/>
      <c r="U454" s="50"/>
      <c r="V454" s="61" t="str">
        <f t="shared" si="55"/>
        <v/>
      </c>
      <c r="W454" s="61" t="str">
        <f>IFERROR(IF(T454-T453&lt;=0,"",V454/SQRT(Таблица_pr3[[#This Row],[Удельное сопротивление грунта, Ом·м]])),V454/SQRT(Таблица_pr3[[#This Row],[Удельное сопротивление грунта, Ом·м]]))</f>
        <v/>
      </c>
      <c r="Y454" s="53"/>
      <c r="Z454" s="52"/>
      <c r="AA454" s="50"/>
      <c r="AB454" s="61" t="str">
        <f t="shared" si="49"/>
        <v/>
      </c>
      <c r="AC454" s="61" t="str">
        <f>IFERROR(IF(Z454-Z453&lt;=0,"",AB454/SQRT(Таблица_pr4[[#This Row],[Удельное сопротивление грунта, Ом·м]])),AB454/SQRT(Таблица_pr4[[#This Row],[Удельное сопротивление грунта, Ом·м]]))</f>
        <v/>
      </c>
      <c r="AE454" s="53"/>
      <c r="AF454" s="52"/>
      <c r="AG454" s="50"/>
      <c r="AH454" s="61" t="str">
        <f t="shared" si="56"/>
        <v/>
      </c>
      <c r="AI454" s="61" t="str">
        <f>IFERROR(IF(AF454-AF453&lt;=0,"",AH454/SQRT(Таблица_pr5[[#This Row],[Удельное сопротивление грунта, Ом·м]])),AH454/SQRT(Таблица_pr5[[#This Row],[Удельное сопротивление грунта, Ом·м]]))</f>
        <v/>
      </c>
      <c r="AK454" s="53"/>
      <c r="AL454" s="52"/>
      <c r="AM454" s="50"/>
      <c r="AN454" s="61" t="str">
        <f t="shared" si="50"/>
        <v/>
      </c>
      <c r="AO454" s="61" t="str">
        <f>IFERROR(IF(AL454-AL453&lt;=0,"",AN454/SQRT(Таблица_pr6[[#This Row],[Удельное сопротивление грунта, Ом·м]])),AN454/SQRT(Таблица_pr6[[#This Row],[Удельное сопротивление грунта, Ом·м]]))</f>
        <v/>
      </c>
      <c r="AQ454" s="53"/>
      <c r="AR454" s="52"/>
      <c r="AS454" s="50"/>
      <c r="AT454" s="61" t="str">
        <f t="shared" si="57"/>
        <v/>
      </c>
      <c r="AU454" s="61" t="str">
        <f>IFERROR(IF(AR454-AR453&lt;=0,"",AT454/SQRT(Таблица_pr7[[#This Row],[Удельное сопротивление грунта, Ом·м]])),AT454/SQRT(Таблица_pr7[[#This Row],[Удельное сопротивление грунта, Ом·м]]))</f>
        <v/>
      </c>
      <c r="AW454" s="53"/>
      <c r="AX454" s="52"/>
      <c r="AY454" s="50"/>
      <c r="AZ454" s="61" t="str">
        <f t="shared" si="51"/>
        <v/>
      </c>
      <c r="BA454" s="61" t="str">
        <f>IFERROR(IF(AX454-AX453&lt;=0,"",AZ454/SQRT(Таблица_pr8[[#This Row],[Удельное сопротивление грунта, Ом·м]])),AZ454/SQRT(Таблица_pr8[[#This Row],[Удельное сопротивление грунта, Ом·м]]))</f>
        <v/>
      </c>
      <c r="BC454" s="53"/>
      <c r="BD454" s="52"/>
      <c r="BE454" s="50"/>
      <c r="BF454" s="61" t="str">
        <f t="shared" si="58"/>
        <v/>
      </c>
      <c r="BG454" s="61" t="str">
        <f>IFERROR(IF(BD454-AX473&lt;=0,"",BF454/SQRT(Таблица_pr9[[#This Row],[Удельное сопротивление грунта, Ом·м]])),BF454/SQRT(Таблица_pr9[[#This Row],[Удельное сопротивление грунта, Ом·м]]))</f>
        <v/>
      </c>
      <c r="BI454" s="53"/>
      <c r="BJ454" s="52"/>
      <c r="BK454" s="50"/>
      <c r="BL454" s="61" t="str">
        <f t="shared" si="52"/>
        <v/>
      </c>
      <c r="BM454" s="61" t="str">
        <f>IFERROR(IF(BJ454-BD483&lt;=0,"",BL454/SQRT(Таблица_pr10[[#This Row],[Удельное сопротивление грунта, Ом·м]])),BL454/SQRT(Таблица_pr10[[#This Row],[Удельное сопротивление грунта, Ом·м]]))</f>
        <v/>
      </c>
    </row>
    <row r="455" spans="1:65">
      <c r="A455" s="51"/>
      <c r="B455" s="52"/>
      <c r="C455" s="50"/>
      <c r="D455" s="61" t="str">
        <f t="shared" si="53"/>
        <v/>
      </c>
      <c r="E455" s="61" t="str">
        <f>IFERROR(IF(B455-B454&lt;=0,"",D455/SQRT(Таблица_pr[[#This Row],[Удельное сопротивление грунта, Ом·м]])),D455/SQRT(Таблица_pr[[#This Row],[Удельное сопротивление грунта, Ом·м]]))</f>
        <v/>
      </c>
      <c r="G455" s="189"/>
      <c r="H455" s="185"/>
      <c r="I455" s="183"/>
      <c r="J455" s="180" t="str">
        <f t="shared" si="54"/>
        <v/>
      </c>
      <c r="K455" s="61" t="str">
        <f>IFERROR(IF(H455-H454&lt;=0,"",J455/SQRT(Таблица_pr1[[#This Row],[Удельное сопротивление грунта, Ом·м]])),J455/SQRT(Таблица_pr1[[#This Row],[Удельное сопротивление грунта, Ом·м]]))</f>
        <v/>
      </c>
      <c r="M455" s="51"/>
      <c r="N455" s="52"/>
      <c r="O455" s="50"/>
      <c r="P455" s="61" t="str">
        <f t="shared" si="59"/>
        <v/>
      </c>
      <c r="Q455" s="61" t="str">
        <f>IFERROR(IF(N455-N454&lt;=0,"",P455/SQRT(Таблица_pr2[[#This Row],[Удельное сопротивление грунта, Ом·м]])),P455/SQRT(Таблица_pr2[[#This Row],[Удельное сопротивление грунта, Ом·м]]))</f>
        <v/>
      </c>
      <c r="S455" s="51"/>
      <c r="T455" s="52"/>
      <c r="U455" s="50"/>
      <c r="V455" s="61" t="str">
        <f t="shared" si="55"/>
        <v/>
      </c>
      <c r="W455" s="61" t="str">
        <f>IFERROR(IF(T455-T454&lt;=0,"",V455/SQRT(Таблица_pr3[[#This Row],[Удельное сопротивление грунта, Ом·м]])),V455/SQRT(Таблица_pr3[[#This Row],[Удельное сопротивление грунта, Ом·м]]))</f>
        <v/>
      </c>
      <c r="Y455" s="51"/>
      <c r="Z455" s="52"/>
      <c r="AA455" s="50"/>
      <c r="AB455" s="61" t="str">
        <f t="shared" ref="AB455:AB518" si="60">IFERROR(IF(Z455-Z454&lt;=0,"",(Z455-Z454)*1000),100)</f>
        <v/>
      </c>
      <c r="AC455" s="61" t="str">
        <f>IFERROR(IF(Z455-Z454&lt;=0,"",AB455/SQRT(Таблица_pr4[[#This Row],[Удельное сопротивление грунта, Ом·м]])),AB455/SQRT(Таблица_pr4[[#This Row],[Удельное сопротивление грунта, Ом·м]]))</f>
        <v/>
      </c>
      <c r="AE455" s="51"/>
      <c r="AF455" s="52"/>
      <c r="AG455" s="50"/>
      <c r="AH455" s="61" t="str">
        <f t="shared" si="56"/>
        <v/>
      </c>
      <c r="AI455" s="61" t="str">
        <f>IFERROR(IF(AF455-AF454&lt;=0,"",AH455/SQRT(Таблица_pr5[[#This Row],[Удельное сопротивление грунта, Ом·м]])),AH455/SQRT(Таблица_pr5[[#This Row],[Удельное сопротивление грунта, Ом·м]]))</f>
        <v/>
      </c>
      <c r="AK455" s="51"/>
      <c r="AL455" s="52"/>
      <c r="AM455" s="50"/>
      <c r="AN455" s="61" t="str">
        <f t="shared" ref="AN455:AN518" si="61">IFERROR(IF(AL455-AL454&lt;=0,"",(AL455-AL454)*1000),100)</f>
        <v/>
      </c>
      <c r="AO455" s="61" t="str">
        <f>IFERROR(IF(AL455-AL454&lt;=0,"",AN455/SQRT(Таблица_pr6[[#This Row],[Удельное сопротивление грунта, Ом·м]])),AN455/SQRT(Таблица_pr6[[#This Row],[Удельное сопротивление грунта, Ом·м]]))</f>
        <v/>
      </c>
      <c r="AQ455" s="51"/>
      <c r="AR455" s="52"/>
      <c r="AS455" s="50"/>
      <c r="AT455" s="61" t="str">
        <f t="shared" si="57"/>
        <v/>
      </c>
      <c r="AU455" s="61" t="str">
        <f>IFERROR(IF(AR455-AR454&lt;=0,"",AT455/SQRT(Таблица_pr7[[#This Row],[Удельное сопротивление грунта, Ом·м]])),AT455/SQRT(Таблица_pr7[[#This Row],[Удельное сопротивление грунта, Ом·м]]))</f>
        <v/>
      </c>
      <c r="AW455" s="51"/>
      <c r="AX455" s="52"/>
      <c r="AY455" s="50"/>
      <c r="AZ455" s="61" t="str">
        <f t="shared" ref="AZ455:AZ518" si="62">IFERROR(IF(AX455-AX454&lt;=0,"",(AX455-AX454)*1000),100)</f>
        <v/>
      </c>
      <c r="BA455" s="61" t="str">
        <f>IFERROR(IF(AX455-AX454&lt;=0,"",AZ455/SQRT(Таблица_pr8[[#This Row],[Удельное сопротивление грунта, Ом·м]])),AZ455/SQRT(Таблица_pr8[[#This Row],[Удельное сопротивление грунта, Ом·м]]))</f>
        <v/>
      </c>
      <c r="BC455" s="51"/>
      <c r="BD455" s="52"/>
      <c r="BE455" s="50"/>
      <c r="BF455" s="61" t="str">
        <f t="shared" si="58"/>
        <v/>
      </c>
      <c r="BG455" s="61" t="str">
        <f>IFERROR(IF(BD455-AX474&lt;=0,"",BF455/SQRT(Таблица_pr9[[#This Row],[Удельное сопротивление грунта, Ом·м]])),BF455/SQRT(Таблица_pr9[[#This Row],[Удельное сопротивление грунта, Ом·м]]))</f>
        <v/>
      </c>
      <c r="BI455" s="51"/>
      <c r="BJ455" s="52"/>
      <c r="BK455" s="50"/>
      <c r="BL455" s="61" t="str">
        <f t="shared" ref="BL455:BL518" si="63">IFERROR(IF(BJ455-BJ454&lt;=0,"",(BJ455-BJ454)*1000),100)</f>
        <v/>
      </c>
      <c r="BM455" s="61" t="str">
        <f>IFERROR(IF(BJ455-BD484&lt;=0,"",BL455/SQRT(Таблица_pr10[[#This Row],[Удельное сопротивление грунта, Ом·м]])),BL455/SQRT(Таблица_pr10[[#This Row],[Удельное сопротивление грунта, Ом·м]]))</f>
        <v/>
      </c>
    </row>
    <row r="456" spans="1:65">
      <c r="A456" s="53"/>
      <c r="B456" s="52"/>
      <c r="C456" s="50"/>
      <c r="D456" s="61" t="str">
        <f t="shared" si="53"/>
        <v/>
      </c>
      <c r="E456" s="61" t="str">
        <f>IFERROR(IF(B456-B455&lt;=0,"",D456/SQRT(Таблица_pr[[#This Row],[Удельное сопротивление грунта, Ом·м]])),D456/SQRT(Таблица_pr[[#This Row],[Удельное сопротивление грунта, Ом·м]]))</f>
        <v/>
      </c>
      <c r="G456" s="188"/>
      <c r="H456" s="184"/>
      <c r="I456" s="182"/>
      <c r="J456" s="181" t="str">
        <f t="shared" si="54"/>
        <v/>
      </c>
      <c r="K456" s="61" t="str">
        <f>IFERROR(IF(H456-H455&lt;=0,"",J456/SQRT(Таблица_pr1[[#This Row],[Удельное сопротивление грунта, Ом·м]])),J456/SQRT(Таблица_pr1[[#This Row],[Удельное сопротивление грунта, Ом·м]]))</f>
        <v/>
      </c>
      <c r="M456" s="53"/>
      <c r="N456" s="52"/>
      <c r="O456" s="50"/>
      <c r="P456" s="61" t="str">
        <f t="shared" si="59"/>
        <v/>
      </c>
      <c r="Q456" s="61" t="str">
        <f>IFERROR(IF(N456-N455&lt;=0,"",P456/SQRT(Таблица_pr2[[#This Row],[Удельное сопротивление грунта, Ом·м]])),P456/SQRT(Таблица_pr2[[#This Row],[Удельное сопротивление грунта, Ом·м]]))</f>
        <v/>
      </c>
      <c r="S456" s="53"/>
      <c r="T456" s="52"/>
      <c r="U456" s="50"/>
      <c r="V456" s="61" t="str">
        <f t="shared" si="55"/>
        <v/>
      </c>
      <c r="W456" s="61" t="str">
        <f>IFERROR(IF(T456-T455&lt;=0,"",V456/SQRT(Таблица_pr3[[#This Row],[Удельное сопротивление грунта, Ом·м]])),V456/SQRT(Таблица_pr3[[#This Row],[Удельное сопротивление грунта, Ом·м]]))</f>
        <v/>
      </c>
      <c r="Y456" s="53"/>
      <c r="Z456" s="52"/>
      <c r="AA456" s="50"/>
      <c r="AB456" s="61" t="str">
        <f t="shared" si="60"/>
        <v/>
      </c>
      <c r="AC456" s="61" t="str">
        <f>IFERROR(IF(Z456-Z455&lt;=0,"",AB456/SQRT(Таблица_pr4[[#This Row],[Удельное сопротивление грунта, Ом·м]])),AB456/SQRT(Таблица_pr4[[#This Row],[Удельное сопротивление грунта, Ом·м]]))</f>
        <v/>
      </c>
      <c r="AE456" s="53"/>
      <c r="AF456" s="52"/>
      <c r="AG456" s="50"/>
      <c r="AH456" s="61" t="str">
        <f t="shared" si="56"/>
        <v/>
      </c>
      <c r="AI456" s="61" t="str">
        <f>IFERROR(IF(AF456-AF455&lt;=0,"",AH456/SQRT(Таблица_pr5[[#This Row],[Удельное сопротивление грунта, Ом·м]])),AH456/SQRT(Таблица_pr5[[#This Row],[Удельное сопротивление грунта, Ом·м]]))</f>
        <v/>
      </c>
      <c r="AK456" s="53"/>
      <c r="AL456" s="52"/>
      <c r="AM456" s="50"/>
      <c r="AN456" s="61" t="str">
        <f t="shared" si="61"/>
        <v/>
      </c>
      <c r="AO456" s="61" t="str">
        <f>IFERROR(IF(AL456-AL455&lt;=0,"",AN456/SQRT(Таблица_pr6[[#This Row],[Удельное сопротивление грунта, Ом·м]])),AN456/SQRT(Таблица_pr6[[#This Row],[Удельное сопротивление грунта, Ом·м]]))</f>
        <v/>
      </c>
      <c r="AQ456" s="53"/>
      <c r="AR456" s="52"/>
      <c r="AS456" s="50"/>
      <c r="AT456" s="61" t="str">
        <f t="shared" si="57"/>
        <v/>
      </c>
      <c r="AU456" s="61" t="str">
        <f>IFERROR(IF(AR456-AR455&lt;=0,"",AT456/SQRT(Таблица_pr7[[#This Row],[Удельное сопротивление грунта, Ом·м]])),AT456/SQRT(Таблица_pr7[[#This Row],[Удельное сопротивление грунта, Ом·м]]))</f>
        <v/>
      </c>
      <c r="AW456" s="53"/>
      <c r="AX456" s="52"/>
      <c r="AY456" s="50"/>
      <c r="AZ456" s="61" t="str">
        <f t="shared" si="62"/>
        <v/>
      </c>
      <c r="BA456" s="61" t="str">
        <f>IFERROR(IF(AX456-AX455&lt;=0,"",AZ456/SQRT(Таблица_pr8[[#This Row],[Удельное сопротивление грунта, Ом·м]])),AZ456/SQRT(Таблица_pr8[[#This Row],[Удельное сопротивление грунта, Ом·м]]))</f>
        <v/>
      </c>
      <c r="BC456" s="53"/>
      <c r="BD456" s="52"/>
      <c r="BE456" s="50"/>
      <c r="BF456" s="61" t="str">
        <f t="shared" si="58"/>
        <v/>
      </c>
      <c r="BG456" s="61" t="str">
        <f>IFERROR(IF(BD456-AX475&lt;=0,"",BF456/SQRT(Таблица_pr9[[#This Row],[Удельное сопротивление грунта, Ом·м]])),BF456/SQRT(Таблица_pr9[[#This Row],[Удельное сопротивление грунта, Ом·м]]))</f>
        <v/>
      </c>
      <c r="BI456" s="53"/>
      <c r="BJ456" s="52"/>
      <c r="BK456" s="50"/>
      <c r="BL456" s="61" t="str">
        <f t="shared" si="63"/>
        <v/>
      </c>
      <c r="BM456" s="61" t="str">
        <f>IFERROR(IF(BJ456-BD485&lt;=0,"",BL456/SQRT(Таблица_pr10[[#This Row],[Удельное сопротивление грунта, Ом·м]])),BL456/SQRT(Таблица_pr10[[#This Row],[Удельное сопротивление грунта, Ом·м]]))</f>
        <v/>
      </c>
    </row>
    <row r="457" spans="1:65">
      <c r="A457" s="51"/>
      <c r="B457" s="52"/>
      <c r="C457" s="50"/>
      <c r="D457" s="61" t="str">
        <f t="shared" si="53"/>
        <v/>
      </c>
      <c r="E457" s="61" t="str">
        <f>IFERROR(IF(B457-B456&lt;=0,"",D457/SQRT(Таблица_pr[[#This Row],[Удельное сопротивление грунта, Ом·м]])),D457/SQRT(Таблица_pr[[#This Row],[Удельное сопротивление грунта, Ом·м]]))</f>
        <v/>
      </c>
      <c r="G457" s="189"/>
      <c r="H457" s="185"/>
      <c r="I457" s="183"/>
      <c r="J457" s="180" t="str">
        <f t="shared" si="54"/>
        <v/>
      </c>
      <c r="K457" s="61" t="str">
        <f>IFERROR(IF(H457-H456&lt;=0,"",J457/SQRT(Таблица_pr1[[#This Row],[Удельное сопротивление грунта, Ом·м]])),J457/SQRT(Таблица_pr1[[#This Row],[Удельное сопротивление грунта, Ом·м]]))</f>
        <v/>
      </c>
      <c r="M457" s="51"/>
      <c r="N457" s="52"/>
      <c r="O457" s="50"/>
      <c r="P457" s="61" t="str">
        <f t="shared" si="59"/>
        <v/>
      </c>
      <c r="Q457" s="61" t="str">
        <f>IFERROR(IF(N457-N456&lt;=0,"",P457/SQRT(Таблица_pr2[[#This Row],[Удельное сопротивление грунта, Ом·м]])),P457/SQRT(Таблица_pr2[[#This Row],[Удельное сопротивление грунта, Ом·м]]))</f>
        <v/>
      </c>
      <c r="S457" s="51"/>
      <c r="T457" s="52"/>
      <c r="U457" s="50"/>
      <c r="V457" s="61" t="str">
        <f t="shared" si="55"/>
        <v/>
      </c>
      <c r="W457" s="61" t="str">
        <f>IFERROR(IF(T457-T456&lt;=0,"",V457/SQRT(Таблица_pr3[[#This Row],[Удельное сопротивление грунта, Ом·м]])),V457/SQRT(Таблица_pr3[[#This Row],[Удельное сопротивление грунта, Ом·м]]))</f>
        <v/>
      </c>
      <c r="Y457" s="51"/>
      <c r="Z457" s="52"/>
      <c r="AA457" s="50"/>
      <c r="AB457" s="61" t="str">
        <f t="shared" si="60"/>
        <v/>
      </c>
      <c r="AC457" s="61" t="str">
        <f>IFERROR(IF(Z457-Z456&lt;=0,"",AB457/SQRT(Таблица_pr4[[#This Row],[Удельное сопротивление грунта, Ом·м]])),AB457/SQRT(Таблица_pr4[[#This Row],[Удельное сопротивление грунта, Ом·м]]))</f>
        <v/>
      </c>
      <c r="AE457" s="51"/>
      <c r="AF457" s="52"/>
      <c r="AG457" s="50"/>
      <c r="AH457" s="61" t="str">
        <f t="shared" si="56"/>
        <v/>
      </c>
      <c r="AI457" s="61" t="str">
        <f>IFERROR(IF(AF457-AF456&lt;=0,"",AH457/SQRT(Таблица_pr5[[#This Row],[Удельное сопротивление грунта, Ом·м]])),AH457/SQRT(Таблица_pr5[[#This Row],[Удельное сопротивление грунта, Ом·м]]))</f>
        <v/>
      </c>
      <c r="AK457" s="51"/>
      <c r="AL457" s="52"/>
      <c r="AM457" s="50"/>
      <c r="AN457" s="61" t="str">
        <f t="shared" si="61"/>
        <v/>
      </c>
      <c r="AO457" s="61" t="str">
        <f>IFERROR(IF(AL457-AL456&lt;=0,"",AN457/SQRT(Таблица_pr6[[#This Row],[Удельное сопротивление грунта, Ом·м]])),AN457/SQRT(Таблица_pr6[[#This Row],[Удельное сопротивление грунта, Ом·м]]))</f>
        <v/>
      </c>
      <c r="AQ457" s="51"/>
      <c r="AR457" s="52"/>
      <c r="AS457" s="50"/>
      <c r="AT457" s="61" t="str">
        <f t="shared" si="57"/>
        <v/>
      </c>
      <c r="AU457" s="61" t="str">
        <f>IFERROR(IF(AR457-AR456&lt;=0,"",AT457/SQRT(Таблица_pr7[[#This Row],[Удельное сопротивление грунта, Ом·м]])),AT457/SQRT(Таблица_pr7[[#This Row],[Удельное сопротивление грунта, Ом·м]]))</f>
        <v/>
      </c>
      <c r="AW457" s="51"/>
      <c r="AX457" s="52"/>
      <c r="AY457" s="50"/>
      <c r="AZ457" s="61" t="str">
        <f t="shared" si="62"/>
        <v/>
      </c>
      <c r="BA457" s="61" t="str">
        <f>IFERROR(IF(AX457-AX456&lt;=0,"",AZ457/SQRT(Таблица_pr8[[#This Row],[Удельное сопротивление грунта, Ом·м]])),AZ457/SQRT(Таблица_pr8[[#This Row],[Удельное сопротивление грунта, Ом·м]]))</f>
        <v/>
      </c>
      <c r="BC457" s="51"/>
      <c r="BD457" s="52"/>
      <c r="BE457" s="50"/>
      <c r="BF457" s="61" t="str">
        <f t="shared" si="58"/>
        <v/>
      </c>
      <c r="BG457" s="61" t="str">
        <f>IFERROR(IF(BD457-AX476&lt;=0,"",BF457/SQRT(Таблица_pr9[[#This Row],[Удельное сопротивление грунта, Ом·м]])),BF457/SQRT(Таблица_pr9[[#This Row],[Удельное сопротивление грунта, Ом·м]]))</f>
        <v/>
      </c>
      <c r="BI457" s="51"/>
      <c r="BJ457" s="52"/>
      <c r="BK457" s="50"/>
      <c r="BL457" s="61" t="str">
        <f t="shared" si="63"/>
        <v/>
      </c>
      <c r="BM457" s="61" t="str">
        <f>IFERROR(IF(BJ457-BD486&lt;=0,"",BL457/SQRT(Таблица_pr10[[#This Row],[Удельное сопротивление грунта, Ом·м]])),BL457/SQRT(Таблица_pr10[[#This Row],[Удельное сопротивление грунта, Ом·м]]))</f>
        <v/>
      </c>
    </row>
    <row r="458" spans="1:65">
      <c r="A458" s="53"/>
      <c r="B458" s="52"/>
      <c r="C458" s="50"/>
      <c r="D458" s="61" t="str">
        <f t="shared" si="53"/>
        <v/>
      </c>
      <c r="E458" s="61" t="str">
        <f>IFERROR(IF(B458-B457&lt;=0,"",D458/SQRT(Таблица_pr[[#This Row],[Удельное сопротивление грунта, Ом·м]])),D458/SQRT(Таблица_pr[[#This Row],[Удельное сопротивление грунта, Ом·м]]))</f>
        <v/>
      </c>
      <c r="G458" s="188"/>
      <c r="H458" s="184"/>
      <c r="I458" s="182"/>
      <c r="J458" s="181" t="str">
        <f t="shared" si="54"/>
        <v/>
      </c>
      <c r="K458" s="61" t="str">
        <f>IFERROR(IF(H458-H457&lt;=0,"",J458/SQRT(Таблица_pr1[[#This Row],[Удельное сопротивление грунта, Ом·м]])),J458/SQRT(Таблица_pr1[[#This Row],[Удельное сопротивление грунта, Ом·м]]))</f>
        <v/>
      </c>
      <c r="M458" s="53"/>
      <c r="N458" s="52"/>
      <c r="O458" s="50"/>
      <c r="P458" s="61" t="str">
        <f t="shared" si="59"/>
        <v/>
      </c>
      <c r="Q458" s="61" t="str">
        <f>IFERROR(IF(N458-N457&lt;=0,"",P458/SQRT(Таблица_pr2[[#This Row],[Удельное сопротивление грунта, Ом·м]])),P458/SQRT(Таблица_pr2[[#This Row],[Удельное сопротивление грунта, Ом·м]]))</f>
        <v/>
      </c>
      <c r="S458" s="53"/>
      <c r="T458" s="52"/>
      <c r="U458" s="50"/>
      <c r="V458" s="61" t="str">
        <f t="shared" si="55"/>
        <v/>
      </c>
      <c r="W458" s="61" t="str">
        <f>IFERROR(IF(T458-T457&lt;=0,"",V458/SQRT(Таблица_pr3[[#This Row],[Удельное сопротивление грунта, Ом·м]])),V458/SQRT(Таблица_pr3[[#This Row],[Удельное сопротивление грунта, Ом·м]]))</f>
        <v/>
      </c>
      <c r="Y458" s="53"/>
      <c r="Z458" s="52"/>
      <c r="AA458" s="50"/>
      <c r="AB458" s="61" t="str">
        <f t="shared" si="60"/>
        <v/>
      </c>
      <c r="AC458" s="61" t="str">
        <f>IFERROR(IF(Z458-Z457&lt;=0,"",AB458/SQRT(Таблица_pr4[[#This Row],[Удельное сопротивление грунта, Ом·м]])),AB458/SQRT(Таблица_pr4[[#This Row],[Удельное сопротивление грунта, Ом·м]]))</f>
        <v/>
      </c>
      <c r="AE458" s="53"/>
      <c r="AF458" s="52"/>
      <c r="AG458" s="50"/>
      <c r="AH458" s="61" t="str">
        <f t="shared" si="56"/>
        <v/>
      </c>
      <c r="AI458" s="61" t="str">
        <f>IFERROR(IF(AF458-AF457&lt;=0,"",AH458/SQRT(Таблица_pr5[[#This Row],[Удельное сопротивление грунта, Ом·м]])),AH458/SQRT(Таблица_pr5[[#This Row],[Удельное сопротивление грунта, Ом·м]]))</f>
        <v/>
      </c>
      <c r="AK458" s="53"/>
      <c r="AL458" s="52"/>
      <c r="AM458" s="50"/>
      <c r="AN458" s="61" t="str">
        <f t="shared" si="61"/>
        <v/>
      </c>
      <c r="AO458" s="61" t="str">
        <f>IFERROR(IF(AL458-AL457&lt;=0,"",AN458/SQRT(Таблица_pr6[[#This Row],[Удельное сопротивление грунта, Ом·м]])),AN458/SQRT(Таблица_pr6[[#This Row],[Удельное сопротивление грунта, Ом·м]]))</f>
        <v/>
      </c>
      <c r="AQ458" s="53"/>
      <c r="AR458" s="52"/>
      <c r="AS458" s="50"/>
      <c r="AT458" s="61" t="str">
        <f t="shared" si="57"/>
        <v/>
      </c>
      <c r="AU458" s="61" t="str">
        <f>IFERROR(IF(AR458-AR457&lt;=0,"",AT458/SQRT(Таблица_pr7[[#This Row],[Удельное сопротивление грунта, Ом·м]])),AT458/SQRT(Таблица_pr7[[#This Row],[Удельное сопротивление грунта, Ом·м]]))</f>
        <v/>
      </c>
      <c r="AW458" s="53"/>
      <c r="AX458" s="52"/>
      <c r="AY458" s="50"/>
      <c r="AZ458" s="61" t="str">
        <f t="shared" si="62"/>
        <v/>
      </c>
      <c r="BA458" s="61" t="str">
        <f>IFERROR(IF(AX458-AX457&lt;=0,"",AZ458/SQRT(Таблица_pr8[[#This Row],[Удельное сопротивление грунта, Ом·м]])),AZ458/SQRT(Таблица_pr8[[#This Row],[Удельное сопротивление грунта, Ом·м]]))</f>
        <v/>
      </c>
      <c r="BC458" s="53"/>
      <c r="BD458" s="52"/>
      <c r="BE458" s="50"/>
      <c r="BF458" s="61" t="str">
        <f t="shared" si="58"/>
        <v/>
      </c>
      <c r="BG458" s="61" t="str">
        <f>IFERROR(IF(BD458-AX477&lt;=0,"",BF458/SQRT(Таблица_pr9[[#This Row],[Удельное сопротивление грунта, Ом·м]])),BF458/SQRT(Таблица_pr9[[#This Row],[Удельное сопротивление грунта, Ом·м]]))</f>
        <v/>
      </c>
      <c r="BI458" s="53"/>
      <c r="BJ458" s="52"/>
      <c r="BK458" s="50"/>
      <c r="BL458" s="61" t="str">
        <f t="shared" si="63"/>
        <v/>
      </c>
      <c r="BM458" s="61" t="str">
        <f>IFERROR(IF(BJ458-BD487&lt;=0,"",BL458/SQRT(Таблица_pr10[[#This Row],[Удельное сопротивление грунта, Ом·м]])),BL458/SQRT(Таблица_pr10[[#This Row],[Удельное сопротивление грунта, Ом·м]]))</f>
        <v/>
      </c>
    </row>
    <row r="459" spans="1:65">
      <c r="A459" s="51"/>
      <c r="B459" s="52"/>
      <c r="C459" s="50"/>
      <c r="D459" s="61" t="str">
        <f t="shared" si="53"/>
        <v/>
      </c>
      <c r="E459" s="61" t="str">
        <f>IFERROR(IF(B459-B458&lt;=0,"",D459/SQRT(Таблица_pr[[#This Row],[Удельное сопротивление грунта, Ом·м]])),D459/SQRT(Таблица_pr[[#This Row],[Удельное сопротивление грунта, Ом·м]]))</f>
        <v/>
      </c>
      <c r="G459" s="189"/>
      <c r="H459" s="185"/>
      <c r="I459" s="183"/>
      <c r="J459" s="180" t="str">
        <f t="shared" si="54"/>
        <v/>
      </c>
      <c r="K459" s="61" t="str">
        <f>IFERROR(IF(H459-H458&lt;=0,"",J459/SQRT(Таблица_pr1[[#This Row],[Удельное сопротивление грунта, Ом·м]])),J459/SQRT(Таблица_pr1[[#This Row],[Удельное сопротивление грунта, Ом·м]]))</f>
        <v/>
      </c>
      <c r="M459" s="51"/>
      <c r="N459" s="52"/>
      <c r="O459" s="50"/>
      <c r="P459" s="61" t="str">
        <f t="shared" si="59"/>
        <v/>
      </c>
      <c r="Q459" s="61" t="str">
        <f>IFERROR(IF(N459-N458&lt;=0,"",P459/SQRT(Таблица_pr2[[#This Row],[Удельное сопротивление грунта, Ом·м]])),P459/SQRT(Таблица_pr2[[#This Row],[Удельное сопротивление грунта, Ом·м]]))</f>
        <v/>
      </c>
      <c r="S459" s="51"/>
      <c r="T459" s="52"/>
      <c r="U459" s="50"/>
      <c r="V459" s="61" t="str">
        <f t="shared" si="55"/>
        <v/>
      </c>
      <c r="W459" s="61" t="str">
        <f>IFERROR(IF(T459-T458&lt;=0,"",V459/SQRT(Таблица_pr3[[#This Row],[Удельное сопротивление грунта, Ом·м]])),V459/SQRT(Таблица_pr3[[#This Row],[Удельное сопротивление грунта, Ом·м]]))</f>
        <v/>
      </c>
      <c r="Y459" s="51"/>
      <c r="Z459" s="52"/>
      <c r="AA459" s="50"/>
      <c r="AB459" s="61" t="str">
        <f t="shared" si="60"/>
        <v/>
      </c>
      <c r="AC459" s="61" t="str">
        <f>IFERROR(IF(Z459-Z458&lt;=0,"",AB459/SQRT(Таблица_pr4[[#This Row],[Удельное сопротивление грунта, Ом·м]])),AB459/SQRT(Таблица_pr4[[#This Row],[Удельное сопротивление грунта, Ом·м]]))</f>
        <v/>
      </c>
      <c r="AE459" s="51"/>
      <c r="AF459" s="52"/>
      <c r="AG459" s="50"/>
      <c r="AH459" s="61" t="str">
        <f t="shared" si="56"/>
        <v/>
      </c>
      <c r="AI459" s="61" t="str">
        <f>IFERROR(IF(AF459-AF458&lt;=0,"",AH459/SQRT(Таблица_pr5[[#This Row],[Удельное сопротивление грунта, Ом·м]])),AH459/SQRT(Таблица_pr5[[#This Row],[Удельное сопротивление грунта, Ом·м]]))</f>
        <v/>
      </c>
      <c r="AK459" s="51"/>
      <c r="AL459" s="52"/>
      <c r="AM459" s="50"/>
      <c r="AN459" s="61" t="str">
        <f t="shared" si="61"/>
        <v/>
      </c>
      <c r="AO459" s="61" t="str">
        <f>IFERROR(IF(AL459-AL458&lt;=0,"",AN459/SQRT(Таблица_pr6[[#This Row],[Удельное сопротивление грунта, Ом·м]])),AN459/SQRT(Таблица_pr6[[#This Row],[Удельное сопротивление грунта, Ом·м]]))</f>
        <v/>
      </c>
      <c r="AQ459" s="51"/>
      <c r="AR459" s="52"/>
      <c r="AS459" s="50"/>
      <c r="AT459" s="61" t="str">
        <f t="shared" si="57"/>
        <v/>
      </c>
      <c r="AU459" s="61" t="str">
        <f>IFERROR(IF(AR459-AR458&lt;=0,"",AT459/SQRT(Таблица_pr7[[#This Row],[Удельное сопротивление грунта, Ом·м]])),AT459/SQRT(Таблица_pr7[[#This Row],[Удельное сопротивление грунта, Ом·м]]))</f>
        <v/>
      </c>
      <c r="AW459" s="51"/>
      <c r="AX459" s="52"/>
      <c r="AY459" s="50"/>
      <c r="AZ459" s="61" t="str">
        <f t="shared" si="62"/>
        <v/>
      </c>
      <c r="BA459" s="61" t="str">
        <f>IFERROR(IF(AX459-AX458&lt;=0,"",AZ459/SQRT(Таблица_pr8[[#This Row],[Удельное сопротивление грунта, Ом·м]])),AZ459/SQRT(Таблица_pr8[[#This Row],[Удельное сопротивление грунта, Ом·м]]))</f>
        <v/>
      </c>
      <c r="BC459" s="51"/>
      <c r="BD459" s="52"/>
      <c r="BE459" s="50"/>
      <c r="BF459" s="61" t="str">
        <f t="shared" si="58"/>
        <v/>
      </c>
      <c r="BG459" s="61" t="str">
        <f>IFERROR(IF(BD459-AX478&lt;=0,"",BF459/SQRT(Таблица_pr9[[#This Row],[Удельное сопротивление грунта, Ом·м]])),BF459/SQRT(Таблица_pr9[[#This Row],[Удельное сопротивление грунта, Ом·м]]))</f>
        <v/>
      </c>
      <c r="BI459" s="51"/>
      <c r="BJ459" s="52"/>
      <c r="BK459" s="50"/>
      <c r="BL459" s="61" t="str">
        <f t="shared" si="63"/>
        <v/>
      </c>
      <c r="BM459" s="61" t="str">
        <f>IFERROR(IF(BJ459-BD488&lt;=0,"",BL459/SQRT(Таблица_pr10[[#This Row],[Удельное сопротивление грунта, Ом·м]])),BL459/SQRT(Таблица_pr10[[#This Row],[Удельное сопротивление грунта, Ом·м]]))</f>
        <v/>
      </c>
    </row>
    <row r="460" spans="1:65">
      <c r="A460" s="53"/>
      <c r="B460" s="52"/>
      <c r="C460" s="50"/>
      <c r="D460" s="61" t="str">
        <f t="shared" si="53"/>
        <v/>
      </c>
      <c r="E460" s="61" t="str">
        <f>IFERROR(IF(B460-B459&lt;=0,"",D460/SQRT(Таблица_pr[[#This Row],[Удельное сопротивление грунта, Ом·м]])),D460/SQRT(Таблица_pr[[#This Row],[Удельное сопротивление грунта, Ом·м]]))</f>
        <v/>
      </c>
      <c r="G460" s="188"/>
      <c r="H460" s="184"/>
      <c r="I460" s="182"/>
      <c r="J460" s="181" t="str">
        <f t="shared" si="54"/>
        <v/>
      </c>
      <c r="K460" s="61" t="str">
        <f>IFERROR(IF(H460-H459&lt;=0,"",J460/SQRT(Таблица_pr1[[#This Row],[Удельное сопротивление грунта, Ом·м]])),J460/SQRT(Таблица_pr1[[#This Row],[Удельное сопротивление грунта, Ом·м]]))</f>
        <v/>
      </c>
      <c r="M460" s="53"/>
      <c r="N460" s="52"/>
      <c r="O460" s="50"/>
      <c r="P460" s="61" t="str">
        <f t="shared" si="59"/>
        <v/>
      </c>
      <c r="Q460" s="61" t="str">
        <f>IFERROR(IF(N460-N459&lt;=0,"",P460/SQRT(Таблица_pr2[[#This Row],[Удельное сопротивление грунта, Ом·м]])),P460/SQRT(Таблица_pr2[[#This Row],[Удельное сопротивление грунта, Ом·м]]))</f>
        <v/>
      </c>
      <c r="S460" s="53"/>
      <c r="T460" s="52"/>
      <c r="U460" s="50"/>
      <c r="V460" s="61" t="str">
        <f t="shared" si="55"/>
        <v/>
      </c>
      <c r="W460" s="61" t="str">
        <f>IFERROR(IF(T460-T459&lt;=0,"",V460/SQRT(Таблица_pr3[[#This Row],[Удельное сопротивление грунта, Ом·м]])),V460/SQRT(Таблица_pr3[[#This Row],[Удельное сопротивление грунта, Ом·м]]))</f>
        <v/>
      </c>
      <c r="Y460" s="53"/>
      <c r="Z460" s="52"/>
      <c r="AA460" s="50"/>
      <c r="AB460" s="61" t="str">
        <f t="shared" si="60"/>
        <v/>
      </c>
      <c r="AC460" s="61" t="str">
        <f>IFERROR(IF(Z460-Z459&lt;=0,"",AB460/SQRT(Таблица_pr4[[#This Row],[Удельное сопротивление грунта, Ом·м]])),AB460/SQRT(Таблица_pr4[[#This Row],[Удельное сопротивление грунта, Ом·м]]))</f>
        <v/>
      </c>
      <c r="AE460" s="53"/>
      <c r="AF460" s="52"/>
      <c r="AG460" s="50"/>
      <c r="AH460" s="61" t="str">
        <f t="shared" si="56"/>
        <v/>
      </c>
      <c r="AI460" s="61" t="str">
        <f>IFERROR(IF(AF460-AF459&lt;=0,"",AH460/SQRT(Таблица_pr5[[#This Row],[Удельное сопротивление грунта, Ом·м]])),AH460/SQRT(Таблица_pr5[[#This Row],[Удельное сопротивление грунта, Ом·м]]))</f>
        <v/>
      </c>
      <c r="AK460" s="53"/>
      <c r="AL460" s="52"/>
      <c r="AM460" s="50"/>
      <c r="AN460" s="61" t="str">
        <f t="shared" si="61"/>
        <v/>
      </c>
      <c r="AO460" s="61" t="str">
        <f>IFERROR(IF(AL460-AL459&lt;=0,"",AN460/SQRT(Таблица_pr6[[#This Row],[Удельное сопротивление грунта, Ом·м]])),AN460/SQRT(Таблица_pr6[[#This Row],[Удельное сопротивление грунта, Ом·м]]))</f>
        <v/>
      </c>
      <c r="AQ460" s="53"/>
      <c r="AR460" s="52"/>
      <c r="AS460" s="50"/>
      <c r="AT460" s="61" t="str">
        <f t="shared" si="57"/>
        <v/>
      </c>
      <c r="AU460" s="61" t="str">
        <f>IFERROR(IF(AR460-AR459&lt;=0,"",AT460/SQRT(Таблица_pr7[[#This Row],[Удельное сопротивление грунта, Ом·м]])),AT460/SQRT(Таблица_pr7[[#This Row],[Удельное сопротивление грунта, Ом·м]]))</f>
        <v/>
      </c>
      <c r="AW460" s="53"/>
      <c r="AX460" s="52"/>
      <c r="AY460" s="50"/>
      <c r="AZ460" s="61" t="str">
        <f t="shared" si="62"/>
        <v/>
      </c>
      <c r="BA460" s="61" t="str">
        <f>IFERROR(IF(AX460-AX459&lt;=0,"",AZ460/SQRT(Таблица_pr8[[#This Row],[Удельное сопротивление грунта, Ом·м]])),AZ460/SQRT(Таблица_pr8[[#This Row],[Удельное сопротивление грунта, Ом·м]]))</f>
        <v/>
      </c>
      <c r="BC460" s="53"/>
      <c r="BD460" s="52"/>
      <c r="BE460" s="50"/>
      <c r="BF460" s="61" t="str">
        <f t="shared" si="58"/>
        <v/>
      </c>
      <c r="BG460" s="61" t="str">
        <f>IFERROR(IF(BD460-AX479&lt;=0,"",BF460/SQRT(Таблица_pr9[[#This Row],[Удельное сопротивление грунта, Ом·м]])),BF460/SQRT(Таблица_pr9[[#This Row],[Удельное сопротивление грунта, Ом·м]]))</f>
        <v/>
      </c>
      <c r="BI460" s="53"/>
      <c r="BJ460" s="52"/>
      <c r="BK460" s="50"/>
      <c r="BL460" s="61" t="str">
        <f t="shared" si="63"/>
        <v/>
      </c>
      <c r="BM460" s="61" t="str">
        <f>IFERROR(IF(BJ460-BD489&lt;=0,"",BL460/SQRT(Таблица_pr10[[#This Row],[Удельное сопротивление грунта, Ом·м]])),BL460/SQRT(Таблица_pr10[[#This Row],[Удельное сопротивление грунта, Ом·м]]))</f>
        <v/>
      </c>
    </row>
    <row r="461" spans="1:65">
      <c r="A461" s="51"/>
      <c r="B461" s="52"/>
      <c r="C461" s="50"/>
      <c r="D461" s="61" t="str">
        <f t="shared" si="53"/>
        <v/>
      </c>
      <c r="E461" s="61" t="str">
        <f>IFERROR(IF(B461-B460&lt;=0,"",D461/SQRT(Таблица_pr[[#This Row],[Удельное сопротивление грунта, Ом·м]])),D461/SQRT(Таблица_pr[[#This Row],[Удельное сопротивление грунта, Ом·м]]))</f>
        <v/>
      </c>
      <c r="G461" s="189"/>
      <c r="H461" s="185"/>
      <c r="I461" s="183"/>
      <c r="J461" s="180" t="str">
        <f t="shared" si="54"/>
        <v/>
      </c>
      <c r="K461" s="61" t="str">
        <f>IFERROR(IF(H461-H460&lt;=0,"",J461/SQRT(Таблица_pr1[[#This Row],[Удельное сопротивление грунта, Ом·м]])),J461/SQRT(Таблица_pr1[[#This Row],[Удельное сопротивление грунта, Ом·м]]))</f>
        <v/>
      </c>
      <c r="M461" s="51"/>
      <c r="N461" s="52"/>
      <c r="O461" s="50"/>
      <c r="P461" s="61" t="str">
        <f t="shared" si="59"/>
        <v/>
      </c>
      <c r="Q461" s="61" t="str">
        <f>IFERROR(IF(N461-N460&lt;=0,"",P461/SQRT(Таблица_pr2[[#This Row],[Удельное сопротивление грунта, Ом·м]])),P461/SQRT(Таблица_pr2[[#This Row],[Удельное сопротивление грунта, Ом·м]]))</f>
        <v/>
      </c>
      <c r="S461" s="51"/>
      <c r="T461" s="52"/>
      <c r="U461" s="50"/>
      <c r="V461" s="61" t="str">
        <f t="shared" si="55"/>
        <v/>
      </c>
      <c r="W461" s="61" t="str">
        <f>IFERROR(IF(T461-T460&lt;=0,"",V461/SQRT(Таблица_pr3[[#This Row],[Удельное сопротивление грунта, Ом·м]])),V461/SQRT(Таблица_pr3[[#This Row],[Удельное сопротивление грунта, Ом·м]]))</f>
        <v/>
      </c>
      <c r="Y461" s="51"/>
      <c r="Z461" s="52"/>
      <c r="AA461" s="50"/>
      <c r="AB461" s="61" t="str">
        <f t="shared" si="60"/>
        <v/>
      </c>
      <c r="AC461" s="61" t="str">
        <f>IFERROR(IF(Z461-Z460&lt;=0,"",AB461/SQRT(Таблица_pr4[[#This Row],[Удельное сопротивление грунта, Ом·м]])),AB461/SQRT(Таблица_pr4[[#This Row],[Удельное сопротивление грунта, Ом·м]]))</f>
        <v/>
      </c>
      <c r="AE461" s="51"/>
      <c r="AF461" s="52"/>
      <c r="AG461" s="50"/>
      <c r="AH461" s="61" t="str">
        <f t="shared" si="56"/>
        <v/>
      </c>
      <c r="AI461" s="61" t="str">
        <f>IFERROR(IF(AF461-AF460&lt;=0,"",AH461/SQRT(Таблица_pr5[[#This Row],[Удельное сопротивление грунта, Ом·м]])),AH461/SQRT(Таблица_pr5[[#This Row],[Удельное сопротивление грунта, Ом·м]]))</f>
        <v/>
      </c>
      <c r="AK461" s="51"/>
      <c r="AL461" s="52"/>
      <c r="AM461" s="50"/>
      <c r="AN461" s="61" t="str">
        <f t="shared" si="61"/>
        <v/>
      </c>
      <c r="AO461" s="61" t="str">
        <f>IFERROR(IF(AL461-AL460&lt;=0,"",AN461/SQRT(Таблица_pr6[[#This Row],[Удельное сопротивление грунта, Ом·м]])),AN461/SQRT(Таблица_pr6[[#This Row],[Удельное сопротивление грунта, Ом·м]]))</f>
        <v/>
      </c>
      <c r="AQ461" s="51"/>
      <c r="AR461" s="52"/>
      <c r="AS461" s="50"/>
      <c r="AT461" s="61" t="str">
        <f t="shared" si="57"/>
        <v/>
      </c>
      <c r="AU461" s="61" t="str">
        <f>IFERROR(IF(AR461-AR460&lt;=0,"",AT461/SQRT(Таблица_pr7[[#This Row],[Удельное сопротивление грунта, Ом·м]])),AT461/SQRT(Таблица_pr7[[#This Row],[Удельное сопротивление грунта, Ом·м]]))</f>
        <v/>
      </c>
      <c r="AW461" s="51"/>
      <c r="AX461" s="52"/>
      <c r="AY461" s="50"/>
      <c r="AZ461" s="61" t="str">
        <f t="shared" si="62"/>
        <v/>
      </c>
      <c r="BA461" s="61" t="str">
        <f>IFERROR(IF(AX461-AX460&lt;=0,"",AZ461/SQRT(Таблица_pr8[[#This Row],[Удельное сопротивление грунта, Ом·м]])),AZ461/SQRT(Таблица_pr8[[#This Row],[Удельное сопротивление грунта, Ом·м]]))</f>
        <v/>
      </c>
      <c r="BC461" s="51"/>
      <c r="BD461" s="52"/>
      <c r="BE461" s="50"/>
      <c r="BF461" s="61" t="str">
        <f t="shared" si="58"/>
        <v/>
      </c>
      <c r="BG461" s="61" t="str">
        <f>IFERROR(IF(BD461-AX480&lt;=0,"",BF461/SQRT(Таблица_pr9[[#This Row],[Удельное сопротивление грунта, Ом·м]])),BF461/SQRT(Таблица_pr9[[#This Row],[Удельное сопротивление грунта, Ом·м]]))</f>
        <v/>
      </c>
      <c r="BI461" s="51"/>
      <c r="BJ461" s="52"/>
      <c r="BK461" s="50"/>
      <c r="BL461" s="61" t="str">
        <f t="shared" si="63"/>
        <v/>
      </c>
      <c r="BM461" s="61" t="str">
        <f>IFERROR(IF(BJ461-BD490&lt;=0,"",BL461/SQRT(Таблица_pr10[[#This Row],[Удельное сопротивление грунта, Ом·м]])),BL461/SQRT(Таблица_pr10[[#This Row],[Удельное сопротивление грунта, Ом·м]]))</f>
        <v/>
      </c>
    </row>
    <row r="462" spans="1:65">
      <c r="A462" s="53"/>
      <c r="B462" s="52"/>
      <c r="C462" s="50"/>
      <c r="D462" s="61" t="str">
        <f t="shared" si="53"/>
        <v/>
      </c>
      <c r="E462" s="61" t="str">
        <f>IFERROR(IF(B462-B461&lt;=0,"",D462/SQRT(Таблица_pr[[#This Row],[Удельное сопротивление грунта, Ом·м]])),D462/SQRT(Таблица_pr[[#This Row],[Удельное сопротивление грунта, Ом·м]]))</f>
        <v/>
      </c>
      <c r="G462" s="188"/>
      <c r="H462" s="184"/>
      <c r="I462" s="182"/>
      <c r="J462" s="181" t="str">
        <f t="shared" si="54"/>
        <v/>
      </c>
      <c r="K462" s="61" t="str">
        <f>IFERROR(IF(H462-H461&lt;=0,"",J462/SQRT(Таблица_pr1[[#This Row],[Удельное сопротивление грунта, Ом·м]])),J462/SQRT(Таблица_pr1[[#This Row],[Удельное сопротивление грунта, Ом·м]]))</f>
        <v/>
      </c>
      <c r="M462" s="53"/>
      <c r="N462" s="52"/>
      <c r="O462" s="50"/>
      <c r="P462" s="61" t="str">
        <f t="shared" si="59"/>
        <v/>
      </c>
      <c r="Q462" s="61" t="str">
        <f>IFERROR(IF(N462-N461&lt;=0,"",P462/SQRT(Таблица_pr2[[#This Row],[Удельное сопротивление грунта, Ом·м]])),P462/SQRT(Таблица_pr2[[#This Row],[Удельное сопротивление грунта, Ом·м]]))</f>
        <v/>
      </c>
      <c r="S462" s="53"/>
      <c r="T462" s="52"/>
      <c r="U462" s="50"/>
      <c r="V462" s="61" t="str">
        <f t="shared" si="55"/>
        <v/>
      </c>
      <c r="W462" s="61" t="str">
        <f>IFERROR(IF(T462-T461&lt;=0,"",V462/SQRT(Таблица_pr3[[#This Row],[Удельное сопротивление грунта, Ом·м]])),V462/SQRT(Таблица_pr3[[#This Row],[Удельное сопротивление грунта, Ом·м]]))</f>
        <v/>
      </c>
      <c r="Y462" s="53"/>
      <c r="Z462" s="52"/>
      <c r="AA462" s="50"/>
      <c r="AB462" s="61" t="str">
        <f t="shared" si="60"/>
        <v/>
      </c>
      <c r="AC462" s="61" t="str">
        <f>IFERROR(IF(Z462-Z461&lt;=0,"",AB462/SQRT(Таблица_pr4[[#This Row],[Удельное сопротивление грунта, Ом·м]])),AB462/SQRT(Таблица_pr4[[#This Row],[Удельное сопротивление грунта, Ом·м]]))</f>
        <v/>
      </c>
      <c r="AE462" s="53"/>
      <c r="AF462" s="52"/>
      <c r="AG462" s="50"/>
      <c r="AH462" s="61" t="str">
        <f t="shared" si="56"/>
        <v/>
      </c>
      <c r="AI462" s="61" t="str">
        <f>IFERROR(IF(AF462-AF461&lt;=0,"",AH462/SQRT(Таблица_pr5[[#This Row],[Удельное сопротивление грунта, Ом·м]])),AH462/SQRT(Таблица_pr5[[#This Row],[Удельное сопротивление грунта, Ом·м]]))</f>
        <v/>
      </c>
      <c r="AK462" s="53"/>
      <c r="AL462" s="52"/>
      <c r="AM462" s="50"/>
      <c r="AN462" s="61" t="str">
        <f t="shared" si="61"/>
        <v/>
      </c>
      <c r="AO462" s="61" t="str">
        <f>IFERROR(IF(AL462-AL461&lt;=0,"",AN462/SQRT(Таблица_pr6[[#This Row],[Удельное сопротивление грунта, Ом·м]])),AN462/SQRT(Таблица_pr6[[#This Row],[Удельное сопротивление грунта, Ом·м]]))</f>
        <v/>
      </c>
      <c r="AQ462" s="53"/>
      <c r="AR462" s="52"/>
      <c r="AS462" s="50"/>
      <c r="AT462" s="61" t="str">
        <f t="shared" si="57"/>
        <v/>
      </c>
      <c r="AU462" s="61" t="str">
        <f>IFERROR(IF(AR462-AR461&lt;=0,"",AT462/SQRT(Таблица_pr7[[#This Row],[Удельное сопротивление грунта, Ом·м]])),AT462/SQRT(Таблица_pr7[[#This Row],[Удельное сопротивление грунта, Ом·м]]))</f>
        <v/>
      </c>
      <c r="AW462" s="53"/>
      <c r="AX462" s="52"/>
      <c r="AY462" s="50"/>
      <c r="AZ462" s="61" t="str">
        <f t="shared" si="62"/>
        <v/>
      </c>
      <c r="BA462" s="61" t="str">
        <f>IFERROR(IF(AX462-AX461&lt;=0,"",AZ462/SQRT(Таблица_pr8[[#This Row],[Удельное сопротивление грунта, Ом·м]])),AZ462/SQRT(Таблица_pr8[[#This Row],[Удельное сопротивление грунта, Ом·м]]))</f>
        <v/>
      </c>
      <c r="BC462" s="53"/>
      <c r="BD462" s="52"/>
      <c r="BE462" s="50"/>
      <c r="BF462" s="61" t="str">
        <f t="shared" si="58"/>
        <v/>
      </c>
      <c r="BG462" s="61" t="str">
        <f>IFERROR(IF(BD462-AX481&lt;=0,"",BF462/SQRT(Таблица_pr9[[#This Row],[Удельное сопротивление грунта, Ом·м]])),BF462/SQRT(Таблица_pr9[[#This Row],[Удельное сопротивление грунта, Ом·м]]))</f>
        <v/>
      </c>
      <c r="BI462" s="53"/>
      <c r="BJ462" s="52"/>
      <c r="BK462" s="50"/>
      <c r="BL462" s="61" t="str">
        <f t="shared" si="63"/>
        <v/>
      </c>
      <c r="BM462" s="61" t="str">
        <f>IFERROR(IF(BJ462-BD491&lt;=0,"",BL462/SQRT(Таблица_pr10[[#This Row],[Удельное сопротивление грунта, Ом·м]])),BL462/SQRT(Таблица_pr10[[#This Row],[Удельное сопротивление грунта, Ом·м]]))</f>
        <v/>
      </c>
    </row>
    <row r="463" spans="1:65">
      <c r="A463" s="51"/>
      <c r="B463" s="52"/>
      <c r="C463" s="50"/>
      <c r="D463" s="61" t="str">
        <f t="shared" si="53"/>
        <v/>
      </c>
      <c r="E463" s="61" t="str">
        <f>IFERROR(IF(B463-B462&lt;=0,"",D463/SQRT(Таблица_pr[[#This Row],[Удельное сопротивление грунта, Ом·м]])),D463/SQRT(Таблица_pr[[#This Row],[Удельное сопротивление грунта, Ом·м]]))</f>
        <v/>
      </c>
      <c r="G463" s="189"/>
      <c r="H463" s="185"/>
      <c r="I463" s="183"/>
      <c r="J463" s="180" t="str">
        <f t="shared" si="54"/>
        <v/>
      </c>
      <c r="K463" s="61" t="str">
        <f>IFERROR(IF(H463-H462&lt;=0,"",J463/SQRT(Таблица_pr1[[#This Row],[Удельное сопротивление грунта, Ом·м]])),J463/SQRT(Таблица_pr1[[#This Row],[Удельное сопротивление грунта, Ом·м]]))</f>
        <v/>
      </c>
      <c r="M463" s="51"/>
      <c r="N463" s="52"/>
      <c r="O463" s="50"/>
      <c r="P463" s="61" t="str">
        <f t="shared" si="59"/>
        <v/>
      </c>
      <c r="Q463" s="61" t="str">
        <f>IFERROR(IF(N463-N462&lt;=0,"",P463/SQRT(Таблица_pr2[[#This Row],[Удельное сопротивление грунта, Ом·м]])),P463/SQRT(Таблица_pr2[[#This Row],[Удельное сопротивление грунта, Ом·м]]))</f>
        <v/>
      </c>
      <c r="S463" s="51"/>
      <c r="T463" s="52"/>
      <c r="U463" s="50"/>
      <c r="V463" s="61" t="str">
        <f t="shared" si="55"/>
        <v/>
      </c>
      <c r="W463" s="61" t="str">
        <f>IFERROR(IF(T463-T462&lt;=0,"",V463/SQRT(Таблица_pr3[[#This Row],[Удельное сопротивление грунта, Ом·м]])),V463/SQRT(Таблица_pr3[[#This Row],[Удельное сопротивление грунта, Ом·м]]))</f>
        <v/>
      </c>
      <c r="Y463" s="51"/>
      <c r="Z463" s="52"/>
      <c r="AA463" s="50"/>
      <c r="AB463" s="61" t="str">
        <f t="shared" si="60"/>
        <v/>
      </c>
      <c r="AC463" s="61" t="str">
        <f>IFERROR(IF(Z463-Z462&lt;=0,"",AB463/SQRT(Таблица_pr4[[#This Row],[Удельное сопротивление грунта, Ом·м]])),AB463/SQRT(Таблица_pr4[[#This Row],[Удельное сопротивление грунта, Ом·м]]))</f>
        <v/>
      </c>
      <c r="AE463" s="51"/>
      <c r="AF463" s="52"/>
      <c r="AG463" s="50"/>
      <c r="AH463" s="61" t="str">
        <f t="shared" si="56"/>
        <v/>
      </c>
      <c r="AI463" s="61" t="str">
        <f>IFERROR(IF(AF463-AF462&lt;=0,"",AH463/SQRT(Таблица_pr5[[#This Row],[Удельное сопротивление грунта, Ом·м]])),AH463/SQRT(Таблица_pr5[[#This Row],[Удельное сопротивление грунта, Ом·м]]))</f>
        <v/>
      </c>
      <c r="AK463" s="51"/>
      <c r="AL463" s="52"/>
      <c r="AM463" s="50"/>
      <c r="AN463" s="61" t="str">
        <f t="shared" si="61"/>
        <v/>
      </c>
      <c r="AO463" s="61" t="str">
        <f>IFERROR(IF(AL463-AL462&lt;=0,"",AN463/SQRT(Таблица_pr6[[#This Row],[Удельное сопротивление грунта, Ом·м]])),AN463/SQRT(Таблица_pr6[[#This Row],[Удельное сопротивление грунта, Ом·м]]))</f>
        <v/>
      </c>
      <c r="AQ463" s="51"/>
      <c r="AR463" s="52"/>
      <c r="AS463" s="50"/>
      <c r="AT463" s="61" t="str">
        <f t="shared" si="57"/>
        <v/>
      </c>
      <c r="AU463" s="61" t="str">
        <f>IFERROR(IF(AR463-AR462&lt;=0,"",AT463/SQRT(Таблица_pr7[[#This Row],[Удельное сопротивление грунта, Ом·м]])),AT463/SQRT(Таблица_pr7[[#This Row],[Удельное сопротивление грунта, Ом·м]]))</f>
        <v/>
      </c>
      <c r="AW463" s="51"/>
      <c r="AX463" s="52"/>
      <c r="AY463" s="50"/>
      <c r="AZ463" s="61" t="str">
        <f t="shared" si="62"/>
        <v/>
      </c>
      <c r="BA463" s="61" t="str">
        <f>IFERROR(IF(AX463-AX462&lt;=0,"",AZ463/SQRT(Таблица_pr8[[#This Row],[Удельное сопротивление грунта, Ом·м]])),AZ463/SQRT(Таблица_pr8[[#This Row],[Удельное сопротивление грунта, Ом·м]]))</f>
        <v/>
      </c>
      <c r="BC463" s="51"/>
      <c r="BD463" s="52"/>
      <c r="BE463" s="50"/>
      <c r="BF463" s="61" t="str">
        <f t="shared" si="58"/>
        <v/>
      </c>
      <c r="BG463" s="61" t="str">
        <f>IFERROR(IF(BD463-AX482&lt;=0,"",BF463/SQRT(Таблица_pr9[[#This Row],[Удельное сопротивление грунта, Ом·м]])),BF463/SQRT(Таблица_pr9[[#This Row],[Удельное сопротивление грунта, Ом·м]]))</f>
        <v/>
      </c>
      <c r="BI463" s="51"/>
      <c r="BJ463" s="52"/>
      <c r="BK463" s="50"/>
      <c r="BL463" s="61" t="str">
        <f t="shared" si="63"/>
        <v/>
      </c>
      <c r="BM463" s="61" t="str">
        <f>IFERROR(IF(BJ463-BD492&lt;=0,"",BL463/SQRT(Таблица_pr10[[#This Row],[Удельное сопротивление грунта, Ом·м]])),BL463/SQRT(Таблица_pr10[[#This Row],[Удельное сопротивление грунта, Ом·м]]))</f>
        <v/>
      </c>
    </row>
    <row r="464" spans="1:65">
      <c r="A464" s="53"/>
      <c r="B464" s="52"/>
      <c r="C464" s="50"/>
      <c r="D464" s="61" t="str">
        <f t="shared" si="53"/>
        <v/>
      </c>
      <c r="E464" s="61" t="str">
        <f>IFERROR(IF(B464-B463&lt;=0,"",D464/SQRT(Таблица_pr[[#This Row],[Удельное сопротивление грунта, Ом·м]])),D464/SQRT(Таблица_pr[[#This Row],[Удельное сопротивление грунта, Ом·м]]))</f>
        <v/>
      </c>
      <c r="G464" s="188"/>
      <c r="H464" s="184"/>
      <c r="I464" s="182"/>
      <c r="J464" s="181" t="str">
        <f t="shared" si="54"/>
        <v/>
      </c>
      <c r="K464" s="61" t="str">
        <f>IFERROR(IF(H464-H463&lt;=0,"",J464/SQRT(Таблица_pr1[[#This Row],[Удельное сопротивление грунта, Ом·м]])),J464/SQRT(Таблица_pr1[[#This Row],[Удельное сопротивление грунта, Ом·м]]))</f>
        <v/>
      </c>
      <c r="M464" s="53"/>
      <c r="N464" s="52"/>
      <c r="O464" s="50"/>
      <c r="P464" s="61" t="str">
        <f t="shared" si="59"/>
        <v/>
      </c>
      <c r="Q464" s="61" t="str">
        <f>IFERROR(IF(N464-N463&lt;=0,"",P464/SQRT(Таблица_pr2[[#This Row],[Удельное сопротивление грунта, Ом·м]])),P464/SQRT(Таблица_pr2[[#This Row],[Удельное сопротивление грунта, Ом·м]]))</f>
        <v/>
      </c>
      <c r="S464" s="53"/>
      <c r="T464" s="52"/>
      <c r="U464" s="50"/>
      <c r="V464" s="61" t="str">
        <f t="shared" si="55"/>
        <v/>
      </c>
      <c r="W464" s="61" t="str">
        <f>IFERROR(IF(T464-T463&lt;=0,"",V464/SQRT(Таблица_pr3[[#This Row],[Удельное сопротивление грунта, Ом·м]])),V464/SQRT(Таблица_pr3[[#This Row],[Удельное сопротивление грунта, Ом·м]]))</f>
        <v/>
      </c>
      <c r="Y464" s="53"/>
      <c r="Z464" s="52"/>
      <c r="AA464" s="50"/>
      <c r="AB464" s="61" t="str">
        <f t="shared" si="60"/>
        <v/>
      </c>
      <c r="AC464" s="61" t="str">
        <f>IFERROR(IF(Z464-Z463&lt;=0,"",AB464/SQRT(Таблица_pr4[[#This Row],[Удельное сопротивление грунта, Ом·м]])),AB464/SQRT(Таблица_pr4[[#This Row],[Удельное сопротивление грунта, Ом·м]]))</f>
        <v/>
      </c>
      <c r="AE464" s="53"/>
      <c r="AF464" s="52"/>
      <c r="AG464" s="50"/>
      <c r="AH464" s="61" t="str">
        <f t="shared" si="56"/>
        <v/>
      </c>
      <c r="AI464" s="61" t="str">
        <f>IFERROR(IF(AF464-AF463&lt;=0,"",AH464/SQRT(Таблица_pr5[[#This Row],[Удельное сопротивление грунта, Ом·м]])),AH464/SQRT(Таблица_pr5[[#This Row],[Удельное сопротивление грунта, Ом·м]]))</f>
        <v/>
      </c>
      <c r="AK464" s="53"/>
      <c r="AL464" s="52"/>
      <c r="AM464" s="50"/>
      <c r="AN464" s="61" t="str">
        <f t="shared" si="61"/>
        <v/>
      </c>
      <c r="AO464" s="61" t="str">
        <f>IFERROR(IF(AL464-AL463&lt;=0,"",AN464/SQRT(Таблица_pr6[[#This Row],[Удельное сопротивление грунта, Ом·м]])),AN464/SQRT(Таблица_pr6[[#This Row],[Удельное сопротивление грунта, Ом·м]]))</f>
        <v/>
      </c>
      <c r="AQ464" s="53"/>
      <c r="AR464" s="52"/>
      <c r="AS464" s="50"/>
      <c r="AT464" s="61" t="str">
        <f t="shared" si="57"/>
        <v/>
      </c>
      <c r="AU464" s="61" t="str">
        <f>IFERROR(IF(AR464-AR463&lt;=0,"",AT464/SQRT(Таблица_pr7[[#This Row],[Удельное сопротивление грунта, Ом·м]])),AT464/SQRT(Таблица_pr7[[#This Row],[Удельное сопротивление грунта, Ом·м]]))</f>
        <v/>
      </c>
      <c r="AW464" s="53"/>
      <c r="AX464" s="52"/>
      <c r="AY464" s="50"/>
      <c r="AZ464" s="61" t="str">
        <f t="shared" si="62"/>
        <v/>
      </c>
      <c r="BA464" s="61" t="str">
        <f>IFERROR(IF(AX464-AX463&lt;=0,"",AZ464/SQRT(Таблица_pr8[[#This Row],[Удельное сопротивление грунта, Ом·м]])),AZ464/SQRT(Таблица_pr8[[#This Row],[Удельное сопротивление грунта, Ом·м]]))</f>
        <v/>
      </c>
      <c r="BC464" s="53"/>
      <c r="BD464" s="52"/>
      <c r="BE464" s="50"/>
      <c r="BF464" s="61" t="str">
        <f t="shared" si="58"/>
        <v/>
      </c>
      <c r="BG464" s="61" t="str">
        <f>IFERROR(IF(BD464-AX483&lt;=0,"",BF464/SQRT(Таблица_pr9[[#This Row],[Удельное сопротивление грунта, Ом·м]])),BF464/SQRT(Таблица_pr9[[#This Row],[Удельное сопротивление грунта, Ом·м]]))</f>
        <v/>
      </c>
      <c r="BI464" s="53"/>
      <c r="BJ464" s="52"/>
      <c r="BK464" s="50"/>
      <c r="BL464" s="61" t="str">
        <f t="shared" si="63"/>
        <v/>
      </c>
      <c r="BM464" s="61" t="str">
        <f>IFERROR(IF(BJ464-BD493&lt;=0,"",BL464/SQRT(Таблица_pr10[[#This Row],[Удельное сопротивление грунта, Ом·м]])),BL464/SQRT(Таблица_pr10[[#This Row],[Удельное сопротивление грунта, Ом·м]]))</f>
        <v/>
      </c>
    </row>
    <row r="465" spans="1:65">
      <c r="A465" s="51"/>
      <c r="B465" s="52"/>
      <c r="C465" s="50"/>
      <c r="D465" s="61" t="str">
        <f t="shared" si="53"/>
        <v/>
      </c>
      <c r="E465" s="61" t="str">
        <f>IFERROR(IF(B465-B464&lt;=0,"",D465/SQRT(Таблица_pr[[#This Row],[Удельное сопротивление грунта, Ом·м]])),D465/SQRT(Таблица_pr[[#This Row],[Удельное сопротивление грунта, Ом·м]]))</f>
        <v/>
      </c>
      <c r="G465" s="189"/>
      <c r="H465" s="185"/>
      <c r="I465" s="183"/>
      <c r="J465" s="180" t="str">
        <f t="shared" si="54"/>
        <v/>
      </c>
      <c r="K465" s="61" t="str">
        <f>IFERROR(IF(H465-H464&lt;=0,"",J465/SQRT(Таблица_pr1[[#This Row],[Удельное сопротивление грунта, Ом·м]])),J465/SQRT(Таблица_pr1[[#This Row],[Удельное сопротивление грунта, Ом·м]]))</f>
        <v/>
      </c>
      <c r="M465" s="51"/>
      <c r="N465" s="52"/>
      <c r="O465" s="50"/>
      <c r="P465" s="61" t="str">
        <f t="shared" si="59"/>
        <v/>
      </c>
      <c r="Q465" s="61" t="str">
        <f>IFERROR(IF(N465-N464&lt;=0,"",P465/SQRT(Таблица_pr2[[#This Row],[Удельное сопротивление грунта, Ом·м]])),P465/SQRT(Таблица_pr2[[#This Row],[Удельное сопротивление грунта, Ом·м]]))</f>
        <v/>
      </c>
      <c r="S465" s="51"/>
      <c r="T465" s="52"/>
      <c r="U465" s="50"/>
      <c r="V465" s="61" t="str">
        <f t="shared" si="55"/>
        <v/>
      </c>
      <c r="W465" s="61" t="str">
        <f>IFERROR(IF(T465-T464&lt;=0,"",V465/SQRT(Таблица_pr3[[#This Row],[Удельное сопротивление грунта, Ом·м]])),V465/SQRT(Таблица_pr3[[#This Row],[Удельное сопротивление грунта, Ом·м]]))</f>
        <v/>
      </c>
      <c r="Y465" s="51"/>
      <c r="Z465" s="52"/>
      <c r="AA465" s="50"/>
      <c r="AB465" s="61" t="str">
        <f t="shared" si="60"/>
        <v/>
      </c>
      <c r="AC465" s="61" t="str">
        <f>IFERROR(IF(Z465-Z464&lt;=0,"",AB465/SQRT(Таблица_pr4[[#This Row],[Удельное сопротивление грунта, Ом·м]])),AB465/SQRT(Таблица_pr4[[#This Row],[Удельное сопротивление грунта, Ом·м]]))</f>
        <v/>
      </c>
      <c r="AE465" s="51"/>
      <c r="AF465" s="52"/>
      <c r="AG465" s="50"/>
      <c r="AH465" s="61" t="str">
        <f t="shared" si="56"/>
        <v/>
      </c>
      <c r="AI465" s="61" t="str">
        <f>IFERROR(IF(AF465-AF464&lt;=0,"",AH465/SQRT(Таблица_pr5[[#This Row],[Удельное сопротивление грунта, Ом·м]])),AH465/SQRT(Таблица_pr5[[#This Row],[Удельное сопротивление грунта, Ом·м]]))</f>
        <v/>
      </c>
      <c r="AK465" s="51"/>
      <c r="AL465" s="52"/>
      <c r="AM465" s="50"/>
      <c r="AN465" s="61" t="str">
        <f t="shared" si="61"/>
        <v/>
      </c>
      <c r="AO465" s="61" t="str">
        <f>IFERROR(IF(AL465-AL464&lt;=0,"",AN465/SQRT(Таблица_pr6[[#This Row],[Удельное сопротивление грунта, Ом·м]])),AN465/SQRT(Таблица_pr6[[#This Row],[Удельное сопротивление грунта, Ом·м]]))</f>
        <v/>
      </c>
      <c r="AQ465" s="51"/>
      <c r="AR465" s="52"/>
      <c r="AS465" s="50"/>
      <c r="AT465" s="61" t="str">
        <f t="shared" si="57"/>
        <v/>
      </c>
      <c r="AU465" s="61" t="str">
        <f>IFERROR(IF(AR465-AR464&lt;=0,"",AT465/SQRT(Таблица_pr7[[#This Row],[Удельное сопротивление грунта, Ом·м]])),AT465/SQRT(Таблица_pr7[[#This Row],[Удельное сопротивление грунта, Ом·м]]))</f>
        <v/>
      </c>
      <c r="AW465" s="51"/>
      <c r="AX465" s="52"/>
      <c r="AY465" s="50"/>
      <c r="AZ465" s="61" t="str">
        <f t="shared" si="62"/>
        <v/>
      </c>
      <c r="BA465" s="61" t="str">
        <f>IFERROR(IF(AX465-AX464&lt;=0,"",AZ465/SQRT(Таблица_pr8[[#This Row],[Удельное сопротивление грунта, Ом·м]])),AZ465/SQRT(Таблица_pr8[[#This Row],[Удельное сопротивление грунта, Ом·м]]))</f>
        <v/>
      </c>
      <c r="BC465" s="51"/>
      <c r="BD465" s="52"/>
      <c r="BE465" s="50"/>
      <c r="BF465" s="61" t="str">
        <f t="shared" si="58"/>
        <v/>
      </c>
      <c r="BG465" s="61" t="str">
        <f>IFERROR(IF(BD465-AX484&lt;=0,"",BF465/SQRT(Таблица_pr9[[#This Row],[Удельное сопротивление грунта, Ом·м]])),BF465/SQRT(Таблица_pr9[[#This Row],[Удельное сопротивление грунта, Ом·м]]))</f>
        <v/>
      </c>
      <c r="BI465" s="51"/>
      <c r="BJ465" s="52"/>
      <c r="BK465" s="50"/>
      <c r="BL465" s="61" t="str">
        <f t="shared" si="63"/>
        <v/>
      </c>
      <c r="BM465" s="61" t="str">
        <f>IFERROR(IF(BJ465-BD494&lt;=0,"",BL465/SQRT(Таблица_pr10[[#This Row],[Удельное сопротивление грунта, Ом·м]])),BL465/SQRT(Таблица_pr10[[#This Row],[Удельное сопротивление грунта, Ом·м]]))</f>
        <v/>
      </c>
    </row>
    <row r="466" spans="1:65">
      <c r="A466" s="53"/>
      <c r="B466" s="52"/>
      <c r="C466" s="50"/>
      <c r="D466" s="61" t="str">
        <f t="shared" si="53"/>
        <v/>
      </c>
      <c r="E466" s="61" t="str">
        <f>IFERROR(IF(B466-B465&lt;=0,"",D466/SQRT(Таблица_pr[[#This Row],[Удельное сопротивление грунта, Ом·м]])),D466/SQRT(Таблица_pr[[#This Row],[Удельное сопротивление грунта, Ом·м]]))</f>
        <v/>
      </c>
      <c r="G466" s="188"/>
      <c r="H466" s="184"/>
      <c r="I466" s="182"/>
      <c r="J466" s="181" t="str">
        <f t="shared" si="54"/>
        <v/>
      </c>
      <c r="K466" s="61" t="str">
        <f>IFERROR(IF(H466-H465&lt;=0,"",J466/SQRT(Таблица_pr1[[#This Row],[Удельное сопротивление грунта, Ом·м]])),J466/SQRT(Таблица_pr1[[#This Row],[Удельное сопротивление грунта, Ом·м]]))</f>
        <v/>
      </c>
      <c r="M466" s="53"/>
      <c r="N466" s="52"/>
      <c r="O466" s="50"/>
      <c r="P466" s="61" t="str">
        <f t="shared" si="59"/>
        <v/>
      </c>
      <c r="Q466" s="61" t="str">
        <f>IFERROR(IF(N466-N465&lt;=0,"",P466/SQRT(Таблица_pr2[[#This Row],[Удельное сопротивление грунта, Ом·м]])),P466/SQRT(Таблица_pr2[[#This Row],[Удельное сопротивление грунта, Ом·м]]))</f>
        <v/>
      </c>
      <c r="S466" s="53"/>
      <c r="T466" s="52"/>
      <c r="U466" s="50"/>
      <c r="V466" s="61" t="str">
        <f t="shared" si="55"/>
        <v/>
      </c>
      <c r="W466" s="61" t="str">
        <f>IFERROR(IF(T466-T465&lt;=0,"",V466/SQRT(Таблица_pr3[[#This Row],[Удельное сопротивление грунта, Ом·м]])),V466/SQRT(Таблица_pr3[[#This Row],[Удельное сопротивление грунта, Ом·м]]))</f>
        <v/>
      </c>
      <c r="Y466" s="53"/>
      <c r="Z466" s="52"/>
      <c r="AA466" s="50"/>
      <c r="AB466" s="61" t="str">
        <f t="shared" si="60"/>
        <v/>
      </c>
      <c r="AC466" s="61" t="str">
        <f>IFERROR(IF(Z466-Z465&lt;=0,"",AB466/SQRT(Таблица_pr4[[#This Row],[Удельное сопротивление грунта, Ом·м]])),AB466/SQRT(Таблица_pr4[[#This Row],[Удельное сопротивление грунта, Ом·м]]))</f>
        <v/>
      </c>
      <c r="AE466" s="53"/>
      <c r="AF466" s="52"/>
      <c r="AG466" s="50"/>
      <c r="AH466" s="61" t="str">
        <f t="shared" si="56"/>
        <v/>
      </c>
      <c r="AI466" s="61" t="str">
        <f>IFERROR(IF(AF466-AF465&lt;=0,"",AH466/SQRT(Таблица_pr5[[#This Row],[Удельное сопротивление грунта, Ом·м]])),AH466/SQRT(Таблица_pr5[[#This Row],[Удельное сопротивление грунта, Ом·м]]))</f>
        <v/>
      </c>
      <c r="AK466" s="53"/>
      <c r="AL466" s="52"/>
      <c r="AM466" s="50"/>
      <c r="AN466" s="61" t="str">
        <f t="shared" si="61"/>
        <v/>
      </c>
      <c r="AO466" s="61" t="str">
        <f>IFERROR(IF(AL466-AL465&lt;=0,"",AN466/SQRT(Таблица_pr6[[#This Row],[Удельное сопротивление грунта, Ом·м]])),AN466/SQRT(Таблица_pr6[[#This Row],[Удельное сопротивление грунта, Ом·м]]))</f>
        <v/>
      </c>
      <c r="AQ466" s="53"/>
      <c r="AR466" s="52"/>
      <c r="AS466" s="50"/>
      <c r="AT466" s="61" t="str">
        <f t="shared" si="57"/>
        <v/>
      </c>
      <c r="AU466" s="61" t="str">
        <f>IFERROR(IF(AR466-AR465&lt;=0,"",AT466/SQRT(Таблица_pr7[[#This Row],[Удельное сопротивление грунта, Ом·м]])),AT466/SQRT(Таблица_pr7[[#This Row],[Удельное сопротивление грунта, Ом·м]]))</f>
        <v/>
      </c>
      <c r="AW466" s="53"/>
      <c r="AX466" s="52"/>
      <c r="AY466" s="50"/>
      <c r="AZ466" s="61" t="str">
        <f t="shared" si="62"/>
        <v/>
      </c>
      <c r="BA466" s="61" t="str">
        <f>IFERROR(IF(AX466-AX465&lt;=0,"",AZ466/SQRT(Таблица_pr8[[#This Row],[Удельное сопротивление грунта, Ом·м]])),AZ466/SQRT(Таблица_pr8[[#This Row],[Удельное сопротивление грунта, Ом·м]]))</f>
        <v/>
      </c>
      <c r="BC466" s="53"/>
      <c r="BD466" s="52"/>
      <c r="BE466" s="50"/>
      <c r="BF466" s="61" t="str">
        <f t="shared" si="58"/>
        <v/>
      </c>
      <c r="BG466" s="61" t="str">
        <f>IFERROR(IF(BD466-AX485&lt;=0,"",BF466/SQRT(Таблица_pr9[[#This Row],[Удельное сопротивление грунта, Ом·м]])),BF466/SQRT(Таблица_pr9[[#This Row],[Удельное сопротивление грунта, Ом·м]]))</f>
        <v/>
      </c>
      <c r="BI466" s="53"/>
      <c r="BJ466" s="52"/>
      <c r="BK466" s="50"/>
      <c r="BL466" s="61" t="str">
        <f t="shared" si="63"/>
        <v/>
      </c>
      <c r="BM466" s="61" t="str">
        <f>IFERROR(IF(BJ466-BD495&lt;=0,"",BL466/SQRT(Таблица_pr10[[#This Row],[Удельное сопротивление грунта, Ом·м]])),BL466/SQRT(Таблица_pr10[[#This Row],[Удельное сопротивление грунта, Ом·м]]))</f>
        <v/>
      </c>
    </row>
    <row r="467" spans="1:65">
      <c r="A467" s="51"/>
      <c r="B467" s="52"/>
      <c r="C467" s="50"/>
      <c r="D467" s="61" t="str">
        <f t="shared" si="53"/>
        <v/>
      </c>
      <c r="E467" s="61" t="str">
        <f>IFERROR(IF(B467-B466&lt;=0,"",D467/SQRT(Таблица_pr[[#This Row],[Удельное сопротивление грунта, Ом·м]])),D467/SQRT(Таблица_pr[[#This Row],[Удельное сопротивление грунта, Ом·м]]))</f>
        <v/>
      </c>
      <c r="G467" s="189"/>
      <c r="H467" s="185"/>
      <c r="I467" s="183"/>
      <c r="J467" s="180" t="str">
        <f t="shared" si="54"/>
        <v/>
      </c>
      <c r="K467" s="61" t="str">
        <f>IFERROR(IF(H467-H466&lt;=0,"",J467/SQRT(Таблица_pr1[[#This Row],[Удельное сопротивление грунта, Ом·м]])),J467/SQRT(Таблица_pr1[[#This Row],[Удельное сопротивление грунта, Ом·м]]))</f>
        <v/>
      </c>
      <c r="M467" s="51"/>
      <c r="N467" s="52"/>
      <c r="O467" s="50"/>
      <c r="P467" s="61" t="str">
        <f t="shared" si="59"/>
        <v/>
      </c>
      <c r="Q467" s="61" t="str">
        <f>IFERROR(IF(N467-N466&lt;=0,"",P467/SQRT(Таблица_pr2[[#This Row],[Удельное сопротивление грунта, Ом·м]])),P467/SQRT(Таблица_pr2[[#This Row],[Удельное сопротивление грунта, Ом·м]]))</f>
        <v/>
      </c>
      <c r="S467" s="51"/>
      <c r="T467" s="52"/>
      <c r="U467" s="50"/>
      <c r="V467" s="61" t="str">
        <f t="shared" si="55"/>
        <v/>
      </c>
      <c r="W467" s="61" t="str">
        <f>IFERROR(IF(T467-T466&lt;=0,"",V467/SQRT(Таблица_pr3[[#This Row],[Удельное сопротивление грунта, Ом·м]])),V467/SQRT(Таблица_pr3[[#This Row],[Удельное сопротивление грунта, Ом·м]]))</f>
        <v/>
      </c>
      <c r="Y467" s="51"/>
      <c r="Z467" s="52"/>
      <c r="AA467" s="50"/>
      <c r="AB467" s="61" t="str">
        <f t="shared" si="60"/>
        <v/>
      </c>
      <c r="AC467" s="61" t="str">
        <f>IFERROR(IF(Z467-Z466&lt;=0,"",AB467/SQRT(Таблица_pr4[[#This Row],[Удельное сопротивление грунта, Ом·м]])),AB467/SQRT(Таблица_pr4[[#This Row],[Удельное сопротивление грунта, Ом·м]]))</f>
        <v/>
      </c>
      <c r="AE467" s="51"/>
      <c r="AF467" s="52"/>
      <c r="AG467" s="50"/>
      <c r="AH467" s="61" t="str">
        <f t="shared" si="56"/>
        <v/>
      </c>
      <c r="AI467" s="61" t="str">
        <f>IFERROR(IF(AF467-AF466&lt;=0,"",AH467/SQRT(Таблица_pr5[[#This Row],[Удельное сопротивление грунта, Ом·м]])),AH467/SQRT(Таблица_pr5[[#This Row],[Удельное сопротивление грунта, Ом·м]]))</f>
        <v/>
      </c>
      <c r="AK467" s="51"/>
      <c r="AL467" s="52"/>
      <c r="AM467" s="50"/>
      <c r="AN467" s="61" t="str">
        <f t="shared" si="61"/>
        <v/>
      </c>
      <c r="AO467" s="61" t="str">
        <f>IFERROR(IF(AL467-AL466&lt;=0,"",AN467/SQRT(Таблица_pr6[[#This Row],[Удельное сопротивление грунта, Ом·м]])),AN467/SQRT(Таблица_pr6[[#This Row],[Удельное сопротивление грунта, Ом·м]]))</f>
        <v/>
      </c>
      <c r="AQ467" s="51"/>
      <c r="AR467" s="52"/>
      <c r="AS467" s="50"/>
      <c r="AT467" s="61" t="str">
        <f t="shared" si="57"/>
        <v/>
      </c>
      <c r="AU467" s="61" t="str">
        <f>IFERROR(IF(AR467-AR466&lt;=0,"",AT467/SQRT(Таблица_pr7[[#This Row],[Удельное сопротивление грунта, Ом·м]])),AT467/SQRT(Таблица_pr7[[#This Row],[Удельное сопротивление грунта, Ом·м]]))</f>
        <v/>
      </c>
      <c r="AW467" s="51"/>
      <c r="AX467" s="52"/>
      <c r="AY467" s="50"/>
      <c r="AZ467" s="61" t="str">
        <f t="shared" si="62"/>
        <v/>
      </c>
      <c r="BA467" s="61" t="str">
        <f>IFERROR(IF(AX467-AX466&lt;=0,"",AZ467/SQRT(Таблица_pr8[[#This Row],[Удельное сопротивление грунта, Ом·м]])),AZ467/SQRT(Таблица_pr8[[#This Row],[Удельное сопротивление грунта, Ом·м]]))</f>
        <v/>
      </c>
      <c r="BC467" s="51"/>
      <c r="BD467" s="52"/>
      <c r="BE467" s="50"/>
      <c r="BF467" s="61" t="str">
        <f t="shared" si="58"/>
        <v/>
      </c>
      <c r="BG467" s="61" t="str">
        <f>IFERROR(IF(BD467-AX486&lt;=0,"",BF467/SQRT(Таблица_pr9[[#This Row],[Удельное сопротивление грунта, Ом·м]])),BF467/SQRT(Таблица_pr9[[#This Row],[Удельное сопротивление грунта, Ом·м]]))</f>
        <v/>
      </c>
      <c r="BI467" s="51"/>
      <c r="BJ467" s="52"/>
      <c r="BK467" s="50"/>
      <c r="BL467" s="61" t="str">
        <f t="shared" si="63"/>
        <v/>
      </c>
      <c r="BM467" s="61" t="str">
        <f>IFERROR(IF(BJ467-BD496&lt;=0,"",BL467/SQRT(Таблица_pr10[[#This Row],[Удельное сопротивление грунта, Ом·м]])),BL467/SQRT(Таблица_pr10[[#This Row],[Удельное сопротивление грунта, Ом·м]]))</f>
        <v/>
      </c>
    </row>
    <row r="468" spans="1:65">
      <c r="A468" s="53"/>
      <c r="B468" s="52"/>
      <c r="C468" s="50"/>
      <c r="D468" s="61" t="str">
        <f t="shared" si="53"/>
        <v/>
      </c>
      <c r="E468" s="61" t="str">
        <f>IFERROR(IF(B468-B467&lt;=0,"",D468/SQRT(Таблица_pr[[#This Row],[Удельное сопротивление грунта, Ом·м]])),D468/SQRT(Таблица_pr[[#This Row],[Удельное сопротивление грунта, Ом·м]]))</f>
        <v/>
      </c>
      <c r="G468" s="188"/>
      <c r="H468" s="184"/>
      <c r="I468" s="182"/>
      <c r="J468" s="181" t="str">
        <f t="shared" si="54"/>
        <v/>
      </c>
      <c r="K468" s="61" t="str">
        <f>IFERROR(IF(H468-H467&lt;=0,"",J468/SQRT(Таблица_pr1[[#This Row],[Удельное сопротивление грунта, Ом·м]])),J468/SQRT(Таблица_pr1[[#This Row],[Удельное сопротивление грунта, Ом·м]]))</f>
        <v/>
      </c>
      <c r="M468" s="53"/>
      <c r="N468" s="52"/>
      <c r="O468" s="50"/>
      <c r="P468" s="61" t="str">
        <f t="shared" si="59"/>
        <v/>
      </c>
      <c r="Q468" s="61" t="str">
        <f>IFERROR(IF(N468-N467&lt;=0,"",P468/SQRT(Таблица_pr2[[#This Row],[Удельное сопротивление грунта, Ом·м]])),P468/SQRT(Таблица_pr2[[#This Row],[Удельное сопротивление грунта, Ом·м]]))</f>
        <v/>
      </c>
      <c r="S468" s="53"/>
      <c r="T468" s="52"/>
      <c r="U468" s="50"/>
      <c r="V468" s="61" t="str">
        <f t="shared" si="55"/>
        <v/>
      </c>
      <c r="W468" s="61" t="str">
        <f>IFERROR(IF(T468-T467&lt;=0,"",V468/SQRT(Таблица_pr3[[#This Row],[Удельное сопротивление грунта, Ом·м]])),V468/SQRT(Таблица_pr3[[#This Row],[Удельное сопротивление грунта, Ом·м]]))</f>
        <v/>
      </c>
      <c r="Y468" s="53"/>
      <c r="Z468" s="52"/>
      <c r="AA468" s="50"/>
      <c r="AB468" s="61" t="str">
        <f t="shared" si="60"/>
        <v/>
      </c>
      <c r="AC468" s="61" t="str">
        <f>IFERROR(IF(Z468-Z467&lt;=0,"",AB468/SQRT(Таблица_pr4[[#This Row],[Удельное сопротивление грунта, Ом·м]])),AB468/SQRT(Таблица_pr4[[#This Row],[Удельное сопротивление грунта, Ом·м]]))</f>
        <v/>
      </c>
      <c r="AE468" s="53"/>
      <c r="AF468" s="52"/>
      <c r="AG468" s="50"/>
      <c r="AH468" s="61" t="str">
        <f t="shared" si="56"/>
        <v/>
      </c>
      <c r="AI468" s="61" t="str">
        <f>IFERROR(IF(AF468-AF467&lt;=0,"",AH468/SQRT(Таблица_pr5[[#This Row],[Удельное сопротивление грунта, Ом·м]])),AH468/SQRT(Таблица_pr5[[#This Row],[Удельное сопротивление грунта, Ом·м]]))</f>
        <v/>
      </c>
      <c r="AK468" s="53"/>
      <c r="AL468" s="52"/>
      <c r="AM468" s="50"/>
      <c r="AN468" s="61" t="str">
        <f t="shared" si="61"/>
        <v/>
      </c>
      <c r="AO468" s="61" t="str">
        <f>IFERROR(IF(AL468-AL467&lt;=0,"",AN468/SQRT(Таблица_pr6[[#This Row],[Удельное сопротивление грунта, Ом·м]])),AN468/SQRT(Таблица_pr6[[#This Row],[Удельное сопротивление грунта, Ом·м]]))</f>
        <v/>
      </c>
      <c r="AQ468" s="53"/>
      <c r="AR468" s="52"/>
      <c r="AS468" s="50"/>
      <c r="AT468" s="61" t="str">
        <f t="shared" si="57"/>
        <v/>
      </c>
      <c r="AU468" s="61" t="str">
        <f>IFERROR(IF(AR468-AR467&lt;=0,"",AT468/SQRT(Таблица_pr7[[#This Row],[Удельное сопротивление грунта, Ом·м]])),AT468/SQRT(Таблица_pr7[[#This Row],[Удельное сопротивление грунта, Ом·м]]))</f>
        <v/>
      </c>
      <c r="AW468" s="53"/>
      <c r="AX468" s="52"/>
      <c r="AY468" s="50"/>
      <c r="AZ468" s="61" t="str">
        <f t="shared" si="62"/>
        <v/>
      </c>
      <c r="BA468" s="61" t="str">
        <f>IFERROR(IF(AX468-AX467&lt;=0,"",AZ468/SQRT(Таблица_pr8[[#This Row],[Удельное сопротивление грунта, Ом·м]])),AZ468/SQRT(Таблица_pr8[[#This Row],[Удельное сопротивление грунта, Ом·м]]))</f>
        <v/>
      </c>
      <c r="BC468" s="53"/>
      <c r="BD468" s="52"/>
      <c r="BE468" s="50"/>
      <c r="BF468" s="61" t="str">
        <f t="shared" si="58"/>
        <v/>
      </c>
      <c r="BG468" s="61" t="str">
        <f>IFERROR(IF(BD468-AX487&lt;=0,"",BF468/SQRT(Таблица_pr9[[#This Row],[Удельное сопротивление грунта, Ом·м]])),BF468/SQRT(Таблица_pr9[[#This Row],[Удельное сопротивление грунта, Ом·м]]))</f>
        <v/>
      </c>
      <c r="BI468" s="53"/>
      <c r="BJ468" s="52"/>
      <c r="BK468" s="50"/>
      <c r="BL468" s="61" t="str">
        <f t="shared" si="63"/>
        <v/>
      </c>
      <c r="BM468" s="61" t="str">
        <f>IFERROR(IF(BJ468-BD497&lt;=0,"",BL468/SQRT(Таблица_pr10[[#This Row],[Удельное сопротивление грунта, Ом·м]])),BL468/SQRT(Таблица_pr10[[#This Row],[Удельное сопротивление грунта, Ом·м]]))</f>
        <v/>
      </c>
    </row>
    <row r="469" spans="1:65">
      <c r="A469" s="51"/>
      <c r="B469" s="52"/>
      <c r="C469" s="50"/>
      <c r="D469" s="61" t="str">
        <f t="shared" si="53"/>
        <v/>
      </c>
      <c r="E469" s="61" t="str">
        <f>IFERROR(IF(B469-B468&lt;=0,"",D469/SQRT(Таблица_pr[[#This Row],[Удельное сопротивление грунта, Ом·м]])),D469/SQRT(Таблица_pr[[#This Row],[Удельное сопротивление грунта, Ом·м]]))</f>
        <v/>
      </c>
      <c r="G469" s="189"/>
      <c r="H469" s="185"/>
      <c r="I469" s="183"/>
      <c r="J469" s="180" t="str">
        <f t="shared" si="54"/>
        <v/>
      </c>
      <c r="K469" s="61" t="str">
        <f>IFERROR(IF(H469-H468&lt;=0,"",J469/SQRT(Таблица_pr1[[#This Row],[Удельное сопротивление грунта, Ом·м]])),J469/SQRT(Таблица_pr1[[#This Row],[Удельное сопротивление грунта, Ом·м]]))</f>
        <v/>
      </c>
      <c r="M469" s="51"/>
      <c r="N469" s="52"/>
      <c r="O469" s="50"/>
      <c r="P469" s="61" t="str">
        <f t="shared" si="59"/>
        <v/>
      </c>
      <c r="Q469" s="61" t="str">
        <f>IFERROR(IF(N469-N468&lt;=0,"",P469/SQRT(Таблица_pr2[[#This Row],[Удельное сопротивление грунта, Ом·м]])),P469/SQRT(Таблица_pr2[[#This Row],[Удельное сопротивление грунта, Ом·м]]))</f>
        <v/>
      </c>
      <c r="S469" s="51"/>
      <c r="T469" s="52"/>
      <c r="U469" s="50"/>
      <c r="V469" s="61" t="str">
        <f t="shared" si="55"/>
        <v/>
      </c>
      <c r="W469" s="61" t="str">
        <f>IFERROR(IF(T469-T468&lt;=0,"",V469/SQRT(Таблица_pr3[[#This Row],[Удельное сопротивление грунта, Ом·м]])),V469/SQRT(Таблица_pr3[[#This Row],[Удельное сопротивление грунта, Ом·м]]))</f>
        <v/>
      </c>
      <c r="Y469" s="51"/>
      <c r="Z469" s="52"/>
      <c r="AA469" s="50"/>
      <c r="AB469" s="61" t="str">
        <f t="shared" si="60"/>
        <v/>
      </c>
      <c r="AC469" s="61" t="str">
        <f>IFERROR(IF(Z469-Z468&lt;=0,"",AB469/SQRT(Таблица_pr4[[#This Row],[Удельное сопротивление грунта, Ом·м]])),AB469/SQRT(Таблица_pr4[[#This Row],[Удельное сопротивление грунта, Ом·м]]))</f>
        <v/>
      </c>
      <c r="AE469" s="51"/>
      <c r="AF469" s="52"/>
      <c r="AG469" s="50"/>
      <c r="AH469" s="61" t="str">
        <f t="shared" si="56"/>
        <v/>
      </c>
      <c r="AI469" s="61" t="str">
        <f>IFERROR(IF(AF469-AF468&lt;=0,"",AH469/SQRT(Таблица_pr5[[#This Row],[Удельное сопротивление грунта, Ом·м]])),AH469/SQRT(Таблица_pr5[[#This Row],[Удельное сопротивление грунта, Ом·м]]))</f>
        <v/>
      </c>
      <c r="AK469" s="51"/>
      <c r="AL469" s="52"/>
      <c r="AM469" s="50"/>
      <c r="AN469" s="61" t="str">
        <f t="shared" si="61"/>
        <v/>
      </c>
      <c r="AO469" s="61" t="str">
        <f>IFERROR(IF(AL469-AL468&lt;=0,"",AN469/SQRT(Таблица_pr6[[#This Row],[Удельное сопротивление грунта, Ом·м]])),AN469/SQRT(Таблица_pr6[[#This Row],[Удельное сопротивление грунта, Ом·м]]))</f>
        <v/>
      </c>
      <c r="AQ469" s="51"/>
      <c r="AR469" s="52"/>
      <c r="AS469" s="50"/>
      <c r="AT469" s="61" t="str">
        <f t="shared" si="57"/>
        <v/>
      </c>
      <c r="AU469" s="61" t="str">
        <f>IFERROR(IF(AR469-AR468&lt;=0,"",AT469/SQRT(Таблица_pr7[[#This Row],[Удельное сопротивление грунта, Ом·м]])),AT469/SQRT(Таблица_pr7[[#This Row],[Удельное сопротивление грунта, Ом·м]]))</f>
        <v/>
      </c>
      <c r="AW469" s="51"/>
      <c r="AX469" s="52"/>
      <c r="AY469" s="50"/>
      <c r="AZ469" s="61" t="str">
        <f t="shared" si="62"/>
        <v/>
      </c>
      <c r="BA469" s="61" t="str">
        <f>IFERROR(IF(AX469-AX468&lt;=0,"",AZ469/SQRT(Таблица_pr8[[#This Row],[Удельное сопротивление грунта, Ом·м]])),AZ469/SQRT(Таблица_pr8[[#This Row],[Удельное сопротивление грунта, Ом·м]]))</f>
        <v/>
      </c>
      <c r="BC469" s="51"/>
      <c r="BD469" s="52"/>
      <c r="BE469" s="50"/>
      <c r="BF469" s="61" t="str">
        <f t="shared" si="58"/>
        <v/>
      </c>
      <c r="BG469" s="61" t="str">
        <f>IFERROR(IF(BD469-AX488&lt;=0,"",BF469/SQRT(Таблица_pr9[[#This Row],[Удельное сопротивление грунта, Ом·м]])),BF469/SQRT(Таблица_pr9[[#This Row],[Удельное сопротивление грунта, Ом·м]]))</f>
        <v/>
      </c>
      <c r="BI469" s="51"/>
      <c r="BJ469" s="52"/>
      <c r="BK469" s="50"/>
      <c r="BL469" s="61" t="str">
        <f t="shared" si="63"/>
        <v/>
      </c>
      <c r="BM469" s="61" t="str">
        <f>IFERROR(IF(BJ469-BD498&lt;=0,"",BL469/SQRT(Таблица_pr10[[#This Row],[Удельное сопротивление грунта, Ом·м]])),BL469/SQRT(Таблица_pr10[[#This Row],[Удельное сопротивление грунта, Ом·м]]))</f>
        <v/>
      </c>
    </row>
    <row r="470" spans="1:65">
      <c r="A470" s="53"/>
      <c r="B470" s="52"/>
      <c r="C470" s="50"/>
      <c r="D470" s="61" t="str">
        <f t="shared" si="53"/>
        <v/>
      </c>
      <c r="E470" s="61" t="str">
        <f>IFERROR(IF(B470-B469&lt;=0,"",D470/SQRT(Таблица_pr[[#This Row],[Удельное сопротивление грунта, Ом·м]])),D470/SQRT(Таблица_pr[[#This Row],[Удельное сопротивление грунта, Ом·м]]))</f>
        <v/>
      </c>
      <c r="G470" s="188"/>
      <c r="H470" s="184"/>
      <c r="I470" s="182"/>
      <c r="J470" s="181" t="str">
        <f t="shared" si="54"/>
        <v/>
      </c>
      <c r="K470" s="61" t="str">
        <f>IFERROR(IF(H470-H469&lt;=0,"",J470/SQRT(Таблица_pr1[[#This Row],[Удельное сопротивление грунта, Ом·м]])),J470/SQRT(Таблица_pr1[[#This Row],[Удельное сопротивление грунта, Ом·м]]))</f>
        <v/>
      </c>
      <c r="M470" s="53"/>
      <c r="N470" s="52"/>
      <c r="O470" s="50"/>
      <c r="P470" s="61" t="str">
        <f t="shared" si="59"/>
        <v/>
      </c>
      <c r="Q470" s="61" t="str">
        <f>IFERROR(IF(N470-N469&lt;=0,"",P470/SQRT(Таблица_pr2[[#This Row],[Удельное сопротивление грунта, Ом·м]])),P470/SQRT(Таблица_pr2[[#This Row],[Удельное сопротивление грунта, Ом·м]]))</f>
        <v/>
      </c>
      <c r="S470" s="53"/>
      <c r="T470" s="52"/>
      <c r="U470" s="50"/>
      <c r="V470" s="61" t="str">
        <f t="shared" si="55"/>
        <v/>
      </c>
      <c r="W470" s="61" t="str">
        <f>IFERROR(IF(T470-T469&lt;=0,"",V470/SQRT(Таблица_pr3[[#This Row],[Удельное сопротивление грунта, Ом·м]])),V470/SQRT(Таблица_pr3[[#This Row],[Удельное сопротивление грунта, Ом·м]]))</f>
        <v/>
      </c>
      <c r="Y470" s="53"/>
      <c r="Z470" s="52"/>
      <c r="AA470" s="50"/>
      <c r="AB470" s="61" t="str">
        <f t="shared" si="60"/>
        <v/>
      </c>
      <c r="AC470" s="61" t="str">
        <f>IFERROR(IF(Z470-Z469&lt;=0,"",AB470/SQRT(Таблица_pr4[[#This Row],[Удельное сопротивление грунта, Ом·м]])),AB470/SQRT(Таблица_pr4[[#This Row],[Удельное сопротивление грунта, Ом·м]]))</f>
        <v/>
      </c>
      <c r="AE470" s="53"/>
      <c r="AF470" s="52"/>
      <c r="AG470" s="50"/>
      <c r="AH470" s="61" t="str">
        <f t="shared" si="56"/>
        <v/>
      </c>
      <c r="AI470" s="61" t="str">
        <f>IFERROR(IF(AF470-AF469&lt;=0,"",AH470/SQRT(Таблица_pr5[[#This Row],[Удельное сопротивление грунта, Ом·м]])),AH470/SQRT(Таблица_pr5[[#This Row],[Удельное сопротивление грунта, Ом·м]]))</f>
        <v/>
      </c>
      <c r="AK470" s="53"/>
      <c r="AL470" s="52"/>
      <c r="AM470" s="50"/>
      <c r="AN470" s="61" t="str">
        <f t="shared" si="61"/>
        <v/>
      </c>
      <c r="AO470" s="61" t="str">
        <f>IFERROR(IF(AL470-AL469&lt;=0,"",AN470/SQRT(Таблица_pr6[[#This Row],[Удельное сопротивление грунта, Ом·м]])),AN470/SQRT(Таблица_pr6[[#This Row],[Удельное сопротивление грунта, Ом·м]]))</f>
        <v/>
      </c>
      <c r="AQ470" s="53"/>
      <c r="AR470" s="52"/>
      <c r="AS470" s="50"/>
      <c r="AT470" s="61" t="str">
        <f t="shared" si="57"/>
        <v/>
      </c>
      <c r="AU470" s="61" t="str">
        <f>IFERROR(IF(AR470-AR469&lt;=0,"",AT470/SQRT(Таблица_pr7[[#This Row],[Удельное сопротивление грунта, Ом·м]])),AT470/SQRT(Таблица_pr7[[#This Row],[Удельное сопротивление грунта, Ом·м]]))</f>
        <v/>
      </c>
      <c r="AW470" s="53"/>
      <c r="AX470" s="52"/>
      <c r="AY470" s="50"/>
      <c r="AZ470" s="61" t="str">
        <f t="shared" si="62"/>
        <v/>
      </c>
      <c r="BA470" s="61" t="str">
        <f>IFERROR(IF(AX470-AX469&lt;=0,"",AZ470/SQRT(Таблица_pr8[[#This Row],[Удельное сопротивление грунта, Ом·м]])),AZ470/SQRT(Таблица_pr8[[#This Row],[Удельное сопротивление грунта, Ом·м]]))</f>
        <v/>
      </c>
      <c r="BC470" s="53"/>
      <c r="BD470" s="52"/>
      <c r="BE470" s="50"/>
      <c r="BF470" s="61" t="str">
        <f t="shared" si="58"/>
        <v/>
      </c>
      <c r="BG470" s="61" t="str">
        <f>IFERROR(IF(BD470-AX489&lt;=0,"",BF470/SQRT(Таблица_pr9[[#This Row],[Удельное сопротивление грунта, Ом·м]])),BF470/SQRT(Таблица_pr9[[#This Row],[Удельное сопротивление грунта, Ом·м]]))</f>
        <v/>
      </c>
      <c r="BI470" s="53"/>
      <c r="BJ470" s="52"/>
      <c r="BK470" s="50"/>
      <c r="BL470" s="61" t="str">
        <f t="shared" si="63"/>
        <v/>
      </c>
      <c r="BM470" s="61" t="str">
        <f>IFERROR(IF(BJ470-BD499&lt;=0,"",BL470/SQRT(Таблица_pr10[[#This Row],[Удельное сопротивление грунта, Ом·м]])),BL470/SQRT(Таблица_pr10[[#This Row],[Удельное сопротивление грунта, Ом·м]]))</f>
        <v/>
      </c>
    </row>
    <row r="471" spans="1:65">
      <c r="A471" s="51"/>
      <c r="B471" s="52"/>
      <c r="C471" s="50"/>
      <c r="D471" s="61" t="str">
        <f t="shared" si="53"/>
        <v/>
      </c>
      <c r="E471" s="61" t="str">
        <f>IFERROR(IF(B471-B470&lt;=0,"",D471/SQRT(Таблица_pr[[#This Row],[Удельное сопротивление грунта, Ом·м]])),D471/SQRT(Таблица_pr[[#This Row],[Удельное сопротивление грунта, Ом·м]]))</f>
        <v/>
      </c>
      <c r="G471" s="189"/>
      <c r="H471" s="185"/>
      <c r="I471" s="183"/>
      <c r="J471" s="180" t="str">
        <f t="shared" si="54"/>
        <v/>
      </c>
      <c r="K471" s="61" t="str">
        <f>IFERROR(IF(H471-H470&lt;=0,"",J471/SQRT(Таблица_pr1[[#This Row],[Удельное сопротивление грунта, Ом·м]])),J471/SQRT(Таблица_pr1[[#This Row],[Удельное сопротивление грунта, Ом·м]]))</f>
        <v/>
      </c>
      <c r="M471" s="51"/>
      <c r="N471" s="52"/>
      <c r="O471" s="50"/>
      <c r="P471" s="61" t="str">
        <f t="shared" si="59"/>
        <v/>
      </c>
      <c r="Q471" s="61" t="str">
        <f>IFERROR(IF(N471-N470&lt;=0,"",P471/SQRT(Таблица_pr2[[#This Row],[Удельное сопротивление грунта, Ом·м]])),P471/SQRT(Таблица_pr2[[#This Row],[Удельное сопротивление грунта, Ом·м]]))</f>
        <v/>
      </c>
      <c r="S471" s="51"/>
      <c r="T471" s="52"/>
      <c r="U471" s="50"/>
      <c r="V471" s="61" t="str">
        <f t="shared" si="55"/>
        <v/>
      </c>
      <c r="W471" s="61" t="str">
        <f>IFERROR(IF(T471-T470&lt;=0,"",V471/SQRT(Таблица_pr3[[#This Row],[Удельное сопротивление грунта, Ом·м]])),V471/SQRT(Таблица_pr3[[#This Row],[Удельное сопротивление грунта, Ом·м]]))</f>
        <v/>
      </c>
      <c r="Y471" s="51"/>
      <c r="Z471" s="52"/>
      <c r="AA471" s="50"/>
      <c r="AB471" s="61" t="str">
        <f t="shared" si="60"/>
        <v/>
      </c>
      <c r="AC471" s="61" t="str">
        <f>IFERROR(IF(Z471-Z470&lt;=0,"",AB471/SQRT(Таблица_pr4[[#This Row],[Удельное сопротивление грунта, Ом·м]])),AB471/SQRT(Таблица_pr4[[#This Row],[Удельное сопротивление грунта, Ом·м]]))</f>
        <v/>
      </c>
      <c r="AE471" s="51"/>
      <c r="AF471" s="52"/>
      <c r="AG471" s="50"/>
      <c r="AH471" s="61" t="str">
        <f t="shared" si="56"/>
        <v/>
      </c>
      <c r="AI471" s="61" t="str">
        <f>IFERROR(IF(AF471-AF470&lt;=0,"",AH471/SQRT(Таблица_pr5[[#This Row],[Удельное сопротивление грунта, Ом·м]])),AH471/SQRT(Таблица_pr5[[#This Row],[Удельное сопротивление грунта, Ом·м]]))</f>
        <v/>
      </c>
      <c r="AK471" s="51"/>
      <c r="AL471" s="52"/>
      <c r="AM471" s="50"/>
      <c r="AN471" s="61" t="str">
        <f t="shared" si="61"/>
        <v/>
      </c>
      <c r="AO471" s="61" t="str">
        <f>IFERROR(IF(AL471-AL470&lt;=0,"",AN471/SQRT(Таблица_pr6[[#This Row],[Удельное сопротивление грунта, Ом·м]])),AN471/SQRT(Таблица_pr6[[#This Row],[Удельное сопротивление грунта, Ом·м]]))</f>
        <v/>
      </c>
      <c r="AQ471" s="51"/>
      <c r="AR471" s="52"/>
      <c r="AS471" s="50"/>
      <c r="AT471" s="61" t="str">
        <f t="shared" si="57"/>
        <v/>
      </c>
      <c r="AU471" s="61" t="str">
        <f>IFERROR(IF(AR471-AR470&lt;=0,"",AT471/SQRT(Таблица_pr7[[#This Row],[Удельное сопротивление грунта, Ом·м]])),AT471/SQRT(Таблица_pr7[[#This Row],[Удельное сопротивление грунта, Ом·м]]))</f>
        <v/>
      </c>
      <c r="AW471" s="51"/>
      <c r="AX471" s="52"/>
      <c r="AY471" s="50"/>
      <c r="AZ471" s="61" t="str">
        <f t="shared" si="62"/>
        <v/>
      </c>
      <c r="BA471" s="61" t="str">
        <f>IFERROR(IF(AX471-AX470&lt;=0,"",AZ471/SQRT(Таблица_pr8[[#This Row],[Удельное сопротивление грунта, Ом·м]])),AZ471/SQRT(Таблица_pr8[[#This Row],[Удельное сопротивление грунта, Ом·м]]))</f>
        <v/>
      </c>
      <c r="BC471" s="51"/>
      <c r="BD471" s="52"/>
      <c r="BE471" s="50"/>
      <c r="BF471" s="61" t="str">
        <f t="shared" si="58"/>
        <v/>
      </c>
      <c r="BG471" s="61" t="str">
        <f>IFERROR(IF(BD471-AX490&lt;=0,"",BF471/SQRT(Таблица_pr9[[#This Row],[Удельное сопротивление грунта, Ом·м]])),BF471/SQRT(Таблица_pr9[[#This Row],[Удельное сопротивление грунта, Ом·м]]))</f>
        <v/>
      </c>
      <c r="BI471" s="51"/>
      <c r="BJ471" s="52"/>
      <c r="BK471" s="50"/>
      <c r="BL471" s="61" t="str">
        <f t="shared" si="63"/>
        <v/>
      </c>
      <c r="BM471" s="61" t="str">
        <f>IFERROR(IF(BJ471-BD500&lt;=0,"",BL471/SQRT(Таблица_pr10[[#This Row],[Удельное сопротивление грунта, Ом·м]])),BL471/SQRT(Таблица_pr10[[#This Row],[Удельное сопротивление грунта, Ом·м]]))</f>
        <v/>
      </c>
    </row>
    <row r="472" spans="1:65">
      <c r="A472" s="53"/>
      <c r="B472" s="52"/>
      <c r="C472" s="50"/>
      <c r="D472" s="61" t="str">
        <f t="shared" si="53"/>
        <v/>
      </c>
      <c r="E472" s="61" t="str">
        <f>IFERROR(IF(B472-B471&lt;=0,"",D472/SQRT(Таблица_pr[[#This Row],[Удельное сопротивление грунта, Ом·м]])),D472/SQRT(Таблица_pr[[#This Row],[Удельное сопротивление грунта, Ом·м]]))</f>
        <v/>
      </c>
      <c r="G472" s="188"/>
      <c r="H472" s="184"/>
      <c r="I472" s="182"/>
      <c r="J472" s="181" t="str">
        <f t="shared" si="54"/>
        <v/>
      </c>
      <c r="K472" s="61" t="str">
        <f>IFERROR(IF(H472-H471&lt;=0,"",J472/SQRT(Таблица_pr1[[#This Row],[Удельное сопротивление грунта, Ом·м]])),J472/SQRT(Таблица_pr1[[#This Row],[Удельное сопротивление грунта, Ом·м]]))</f>
        <v/>
      </c>
      <c r="M472" s="53"/>
      <c r="N472" s="52"/>
      <c r="O472" s="50"/>
      <c r="P472" s="61" t="str">
        <f t="shared" si="59"/>
        <v/>
      </c>
      <c r="Q472" s="61" t="str">
        <f>IFERROR(IF(N472-N471&lt;=0,"",P472/SQRT(Таблица_pr2[[#This Row],[Удельное сопротивление грунта, Ом·м]])),P472/SQRT(Таблица_pr2[[#This Row],[Удельное сопротивление грунта, Ом·м]]))</f>
        <v/>
      </c>
      <c r="S472" s="53"/>
      <c r="T472" s="52"/>
      <c r="U472" s="50"/>
      <c r="V472" s="61" t="str">
        <f t="shared" si="55"/>
        <v/>
      </c>
      <c r="W472" s="61" t="str">
        <f>IFERROR(IF(T472-T471&lt;=0,"",V472/SQRT(Таблица_pr3[[#This Row],[Удельное сопротивление грунта, Ом·м]])),V472/SQRT(Таблица_pr3[[#This Row],[Удельное сопротивление грунта, Ом·м]]))</f>
        <v/>
      </c>
      <c r="Y472" s="53"/>
      <c r="Z472" s="52"/>
      <c r="AA472" s="50"/>
      <c r="AB472" s="61" t="str">
        <f t="shared" si="60"/>
        <v/>
      </c>
      <c r="AC472" s="61" t="str">
        <f>IFERROR(IF(Z472-Z471&lt;=0,"",AB472/SQRT(Таблица_pr4[[#This Row],[Удельное сопротивление грунта, Ом·м]])),AB472/SQRT(Таблица_pr4[[#This Row],[Удельное сопротивление грунта, Ом·м]]))</f>
        <v/>
      </c>
      <c r="AE472" s="53"/>
      <c r="AF472" s="52"/>
      <c r="AG472" s="50"/>
      <c r="AH472" s="61" t="str">
        <f t="shared" si="56"/>
        <v/>
      </c>
      <c r="AI472" s="61" t="str">
        <f>IFERROR(IF(AF472-AF471&lt;=0,"",AH472/SQRT(Таблица_pr5[[#This Row],[Удельное сопротивление грунта, Ом·м]])),AH472/SQRT(Таблица_pr5[[#This Row],[Удельное сопротивление грунта, Ом·м]]))</f>
        <v/>
      </c>
      <c r="AK472" s="53"/>
      <c r="AL472" s="52"/>
      <c r="AM472" s="50"/>
      <c r="AN472" s="61" t="str">
        <f t="shared" si="61"/>
        <v/>
      </c>
      <c r="AO472" s="61" t="str">
        <f>IFERROR(IF(AL472-AL471&lt;=0,"",AN472/SQRT(Таблица_pr6[[#This Row],[Удельное сопротивление грунта, Ом·м]])),AN472/SQRT(Таблица_pr6[[#This Row],[Удельное сопротивление грунта, Ом·м]]))</f>
        <v/>
      </c>
      <c r="AQ472" s="53"/>
      <c r="AR472" s="52"/>
      <c r="AS472" s="50"/>
      <c r="AT472" s="61" t="str">
        <f t="shared" si="57"/>
        <v/>
      </c>
      <c r="AU472" s="61" t="str">
        <f>IFERROR(IF(AR472-AR471&lt;=0,"",AT472/SQRT(Таблица_pr7[[#This Row],[Удельное сопротивление грунта, Ом·м]])),AT472/SQRT(Таблица_pr7[[#This Row],[Удельное сопротивление грунта, Ом·м]]))</f>
        <v/>
      </c>
      <c r="AW472" s="53"/>
      <c r="AX472" s="52"/>
      <c r="AY472" s="50"/>
      <c r="AZ472" s="61" t="str">
        <f t="shared" si="62"/>
        <v/>
      </c>
      <c r="BA472" s="61" t="str">
        <f>IFERROR(IF(AX472-AX471&lt;=0,"",AZ472/SQRT(Таблица_pr8[[#This Row],[Удельное сопротивление грунта, Ом·м]])),AZ472/SQRT(Таблица_pr8[[#This Row],[Удельное сопротивление грунта, Ом·м]]))</f>
        <v/>
      </c>
      <c r="BC472" s="53"/>
      <c r="BD472" s="52"/>
      <c r="BE472" s="50"/>
      <c r="BF472" s="61" t="str">
        <f t="shared" si="58"/>
        <v/>
      </c>
      <c r="BG472" s="61" t="str">
        <f>IFERROR(IF(BD472-AX491&lt;=0,"",BF472/SQRT(Таблица_pr9[[#This Row],[Удельное сопротивление грунта, Ом·м]])),BF472/SQRT(Таблица_pr9[[#This Row],[Удельное сопротивление грунта, Ом·м]]))</f>
        <v/>
      </c>
      <c r="BI472" s="53"/>
      <c r="BJ472" s="52"/>
      <c r="BK472" s="50"/>
      <c r="BL472" s="61" t="str">
        <f t="shared" si="63"/>
        <v/>
      </c>
      <c r="BM472" s="61" t="str">
        <f>IFERROR(IF(BJ472-BD501&lt;=0,"",BL472/SQRT(Таблица_pr10[[#This Row],[Удельное сопротивление грунта, Ом·м]])),BL472/SQRT(Таблица_pr10[[#This Row],[Удельное сопротивление грунта, Ом·м]]))</f>
        <v/>
      </c>
    </row>
    <row r="473" spans="1:65">
      <c r="A473" s="51"/>
      <c r="B473" s="52"/>
      <c r="C473" s="50"/>
      <c r="D473" s="61" t="str">
        <f t="shared" si="53"/>
        <v/>
      </c>
      <c r="E473" s="61" t="str">
        <f>IFERROR(IF(B473-B472&lt;=0,"",D473/SQRT(Таблица_pr[[#This Row],[Удельное сопротивление грунта, Ом·м]])),D473/SQRT(Таблица_pr[[#This Row],[Удельное сопротивление грунта, Ом·м]]))</f>
        <v/>
      </c>
      <c r="G473" s="189"/>
      <c r="H473" s="185"/>
      <c r="I473" s="183"/>
      <c r="J473" s="180" t="str">
        <f t="shared" si="54"/>
        <v/>
      </c>
      <c r="K473" s="61" t="str">
        <f>IFERROR(IF(H473-H472&lt;=0,"",J473/SQRT(Таблица_pr1[[#This Row],[Удельное сопротивление грунта, Ом·м]])),J473/SQRT(Таблица_pr1[[#This Row],[Удельное сопротивление грунта, Ом·м]]))</f>
        <v/>
      </c>
      <c r="M473" s="51"/>
      <c r="N473" s="52"/>
      <c r="O473" s="50"/>
      <c r="P473" s="61" t="str">
        <f t="shared" si="59"/>
        <v/>
      </c>
      <c r="Q473" s="61" t="str">
        <f>IFERROR(IF(N473-N472&lt;=0,"",P473/SQRT(Таблица_pr2[[#This Row],[Удельное сопротивление грунта, Ом·м]])),P473/SQRT(Таблица_pr2[[#This Row],[Удельное сопротивление грунта, Ом·м]]))</f>
        <v/>
      </c>
      <c r="S473" s="51"/>
      <c r="T473" s="52"/>
      <c r="U473" s="50"/>
      <c r="V473" s="61" t="str">
        <f t="shared" si="55"/>
        <v/>
      </c>
      <c r="W473" s="61" t="str">
        <f>IFERROR(IF(T473-T472&lt;=0,"",V473/SQRT(Таблица_pr3[[#This Row],[Удельное сопротивление грунта, Ом·м]])),V473/SQRT(Таблица_pr3[[#This Row],[Удельное сопротивление грунта, Ом·м]]))</f>
        <v/>
      </c>
      <c r="Y473" s="51"/>
      <c r="Z473" s="52"/>
      <c r="AA473" s="50"/>
      <c r="AB473" s="61" t="str">
        <f t="shared" si="60"/>
        <v/>
      </c>
      <c r="AC473" s="61" t="str">
        <f>IFERROR(IF(Z473-Z472&lt;=0,"",AB473/SQRT(Таблица_pr4[[#This Row],[Удельное сопротивление грунта, Ом·м]])),AB473/SQRT(Таблица_pr4[[#This Row],[Удельное сопротивление грунта, Ом·м]]))</f>
        <v/>
      </c>
      <c r="AE473" s="51"/>
      <c r="AF473" s="52"/>
      <c r="AG473" s="50"/>
      <c r="AH473" s="61" t="str">
        <f t="shared" si="56"/>
        <v/>
      </c>
      <c r="AI473" s="61" t="str">
        <f>IFERROR(IF(AF473-AF472&lt;=0,"",AH473/SQRT(Таблица_pr5[[#This Row],[Удельное сопротивление грунта, Ом·м]])),AH473/SQRT(Таблица_pr5[[#This Row],[Удельное сопротивление грунта, Ом·м]]))</f>
        <v/>
      </c>
      <c r="AK473" s="51"/>
      <c r="AL473" s="52"/>
      <c r="AM473" s="50"/>
      <c r="AN473" s="61" t="str">
        <f t="shared" si="61"/>
        <v/>
      </c>
      <c r="AO473" s="61" t="str">
        <f>IFERROR(IF(AL473-AL472&lt;=0,"",AN473/SQRT(Таблица_pr6[[#This Row],[Удельное сопротивление грунта, Ом·м]])),AN473/SQRT(Таблица_pr6[[#This Row],[Удельное сопротивление грунта, Ом·м]]))</f>
        <v/>
      </c>
      <c r="AQ473" s="51"/>
      <c r="AR473" s="52"/>
      <c r="AS473" s="50"/>
      <c r="AT473" s="61" t="str">
        <f t="shared" si="57"/>
        <v/>
      </c>
      <c r="AU473" s="61" t="str">
        <f>IFERROR(IF(AR473-AR472&lt;=0,"",AT473/SQRT(Таблица_pr7[[#This Row],[Удельное сопротивление грунта, Ом·м]])),AT473/SQRT(Таблица_pr7[[#This Row],[Удельное сопротивление грунта, Ом·м]]))</f>
        <v/>
      </c>
      <c r="AW473" s="51"/>
      <c r="AX473" s="52"/>
      <c r="AY473" s="50"/>
      <c r="AZ473" s="61" t="str">
        <f t="shared" si="62"/>
        <v/>
      </c>
      <c r="BA473" s="61" t="str">
        <f>IFERROR(IF(AX473-AX472&lt;=0,"",AZ473/SQRT(Таблица_pr8[[#This Row],[Удельное сопротивление грунта, Ом·м]])),AZ473/SQRT(Таблица_pr8[[#This Row],[Удельное сопротивление грунта, Ом·м]]))</f>
        <v/>
      </c>
      <c r="BC473" s="51"/>
      <c r="BD473" s="52"/>
      <c r="BE473" s="50"/>
      <c r="BF473" s="61" t="str">
        <f t="shared" si="58"/>
        <v/>
      </c>
      <c r="BG473" s="61" t="str">
        <f>IFERROR(IF(BD473-AX492&lt;=0,"",BF473/SQRT(Таблица_pr9[[#This Row],[Удельное сопротивление грунта, Ом·м]])),BF473/SQRT(Таблица_pr9[[#This Row],[Удельное сопротивление грунта, Ом·м]]))</f>
        <v/>
      </c>
      <c r="BI473" s="51"/>
      <c r="BJ473" s="52"/>
      <c r="BK473" s="50"/>
      <c r="BL473" s="61" t="str">
        <f t="shared" si="63"/>
        <v/>
      </c>
      <c r="BM473" s="61" t="str">
        <f>IFERROR(IF(BJ473-BD502&lt;=0,"",BL473/SQRT(Таблица_pr10[[#This Row],[Удельное сопротивление грунта, Ом·м]])),BL473/SQRT(Таблица_pr10[[#This Row],[Удельное сопротивление грунта, Ом·м]]))</f>
        <v/>
      </c>
    </row>
    <row r="474" spans="1:65">
      <c r="A474" s="53"/>
      <c r="B474" s="52"/>
      <c r="C474" s="50"/>
      <c r="D474" s="61" t="str">
        <f t="shared" si="53"/>
        <v/>
      </c>
      <c r="E474" s="61" t="str">
        <f>IFERROR(IF(B474-B473&lt;=0,"",D474/SQRT(Таблица_pr[[#This Row],[Удельное сопротивление грунта, Ом·м]])),D474/SQRT(Таблица_pr[[#This Row],[Удельное сопротивление грунта, Ом·м]]))</f>
        <v/>
      </c>
      <c r="G474" s="188"/>
      <c r="H474" s="184"/>
      <c r="I474" s="182"/>
      <c r="J474" s="181" t="str">
        <f t="shared" si="54"/>
        <v/>
      </c>
      <c r="K474" s="61" t="str">
        <f>IFERROR(IF(H474-H473&lt;=0,"",J474/SQRT(Таблица_pr1[[#This Row],[Удельное сопротивление грунта, Ом·м]])),J474/SQRT(Таблица_pr1[[#This Row],[Удельное сопротивление грунта, Ом·м]]))</f>
        <v/>
      </c>
      <c r="M474" s="53"/>
      <c r="N474" s="52"/>
      <c r="O474" s="50"/>
      <c r="P474" s="61" t="str">
        <f t="shared" si="59"/>
        <v/>
      </c>
      <c r="Q474" s="61" t="str">
        <f>IFERROR(IF(N474-N473&lt;=0,"",P474/SQRT(Таблица_pr2[[#This Row],[Удельное сопротивление грунта, Ом·м]])),P474/SQRT(Таблица_pr2[[#This Row],[Удельное сопротивление грунта, Ом·м]]))</f>
        <v/>
      </c>
      <c r="S474" s="53"/>
      <c r="T474" s="52"/>
      <c r="U474" s="50"/>
      <c r="V474" s="61" t="str">
        <f t="shared" si="55"/>
        <v/>
      </c>
      <c r="W474" s="61" t="str">
        <f>IFERROR(IF(T474-T473&lt;=0,"",V474/SQRT(Таблица_pr3[[#This Row],[Удельное сопротивление грунта, Ом·м]])),V474/SQRT(Таблица_pr3[[#This Row],[Удельное сопротивление грунта, Ом·м]]))</f>
        <v/>
      </c>
      <c r="Y474" s="53"/>
      <c r="Z474" s="52"/>
      <c r="AA474" s="50"/>
      <c r="AB474" s="61" t="str">
        <f t="shared" si="60"/>
        <v/>
      </c>
      <c r="AC474" s="61" t="str">
        <f>IFERROR(IF(Z474-Z473&lt;=0,"",AB474/SQRT(Таблица_pr4[[#This Row],[Удельное сопротивление грунта, Ом·м]])),AB474/SQRT(Таблица_pr4[[#This Row],[Удельное сопротивление грунта, Ом·м]]))</f>
        <v/>
      </c>
      <c r="AE474" s="53"/>
      <c r="AF474" s="52"/>
      <c r="AG474" s="50"/>
      <c r="AH474" s="61" t="str">
        <f t="shared" si="56"/>
        <v/>
      </c>
      <c r="AI474" s="61" t="str">
        <f>IFERROR(IF(AF474-AF473&lt;=0,"",AH474/SQRT(Таблица_pr5[[#This Row],[Удельное сопротивление грунта, Ом·м]])),AH474/SQRT(Таблица_pr5[[#This Row],[Удельное сопротивление грунта, Ом·м]]))</f>
        <v/>
      </c>
      <c r="AK474" s="53"/>
      <c r="AL474" s="52"/>
      <c r="AM474" s="50"/>
      <c r="AN474" s="61" t="str">
        <f t="shared" si="61"/>
        <v/>
      </c>
      <c r="AO474" s="61" t="str">
        <f>IFERROR(IF(AL474-AL473&lt;=0,"",AN474/SQRT(Таблица_pr6[[#This Row],[Удельное сопротивление грунта, Ом·м]])),AN474/SQRT(Таблица_pr6[[#This Row],[Удельное сопротивление грунта, Ом·м]]))</f>
        <v/>
      </c>
      <c r="AQ474" s="53"/>
      <c r="AR474" s="52"/>
      <c r="AS474" s="50"/>
      <c r="AT474" s="61" t="str">
        <f t="shared" si="57"/>
        <v/>
      </c>
      <c r="AU474" s="61" t="str">
        <f>IFERROR(IF(AR474-AR473&lt;=0,"",AT474/SQRT(Таблица_pr7[[#This Row],[Удельное сопротивление грунта, Ом·м]])),AT474/SQRT(Таблица_pr7[[#This Row],[Удельное сопротивление грунта, Ом·м]]))</f>
        <v/>
      </c>
      <c r="AW474" s="53"/>
      <c r="AX474" s="52"/>
      <c r="AY474" s="50"/>
      <c r="AZ474" s="61" t="str">
        <f t="shared" si="62"/>
        <v/>
      </c>
      <c r="BA474" s="61" t="str">
        <f>IFERROR(IF(AX474-AX473&lt;=0,"",AZ474/SQRT(Таблица_pr8[[#This Row],[Удельное сопротивление грунта, Ом·м]])),AZ474/SQRT(Таблица_pr8[[#This Row],[Удельное сопротивление грунта, Ом·м]]))</f>
        <v/>
      </c>
      <c r="BC474" s="53"/>
      <c r="BD474" s="52"/>
      <c r="BE474" s="50"/>
      <c r="BF474" s="61" t="str">
        <f t="shared" si="58"/>
        <v/>
      </c>
      <c r="BG474" s="61" t="str">
        <f>IFERROR(IF(BD474-AX493&lt;=0,"",BF474/SQRT(Таблица_pr9[[#This Row],[Удельное сопротивление грунта, Ом·м]])),BF474/SQRT(Таблица_pr9[[#This Row],[Удельное сопротивление грунта, Ом·м]]))</f>
        <v/>
      </c>
      <c r="BI474" s="53"/>
      <c r="BJ474" s="52"/>
      <c r="BK474" s="50"/>
      <c r="BL474" s="61" t="str">
        <f t="shared" si="63"/>
        <v/>
      </c>
      <c r="BM474" s="61" t="str">
        <f>IFERROR(IF(BJ474-BD503&lt;=0,"",BL474/SQRT(Таблица_pr10[[#This Row],[Удельное сопротивление грунта, Ом·м]])),BL474/SQRT(Таблица_pr10[[#This Row],[Удельное сопротивление грунта, Ом·м]]))</f>
        <v/>
      </c>
    </row>
    <row r="475" spans="1:65">
      <c r="A475" s="51"/>
      <c r="B475" s="52"/>
      <c r="C475" s="50"/>
      <c r="D475" s="61" t="str">
        <f t="shared" si="53"/>
        <v/>
      </c>
      <c r="E475" s="61" t="str">
        <f>IFERROR(IF(B475-B474&lt;=0,"",D475/SQRT(Таблица_pr[[#This Row],[Удельное сопротивление грунта, Ом·м]])),D475/SQRT(Таблица_pr[[#This Row],[Удельное сопротивление грунта, Ом·м]]))</f>
        <v/>
      </c>
      <c r="G475" s="189"/>
      <c r="H475" s="185"/>
      <c r="I475" s="183"/>
      <c r="J475" s="180" t="str">
        <f t="shared" si="54"/>
        <v/>
      </c>
      <c r="K475" s="61" t="str">
        <f>IFERROR(IF(H475-H474&lt;=0,"",J475/SQRT(Таблица_pr1[[#This Row],[Удельное сопротивление грунта, Ом·м]])),J475/SQRT(Таблица_pr1[[#This Row],[Удельное сопротивление грунта, Ом·м]]))</f>
        <v/>
      </c>
      <c r="M475" s="51"/>
      <c r="N475" s="52"/>
      <c r="O475" s="50"/>
      <c r="P475" s="61" t="str">
        <f t="shared" si="59"/>
        <v/>
      </c>
      <c r="Q475" s="61" t="str">
        <f>IFERROR(IF(N475-N474&lt;=0,"",P475/SQRT(Таблица_pr2[[#This Row],[Удельное сопротивление грунта, Ом·м]])),P475/SQRT(Таблица_pr2[[#This Row],[Удельное сопротивление грунта, Ом·м]]))</f>
        <v/>
      </c>
      <c r="S475" s="51"/>
      <c r="T475" s="52"/>
      <c r="U475" s="50"/>
      <c r="V475" s="61" t="str">
        <f t="shared" si="55"/>
        <v/>
      </c>
      <c r="W475" s="61" t="str">
        <f>IFERROR(IF(T475-T474&lt;=0,"",V475/SQRT(Таблица_pr3[[#This Row],[Удельное сопротивление грунта, Ом·м]])),V475/SQRT(Таблица_pr3[[#This Row],[Удельное сопротивление грунта, Ом·м]]))</f>
        <v/>
      </c>
      <c r="Y475" s="51"/>
      <c r="Z475" s="52"/>
      <c r="AA475" s="50"/>
      <c r="AB475" s="61" t="str">
        <f t="shared" si="60"/>
        <v/>
      </c>
      <c r="AC475" s="61" t="str">
        <f>IFERROR(IF(Z475-Z474&lt;=0,"",AB475/SQRT(Таблица_pr4[[#This Row],[Удельное сопротивление грунта, Ом·м]])),AB475/SQRT(Таблица_pr4[[#This Row],[Удельное сопротивление грунта, Ом·м]]))</f>
        <v/>
      </c>
      <c r="AE475" s="51"/>
      <c r="AF475" s="52"/>
      <c r="AG475" s="50"/>
      <c r="AH475" s="61" t="str">
        <f t="shared" si="56"/>
        <v/>
      </c>
      <c r="AI475" s="61" t="str">
        <f>IFERROR(IF(AF475-AF474&lt;=0,"",AH475/SQRT(Таблица_pr5[[#This Row],[Удельное сопротивление грунта, Ом·м]])),AH475/SQRT(Таблица_pr5[[#This Row],[Удельное сопротивление грунта, Ом·м]]))</f>
        <v/>
      </c>
      <c r="AK475" s="51"/>
      <c r="AL475" s="52"/>
      <c r="AM475" s="50"/>
      <c r="AN475" s="61" t="str">
        <f t="shared" si="61"/>
        <v/>
      </c>
      <c r="AO475" s="61" t="str">
        <f>IFERROR(IF(AL475-AL474&lt;=0,"",AN475/SQRT(Таблица_pr6[[#This Row],[Удельное сопротивление грунта, Ом·м]])),AN475/SQRT(Таблица_pr6[[#This Row],[Удельное сопротивление грунта, Ом·м]]))</f>
        <v/>
      </c>
      <c r="AQ475" s="51"/>
      <c r="AR475" s="52"/>
      <c r="AS475" s="50"/>
      <c r="AT475" s="61" t="str">
        <f t="shared" si="57"/>
        <v/>
      </c>
      <c r="AU475" s="61" t="str">
        <f>IFERROR(IF(AR475-AR474&lt;=0,"",AT475/SQRT(Таблица_pr7[[#This Row],[Удельное сопротивление грунта, Ом·м]])),AT475/SQRT(Таблица_pr7[[#This Row],[Удельное сопротивление грунта, Ом·м]]))</f>
        <v/>
      </c>
      <c r="AW475" s="51"/>
      <c r="AX475" s="52"/>
      <c r="AY475" s="50"/>
      <c r="AZ475" s="61" t="str">
        <f t="shared" si="62"/>
        <v/>
      </c>
      <c r="BA475" s="61" t="str">
        <f>IFERROR(IF(AX475-AX474&lt;=0,"",AZ475/SQRT(Таблица_pr8[[#This Row],[Удельное сопротивление грунта, Ом·м]])),AZ475/SQRT(Таблица_pr8[[#This Row],[Удельное сопротивление грунта, Ом·м]]))</f>
        <v/>
      </c>
      <c r="BC475" s="51"/>
      <c r="BD475" s="52"/>
      <c r="BE475" s="50"/>
      <c r="BF475" s="61" t="str">
        <f t="shared" si="58"/>
        <v/>
      </c>
      <c r="BG475" s="61" t="str">
        <f>IFERROR(IF(BD475-AX494&lt;=0,"",BF475/SQRT(Таблица_pr9[[#This Row],[Удельное сопротивление грунта, Ом·м]])),BF475/SQRT(Таблица_pr9[[#This Row],[Удельное сопротивление грунта, Ом·м]]))</f>
        <v/>
      </c>
      <c r="BI475" s="51"/>
      <c r="BJ475" s="52"/>
      <c r="BK475" s="50"/>
      <c r="BL475" s="61" t="str">
        <f t="shared" si="63"/>
        <v/>
      </c>
      <c r="BM475" s="61" t="str">
        <f>IFERROR(IF(BJ475-BD504&lt;=0,"",BL475/SQRT(Таблица_pr10[[#This Row],[Удельное сопротивление грунта, Ом·м]])),BL475/SQRT(Таблица_pr10[[#This Row],[Удельное сопротивление грунта, Ом·м]]))</f>
        <v/>
      </c>
    </row>
    <row r="476" spans="1:65">
      <c r="A476" s="53"/>
      <c r="B476" s="52"/>
      <c r="C476" s="50"/>
      <c r="D476" s="61" t="str">
        <f t="shared" si="53"/>
        <v/>
      </c>
      <c r="E476" s="61" t="str">
        <f>IFERROR(IF(B476-B475&lt;=0,"",D476/SQRT(Таблица_pr[[#This Row],[Удельное сопротивление грунта, Ом·м]])),D476/SQRT(Таблица_pr[[#This Row],[Удельное сопротивление грунта, Ом·м]]))</f>
        <v/>
      </c>
      <c r="G476" s="188"/>
      <c r="H476" s="184"/>
      <c r="I476" s="182"/>
      <c r="J476" s="181" t="str">
        <f t="shared" si="54"/>
        <v/>
      </c>
      <c r="K476" s="61" t="str">
        <f>IFERROR(IF(H476-H475&lt;=0,"",J476/SQRT(Таблица_pr1[[#This Row],[Удельное сопротивление грунта, Ом·м]])),J476/SQRT(Таблица_pr1[[#This Row],[Удельное сопротивление грунта, Ом·м]]))</f>
        <v/>
      </c>
      <c r="M476" s="53"/>
      <c r="N476" s="52"/>
      <c r="O476" s="50"/>
      <c r="P476" s="61" t="str">
        <f t="shared" si="59"/>
        <v/>
      </c>
      <c r="Q476" s="61" t="str">
        <f>IFERROR(IF(N476-N475&lt;=0,"",P476/SQRT(Таблица_pr2[[#This Row],[Удельное сопротивление грунта, Ом·м]])),P476/SQRT(Таблица_pr2[[#This Row],[Удельное сопротивление грунта, Ом·м]]))</f>
        <v/>
      </c>
      <c r="S476" s="53"/>
      <c r="T476" s="52"/>
      <c r="U476" s="50"/>
      <c r="V476" s="61" t="str">
        <f t="shared" si="55"/>
        <v/>
      </c>
      <c r="W476" s="61" t="str">
        <f>IFERROR(IF(T476-T475&lt;=0,"",V476/SQRT(Таблица_pr3[[#This Row],[Удельное сопротивление грунта, Ом·м]])),V476/SQRT(Таблица_pr3[[#This Row],[Удельное сопротивление грунта, Ом·м]]))</f>
        <v/>
      </c>
      <c r="Y476" s="53"/>
      <c r="Z476" s="52"/>
      <c r="AA476" s="50"/>
      <c r="AB476" s="61" t="str">
        <f t="shared" si="60"/>
        <v/>
      </c>
      <c r="AC476" s="61" t="str">
        <f>IFERROR(IF(Z476-Z475&lt;=0,"",AB476/SQRT(Таблица_pr4[[#This Row],[Удельное сопротивление грунта, Ом·м]])),AB476/SQRT(Таблица_pr4[[#This Row],[Удельное сопротивление грунта, Ом·м]]))</f>
        <v/>
      </c>
      <c r="AE476" s="53"/>
      <c r="AF476" s="52"/>
      <c r="AG476" s="50"/>
      <c r="AH476" s="61" t="str">
        <f t="shared" si="56"/>
        <v/>
      </c>
      <c r="AI476" s="61" t="str">
        <f>IFERROR(IF(AF476-AF475&lt;=0,"",AH476/SQRT(Таблица_pr5[[#This Row],[Удельное сопротивление грунта, Ом·м]])),AH476/SQRT(Таблица_pr5[[#This Row],[Удельное сопротивление грунта, Ом·м]]))</f>
        <v/>
      </c>
      <c r="AK476" s="53"/>
      <c r="AL476" s="52"/>
      <c r="AM476" s="50"/>
      <c r="AN476" s="61" t="str">
        <f t="shared" si="61"/>
        <v/>
      </c>
      <c r="AO476" s="61" t="str">
        <f>IFERROR(IF(AL476-AL475&lt;=0,"",AN476/SQRT(Таблица_pr6[[#This Row],[Удельное сопротивление грунта, Ом·м]])),AN476/SQRT(Таблица_pr6[[#This Row],[Удельное сопротивление грунта, Ом·м]]))</f>
        <v/>
      </c>
      <c r="AQ476" s="53"/>
      <c r="AR476" s="52"/>
      <c r="AS476" s="50"/>
      <c r="AT476" s="61" t="str">
        <f t="shared" si="57"/>
        <v/>
      </c>
      <c r="AU476" s="61" t="str">
        <f>IFERROR(IF(AR476-AR475&lt;=0,"",AT476/SQRT(Таблица_pr7[[#This Row],[Удельное сопротивление грунта, Ом·м]])),AT476/SQRT(Таблица_pr7[[#This Row],[Удельное сопротивление грунта, Ом·м]]))</f>
        <v/>
      </c>
      <c r="AW476" s="53"/>
      <c r="AX476" s="52"/>
      <c r="AY476" s="50"/>
      <c r="AZ476" s="61" t="str">
        <f t="shared" si="62"/>
        <v/>
      </c>
      <c r="BA476" s="61" t="str">
        <f>IFERROR(IF(AX476-AX475&lt;=0,"",AZ476/SQRT(Таблица_pr8[[#This Row],[Удельное сопротивление грунта, Ом·м]])),AZ476/SQRT(Таблица_pr8[[#This Row],[Удельное сопротивление грунта, Ом·м]]))</f>
        <v/>
      </c>
      <c r="BC476" s="53"/>
      <c r="BD476" s="52"/>
      <c r="BE476" s="50"/>
      <c r="BF476" s="61" t="str">
        <f t="shared" si="58"/>
        <v/>
      </c>
      <c r="BG476" s="61" t="str">
        <f>IFERROR(IF(BD476-AX495&lt;=0,"",BF476/SQRT(Таблица_pr9[[#This Row],[Удельное сопротивление грунта, Ом·м]])),BF476/SQRT(Таблица_pr9[[#This Row],[Удельное сопротивление грунта, Ом·м]]))</f>
        <v/>
      </c>
      <c r="BI476" s="53"/>
      <c r="BJ476" s="52"/>
      <c r="BK476" s="50"/>
      <c r="BL476" s="61" t="str">
        <f t="shared" si="63"/>
        <v/>
      </c>
      <c r="BM476" s="61" t="str">
        <f>IFERROR(IF(BJ476-BD505&lt;=0,"",BL476/SQRT(Таблица_pr10[[#This Row],[Удельное сопротивление грунта, Ом·м]])),BL476/SQRT(Таблица_pr10[[#This Row],[Удельное сопротивление грунта, Ом·м]]))</f>
        <v/>
      </c>
    </row>
    <row r="477" spans="1:65">
      <c r="A477" s="51"/>
      <c r="B477" s="52"/>
      <c r="C477" s="50"/>
      <c r="D477" s="61" t="str">
        <f t="shared" si="53"/>
        <v/>
      </c>
      <c r="E477" s="61" t="str">
        <f>IFERROR(IF(B477-B476&lt;=0,"",D477/SQRT(Таблица_pr[[#This Row],[Удельное сопротивление грунта, Ом·м]])),D477/SQRT(Таблица_pr[[#This Row],[Удельное сопротивление грунта, Ом·м]]))</f>
        <v/>
      </c>
      <c r="G477" s="189"/>
      <c r="H477" s="185"/>
      <c r="I477" s="183"/>
      <c r="J477" s="180" t="str">
        <f t="shared" si="54"/>
        <v/>
      </c>
      <c r="K477" s="61" t="str">
        <f>IFERROR(IF(H477-H476&lt;=0,"",J477/SQRT(Таблица_pr1[[#This Row],[Удельное сопротивление грунта, Ом·м]])),J477/SQRT(Таблица_pr1[[#This Row],[Удельное сопротивление грунта, Ом·м]]))</f>
        <v/>
      </c>
      <c r="M477" s="51"/>
      <c r="N477" s="52"/>
      <c r="O477" s="50"/>
      <c r="P477" s="61" t="str">
        <f t="shared" si="59"/>
        <v/>
      </c>
      <c r="Q477" s="61" t="str">
        <f>IFERROR(IF(N477-N476&lt;=0,"",P477/SQRT(Таблица_pr2[[#This Row],[Удельное сопротивление грунта, Ом·м]])),P477/SQRT(Таблица_pr2[[#This Row],[Удельное сопротивление грунта, Ом·м]]))</f>
        <v/>
      </c>
      <c r="S477" s="51"/>
      <c r="T477" s="52"/>
      <c r="U477" s="50"/>
      <c r="V477" s="61" t="str">
        <f t="shared" si="55"/>
        <v/>
      </c>
      <c r="W477" s="61" t="str">
        <f>IFERROR(IF(T477-T476&lt;=0,"",V477/SQRT(Таблица_pr3[[#This Row],[Удельное сопротивление грунта, Ом·м]])),V477/SQRT(Таблица_pr3[[#This Row],[Удельное сопротивление грунта, Ом·м]]))</f>
        <v/>
      </c>
      <c r="Y477" s="51"/>
      <c r="Z477" s="52"/>
      <c r="AA477" s="50"/>
      <c r="AB477" s="61" t="str">
        <f t="shared" si="60"/>
        <v/>
      </c>
      <c r="AC477" s="61" t="str">
        <f>IFERROR(IF(Z477-Z476&lt;=0,"",AB477/SQRT(Таблица_pr4[[#This Row],[Удельное сопротивление грунта, Ом·м]])),AB477/SQRT(Таблица_pr4[[#This Row],[Удельное сопротивление грунта, Ом·м]]))</f>
        <v/>
      </c>
      <c r="AE477" s="51"/>
      <c r="AF477" s="52"/>
      <c r="AG477" s="50"/>
      <c r="AH477" s="61" t="str">
        <f t="shared" si="56"/>
        <v/>
      </c>
      <c r="AI477" s="61" t="str">
        <f>IFERROR(IF(AF477-AF476&lt;=0,"",AH477/SQRT(Таблица_pr5[[#This Row],[Удельное сопротивление грунта, Ом·м]])),AH477/SQRT(Таблица_pr5[[#This Row],[Удельное сопротивление грунта, Ом·м]]))</f>
        <v/>
      </c>
      <c r="AK477" s="51"/>
      <c r="AL477" s="52"/>
      <c r="AM477" s="50"/>
      <c r="AN477" s="61" t="str">
        <f t="shared" si="61"/>
        <v/>
      </c>
      <c r="AO477" s="61" t="str">
        <f>IFERROR(IF(AL477-AL476&lt;=0,"",AN477/SQRT(Таблица_pr6[[#This Row],[Удельное сопротивление грунта, Ом·м]])),AN477/SQRT(Таблица_pr6[[#This Row],[Удельное сопротивление грунта, Ом·м]]))</f>
        <v/>
      </c>
      <c r="AQ477" s="51"/>
      <c r="AR477" s="52"/>
      <c r="AS477" s="50"/>
      <c r="AT477" s="61" t="str">
        <f t="shared" si="57"/>
        <v/>
      </c>
      <c r="AU477" s="61" t="str">
        <f>IFERROR(IF(AR477-AR476&lt;=0,"",AT477/SQRT(Таблица_pr7[[#This Row],[Удельное сопротивление грунта, Ом·м]])),AT477/SQRT(Таблица_pr7[[#This Row],[Удельное сопротивление грунта, Ом·м]]))</f>
        <v/>
      </c>
      <c r="AW477" s="51"/>
      <c r="AX477" s="52"/>
      <c r="AY477" s="50"/>
      <c r="AZ477" s="61" t="str">
        <f t="shared" si="62"/>
        <v/>
      </c>
      <c r="BA477" s="61" t="str">
        <f>IFERROR(IF(AX477-AX476&lt;=0,"",AZ477/SQRT(Таблица_pr8[[#This Row],[Удельное сопротивление грунта, Ом·м]])),AZ477/SQRT(Таблица_pr8[[#This Row],[Удельное сопротивление грунта, Ом·м]]))</f>
        <v/>
      </c>
      <c r="BC477" s="51"/>
      <c r="BD477" s="52"/>
      <c r="BE477" s="50"/>
      <c r="BF477" s="61" t="str">
        <f t="shared" si="58"/>
        <v/>
      </c>
      <c r="BG477" s="61" t="str">
        <f>IFERROR(IF(BD477-AX496&lt;=0,"",BF477/SQRT(Таблица_pr9[[#This Row],[Удельное сопротивление грунта, Ом·м]])),BF477/SQRT(Таблица_pr9[[#This Row],[Удельное сопротивление грунта, Ом·м]]))</f>
        <v/>
      </c>
      <c r="BI477" s="51"/>
      <c r="BJ477" s="52"/>
      <c r="BK477" s="50"/>
      <c r="BL477" s="61" t="str">
        <f t="shared" si="63"/>
        <v/>
      </c>
      <c r="BM477" s="61" t="str">
        <f>IFERROR(IF(BJ477-BD506&lt;=0,"",BL477/SQRT(Таблица_pr10[[#This Row],[Удельное сопротивление грунта, Ом·м]])),BL477/SQRT(Таблица_pr10[[#This Row],[Удельное сопротивление грунта, Ом·м]]))</f>
        <v/>
      </c>
    </row>
    <row r="478" spans="1:65">
      <c r="A478" s="53"/>
      <c r="B478" s="52"/>
      <c r="C478" s="50"/>
      <c r="D478" s="61" t="str">
        <f t="shared" si="53"/>
        <v/>
      </c>
      <c r="E478" s="61" t="str">
        <f>IFERROR(IF(B478-B477&lt;=0,"",D478/SQRT(Таблица_pr[[#This Row],[Удельное сопротивление грунта, Ом·м]])),D478/SQRT(Таблица_pr[[#This Row],[Удельное сопротивление грунта, Ом·м]]))</f>
        <v/>
      </c>
      <c r="G478" s="188"/>
      <c r="H478" s="184"/>
      <c r="I478" s="182"/>
      <c r="J478" s="181" t="str">
        <f t="shared" si="54"/>
        <v/>
      </c>
      <c r="K478" s="61" t="str">
        <f>IFERROR(IF(H478-H477&lt;=0,"",J478/SQRT(Таблица_pr1[[#This Row],[Удельное сопротивление грунта, Ом·м]])),J478/SQRT(Таблица_pr1[[#This Row],[Удельное сопротивление грунта, Ом·м]]))</f>
        <v/>
      </c>
      <c r="M478" s="53"/>
      <c r="N478" s="52"/>
      <c r="O478" s="50"/>
      <c r="P478" s="61" t="str">
        <f t="shared" si="59"/>
        <v/>
      </c>
      <c r="Q478" s="61" t="str">
        <f>IFERROR(IF(N478-N477&lt;=0,"",P478/SQRT(Таблица_pr2[[#This Row],[Удельное сопротивление грунта, Ом·м]])),P478/SQRT(Таблица_pr2[[#This Row],[Удельное сопротивление грунта, Ом·м]]))</f>
        <v/>
      </c>
      <c r="S478" s="53"/>
      <c r="T478" s="52"/>
      <c r="U478" s="50"/>
      <c r="V478" s="61" t="str">
        <f t="shared" si="55"/>
        <v/>
      </c>
      <c r="W478" s="61" t="str">
        <f>IFERROR(IF(T478-T477&lt;=0,"",V478/SQRT(Таблица_pr3[[#This Row],[Удельное сопротивление грунта, Ом·м]])),V478/SQRT(Таблица_pr3[[#This Row],[Удельное сопротивление грунта, Ом·м]]))</f>
        <v/>
      </c>
      <c r="Y478" s="53"/>
      <c r="Z478" s="52"/>
      <c r="AA478" s="50"/>
      <c r="AB478" s="61" t="str">
        <f t="shared" si="60"/>
        <v/>
      </c>
      <c r="AC478" s="61" t="str">
        <f>IFERROR(IF(Z478-Z477&lt;=0,"",AB478/SQRT(Таблица_pr4[[#This Row],[Удельное сопротивление грунта, Ом·м]])),AB478/SQRT(Таблица_pr4[[#This Row],[Удельное сопротивление грунта, Ом·м]]))</f>
        <v/>
      </c>
      <c r="AE478" s="53"/>
      <c r="AF478" s="52"/>
      <c r="AG478" s="50"/>
      <c r="AH478" s="61" t="str">
        <f t="shared" si="56"/>
        <v/>
      </c>
      <c r="AI478" s="61" t="str">
        <f>IFERROR(IF(AF478-AF477&lt;=0,"",AH478/SQRT(Таблица_pr5[[#This Row],[Удельное сопротивление грунта, Ом·м]])),AH478/SQRT(Таблица_pr5[[#This Row],[Удельное сопротивление грунта, Ом·м]]))</f>
        <v/>
      </c>
      <c r="AK478" s="53"/>
      <c r="AL478" s="52"/>
      <c r="AM478" s="50"/>
      <c r="AN478" s="61" t="str">
        <f t="shared" si="61"/>
        <v/>
      </c>
      <c r="AO478" s="61" t="str">
        <f>IFERROR(IF(AL478-AL477&lt;=0,"",AN478/SQRT(Таблица_pr6[[#This Row],[Удельное сопротивление грунта, Ом·м]])),AN478/SQRT(Таблица_pr6[[#This Row],[Удельное сопротивление грунта, Ом·м]]))</f>
        <v/>
      </c>
      <c r="AQ478" s="53"/>
      <c r="AR478" s="52"/>
      <c r="AS478" s="50"/>
      <c r="AT478" s="61" t="str">
        <f t="shared" si="57"/>
        <v/>
      </c>
      <c r="AU478" s="61" t="str">
        <f>IFERROR(IF(AR478-AR477&lt;=0,"",AT478/SQRT(Таблица_pr7[[#This Row],[Удельное сопротивление грунта, Ом·м]])),AT478/SQRT(Таблица_pr7[[#This Row],[Удельное сопротивление грунта, Ом·м]]))</f>
        <v/>
      </c>
      <c r="AW478" s="53"/>
      <c r="AX478" s="52"/>
      <c r="AY478" s="50"/>
      <c r="AZ478" s="61" t="str">
        <f t="shared" si="62"/>
        <v/>
      </c>
      <c r="BA478" s="61" t="str">
        <f>IFERROR(IF(AX478-AX477&lt;=0,"",AZ478/SQRT(Таблица_pr8[[#This Row],[Удельное сопротивление грунта, Ом·м]])),AZ478/SQRT(Таблица_pr8[[#This Row],[Удельное сопротивление грунта, Ом·м]]))</f>
        <v/>
      </c>
      <c r="BC478" s="53"/>
      <c r="BD478" s="52"/>
      <c r="BE478" s="50"/>
      <c r="BF478" s="61" t="str">
        <f t="shared" si="58"/>
        <v/>
      </c>
      <c r="BG478" s="61" t="str">
        <f>IFERROR(IF(BD478-AX497&lt;=0,"",BF478/SQRT(Таблица_pr9[[#This Row],[Удельное сопротивление грунта, Ом·м]])),BF478/SQRT(Таблица_pr9[[#This Row],[Удельное сопротивление грунта, Ом·м]]))</f>
        <v/>
      </c>
      <c r="BI478" s="53"/>
      <c r="BJ478" s="52"/>
      <c r="BK478" s="50"/>
      <c r="BL478" s="61" t="str">
        <f t="shared" si="63"/>
        <v/>
      </c>
      <c r="BM478" s="61" t="str">
        <f>IFERROR(IF(BJ478-BD507&lt;=0,"",BL478/SQRT(Таблица_pr10[[#This Row],[Удельное сопротивление грунта, Ом·м]])),BL478/SQRT(Таблица_pr10[[#This Row],[Удельное сопротивление грунта, Ом·м]]))</f>
        <v/>
      </c>
    </row>
    <row r="479" spans="1:65">
      <c r="A479" s="51"/>
      <c r="B479" s="52"/>
      <c r="C479" s="50"/>
      <c r="D479" s="61" t="str">
        <f t="shared" si="53"/>
        <v/>
      </c>
      <c r="E479" s="61" t="str">
        <f>IFERROR(IF(B479-B478&lt;=0,"",D479/SQRT(Таблица_pr[[#This Row],[Удельное сопротивление грунта, Ом·м]])),D479/SQRT(Таблица_pr[[#This Row],[Удельное сопротивление грунта, Ом·м]]))</f>
        <v/>
      </c>
      <c r="G479" s="189"/>
      <c r="H479" s="185"/>
      <c r="I479" s="183"/>
      <c r="J479" s="180" t="str">
        <f t="shared" si="54"/>
        <v/>
      </c>
      <c r="K479" s="61" t="str">
        <f>IFERROR(IF(H479-H478&lt;=0,"",J479/SQRT(Таблица_pr1[[#This Row],[Удельное сопротивление грунта, Ом·м]])),J479/SQRT(Таблица_pr1[[#This Row],[Удельное сопротивление грунта, Ом·м]]))</f>
        <v/>
      </c>
      <c r="M479" s="51"/>
      <c r="N479" s="52"/>
      <c r="O479" s="50"/>
      <c r="P479" s="61" t="str">
        <f t="shared" si="59"/>
        <v/>
      </c>
      <c r="Q479" s="61" t="str">
        <f>IFERROR(IF(N479-N478&lt;=0,"",P479/SQRT(Таблица_pr2[[#This Row],[Удельное сопротивление грунта, Ом·м]])),P479/SQRT(Таблица_pr2[[#This Row],[Удельное сопротивление грунта, Ом·м]]))</f>
        <v/>
      </c>
      <c r="S479" s="51"/>
      <c r="T479" s="52"/>
      <c r="U479" s="50"/>
      <c r="V479" s="61" t="str">
        <f t="shared" si="55"/>
        <v/>
      </c>
      <c r="W479" s="61" t="str">
        <f>IFERROR(IF(T479-T478&lt;=0,"",V479/SQRT(Таблица_pr3[[#This Row],[Удельное сопротивление грунта, Ом·м]])),V479/SQRT(Таблица_pr3[[#This Row],[Удельное сопротивление грунта, Ом·м]]))</f>
        <v/>
      </c>
      <c r="Y479" s="51"/>
      <c r="Z479" s="52"/>
      <c r="AA479" s="50"/>
      <c r="AB479" s="61" t="str">
        <f t="shared" si="60"/>
        <v/>
      </c>
      <c r="AC479" s="61" t="str">
        <f>IFERROR(IF(Z479-Z478&lt;=0,"",AB479/SQRT(Таблица_pr4[[#This Row],[Удельное сопротивление грунта, Ом·м]])),AB479/SQRT(Таблица_pr4[[#This Row],[Удельное сопротивление грунта, Ом·м]]))</f>
        <v/>
      </c>
      <c r="AE479" s="51"/>
      <c r="AF479" s="52"/>
      <c r="AG479" s="50"/>
      <c r="AH479" s="61" t="str">
        <f t="shared" si="56"/>
        <v/>
      </c>
      <c r="AI479" s="61" t="str">
        <f>IFERROR(IF(AF479-AF478&lt;=0,"",AH479/SQRT(Таблица_pr5[[#This Row],[Удельное сопротивление грунта, Ом·м]])),AH479/SQRT(Таблица_pr5[[#This Row],[Удельное сопротивление грунта, Ом·м]]))</f>
        <v/>
      </c>
      <c r="AK479" s="51"/>
      <c r="AL479" s="52"/>
      <c r="AM479" s="50"/>
      <c r="AN479" s="61" t="str">
        <f t="shared" si="61"/>
        <v/>
      </c>
      <c r="AO479" s="61" t="str">
        <f>IFERROR(IF(AL479-AL478&lt;=0,"",AN479/SQRT(Таблица_pr6[[#This Row],[Удельное сопротивление грунта, Ом·м]])),AN479/SQRT(Таблица_pr6[[#This Row],[Удельное сопротивление грунта, Ом·м]]))</f>
        <v/>
      </c>
      <c r="AQ479" s="51"/>
      <c r="AR479" s="52"/>
      <c r="AS479" s="50"/>
      <c r="AT479" s="61" t="str">
        <f t="shared" si="57"/>
        <v/>
      </c>
      <c r="AU479" s="61" t="str">
        <f>IFERROR(IF(AR479-AR478&lt;=0,"",AT479/SQRT(Таблица_pr7[[#This Row],[Удельное сопротивление грунта, Ом·м]])),AT479/SQRT(Таблица_pr7[[#This Row],[Удельное сопротивление грунта, Ом·м]]))</f>
        <v/>
      </c>
      <c r="AW479" s="51"/>
      <c r="AX479" s="52"/>
      <c r="AY479" s="50"/>
      <c r="AZ479" s="61" t="str">
        <f t="shared" si="62"/>
        <v/>
      </c>
      <c r="BA479" s="61" t="str">
        <f>IFERROR(IF(AX479-AX478&lt;=0,"",AZ479/SQRT(Таблица_pr8[[#This Row],[Удельное сопротивление грунта, Ом·м]])),AZ479/SQRT(Таблица_pr8[[#This Row],[Удельное сопротивление грунта, Ом·м]]))</f>
        <v/>
      </c>
      <c r="BC479" s="51"/>
      <c r="BD479" s="52"/>
      <c r="BE479" s="50"/>
      <c r="BF479" s="61" t="str">
        <f t="shared" si="58"/>
        <v/>
      </c>
      <c r="BG479" s="61" t="str">
        <f>IFERROR(IF(BD479-AX498&lt;=0,"",BF479/SQRT(Таблица_pr9[[#This Row],[Удельное сопротивление грунта, Ом·м]])),BF479/SQRT(Таблица_pr9[[#This Row],[Удельное сопротивление грунта, Ом·м]]))</f>
        <v/>
      </c>
      <c r="BI479" s="51"/>
      <c r="BJ479" s="52"/>
      <c r="BK479" s="50"/>
      <c r="BL479" s="61" t="str">
        <f t="shared" si="63"/>
        <v/>
      </c>
      <c r="BM479" s="61" t="str">
        <f>IFERROR(IF(BJ479-BD508&lt;=0,"",BL479/SQRT(Таблица_pr10[[#This Row],[Удельное сопротивление грунта, Ом·м]])),BL479/SQRT(Таблица_pr10[[#This Row],[Удельное сопротивление грунта, Ом·м]]))</f>
        <v/>
      </c>
    </row>
    <row r="480" spans="1:65">
      <c r="A480" s="53"/>
      <c r="B480" s="52"/>
      <c r="C480" s="50"/>
      <c r="D480" s="61" t="str">
        <f t="shared" si="53"/>
        <v/>
      </c>
      <c r="E480" s="61" t="str">
        <f>IFERROR(IF(B480-B479&lt;=0,"",D480/SQRT(Таблица_pr[[#This Row],[Удельное сопротивление грунта, Ом·м]])),D480/SQRT(Таблица_pr[[#This Row],[Удельное сопротивление грунта, Ом·м]]))</f>
        <v/>
      </c>
      <c r="G480" s="188"/>
      <c r="H480" s="184"/>
      <c r="I480" s="182"/>
      <c r="J480" s="181" t="str">
        <f t="shared" si="54"/>
        <v/>
      </c>
      <c r="K480" s="61" t="str">
        <f>IFERROR(IF(H480-H479&lt;=0,"",J480/SQRT(Таблица_pr1[[#This Row],[Удельное сопротивление грунта, Ом·м]])),J480/SQRT(Таблица_pr1[[#This Row],[Удельное сопротивление грунта, Ом·м]]))</f>
        <v/>
      </c>
      <c r="M480" s="53"/>
      <c r="N480" s="52"/>
      <c r="O480" s="50"/>
      <c r="P480" s="61" t="str">
        <f t="shared" si="59"/>
        <v/>
      </c>
      <c r="Q480" s="61" t="str">
        <f>IFERROR(IF(N480-N479&lt;=0,"",P480/SQRT(Таблица_pr2[[#This Row],[Удельное сопротивление грунта, Ом·м]])),P480/SQRT(Таблица_pr2[[#This Row],[Удельное сопротивление грунта, Ом·м]]))</f>
        <v/>
      </c>
      <c r="S480" s="53"/>
      <c r="T480" s="52"/>
      <c r="U480" s="50"/>
      <c r="V480" s="61" t="str">
        <f t="shared" si="55"/>
        <v/>
      </c>
      <c r="W480" s="61" t="str">
        <f>IFERROR(IF(T480-T479&lt;=0,"",V480/SQRT(Таблица_pr3[[#This Row],[Удельное сопротивление грунта, Ом·м]])),V480/SQRT(Таблица_pr3[[#This Row],[Удельное сопротивление грунта, Ом·м]]))</f>
        <v/>
      </c>
      <c r="Y480" s="53"/>
      <c r="Z480" s="52"/>
      <c r="AA480" s="50"/>
      <c r="AB480" s="61" t="str">
        <f t="shared" si="60"/>
        <v/>
      </c>
      <c r="AC480" s="61" t="str">
        <f>IFERROR(IF(Z480-Z479&lt;=0,"",AB480/SQRT(Таблица_pr4[[#This Row],[Удельное сопротивление грунта, Ом·м]])),AB480/SQRT(Таблица_pr4[[#This Row],[Удельное сопротивление грунта, Ом·м]]))</f>
        <v/>
      </c>
      <c r="AE480" s="53"/>
      <c r="AF480" s="52"/>
      <c r="AG480" s="50"/>
      <c r="AH480" s="61" t="str">
        <f t="shared" si="56"/>
        <v/>
      </c>
      <c r="AI480" s="61" t="str">
        <f>IFERROR(IF(AF480-AF479&lt;=0,"",AH480/SQRT(Таблица_pr5[[#This Row],[Удельное сопротивление грунта, Ом·м]])),AH480/SQRT(Таблица_pr5[[#This Row],[Удельное сопротивление грунта, Ом·м]]))</f>
        <v/>
      </c>
      <c r="AK480" s="53"/>
      <c r="AL480" s="52"/>
      <c r="AM480" s="50"/>
      <c r="AN480" s="61" t="str">
        <f t="shared" si="61"/>
        <v/>
      </c>
      <c r="AO480" s="61" t="str">
        <f>IFERROR(IF(AL480-AL479&lt;=0,"",AN480/SQRT(Таблица_pr6[[#This Row],[Удельное сопротивление грунта, Ом·м]])),AN480/SQRT(Таблица_pr6[[#This Row],[Удельное сопротивление грунта, Ом·м]]))</f>
        <v/>
      </c>
      <c r="AQ480" s="53"/>
      <c r="AR480" s="52"/>
      <c r="AS480" s="50"/>
      <c r="AT480" s="61" t="str">
        <f t="shared" si="57"/>
        <v/>
      </c>
      <c r="AU480" s="61" t="str">
        <f>IFERROR(IF(AR480-AR479&lt;=0,"",AT480/SQRT(Таблица_pr7[[#This Row],[Удельное сопротивление грунта, Ом·м]])),AT480/SQRT(Таблица_pr7[[#This Row],[Удельное сопротивление грунта, Ом·м]]))</f>
        <v/>
      </c>
      <c r="AW480" s="53"/>
      <c r="AX480" s="52"/>
      <c r="AY480" s="50"/>
      <c r="AZ480" s="61" t="str">
        <f t="shared" si="62"/>
        <v/>
      </c>
      <c r="BA480" s="61" t="str">
        <f>IFERROR(IF(AX480-AX479&lt;=0,"",AZ480/SQRT(Таблица_pr8[[#This Row],[Удельное сопротивление грунта, Ом·м]])),AZ480/SQRT(Таблица_pr8[[#This Row],[Удельное сопротивление грунта, Ом·м]]))</f>
        <v/>
      </c>
      <c r="BC480" s="53"/>
      <c r="BD480" s="52"/>
      <c r="BE480" s="50"/>
      <c r="BF480" s="61" t="str">
        <f t="shared" si="58"/>
        <v/>
      </c>
      <c r="BG480" s="61" t="str">
        <f>IFERROR(IF(BD480-AX499&lt;=0,"",BF480/SQRT(Таблица_pr9[[#This Row],[Удельное сопротивление грунта, Ом·м]])),BF480/SQRT(Таблица_pr9[[#This Row],[Удельное сопротивление грунта, Ом·м]]))</f>
        <v/>
      </c>
      <c r="BI480" s="53"/>
      <c r="BJ480" s="52"/>
      <c r="BK480" s="50"/>
      <c r="BL480" s="61" t="str">
        <f t="shared" si="63"/>
        <v/>
      </c>
      <c r="BM480" s="61" t="str">
        <f>IFERROR(IF(BJ480-BD509&lt;=0,"",BL480/SQRT(Таблица_pr10[[#This Row],[Удельное сопротивление грунта, Ом·м]])),BL480/SQRT(Таблица_pr10[[#This Row],[Удельное сопротивление грунта, Ом·м]]))</f>
        <v/>
      </c>
    </row>
    <row r="481" spans="1:65">
      <c r="A481" s="51"/>
      <c r="B481" s="52"/>
      <c r="C481" s="50"/>
      <c r="D481" s="61" t="str">
        <f t="shared" si="53"/>
        <v/>
      </c>
      <c r="E481" s="61" t="str">
        <f>IFERROR(IF(B481-B480&lt;=0,"",D481/SQRT(Таблица_pr[[#This Row],[Удельное сопротивление грунта, Ом·м]])),D481/SQRT(Таблица_pr[[#This Row],[Удельное сопротивление грунта, Ом·м]]))</f>
        <v/>
      </c>
      <c r="G481" s="189"/>
      <c r="H481" s="185"/>
      <c r="I481" s="183"/>
      <c r="J481" s="180" t="str">
        <f t="shared" si="54"/>
        <v/>
      </c>
      <c r="K481" s="61" t="str">
        <f>IFERROR(IF(H481-H480&lt;=0,"",J481/SQRT(Таблица_pr1[[#This Row],[Удельное сопротивление грунта, Ом·м]])),J481/SQRT(Таблица_pr1[[#This Row],[Удельное сопротивление грунта, Ом·м]]))</f>
        <v/>
      </c>
      <c r="M481" s="51"/>
      <c r="N481" s="52"/>
      <c r="O481" s="50"/>
      <c r="P481" s="61" t="str">
        <f t="shared" si="59"/>
        <v/>
      </c>
      <c r="Q481" s="61" t="str">
        <f>IFERROR(IF(N481-N480&lt;=0,"",P481/SQRT(Таблица_pr2[[#This Row],[Удельное сопротивление грунта, Ом·м]])),P481/SQRT(Таблица_pr2[[#This Row],[Удельное сопротивление грунта, Ом·м]]))</f>
        <v/>
      </c>
      <c r="S481" s="51"/>
      <c r="T481" s="52"/>
      <c r="U481" s="50"/>
      <c r="V481" s="61" t="str">
        <f t="shared" si="55"/>
        <v/>
      </c>
      <c r="W481" s="61" t="str">
        <f>IFERROR(IF(T481-T480&lt;=0,"",V481/SQRT(Таблица_pr3[[#This Row],[Удельное сопротивление грунта, Ом·м]])),V481/SQRT(Таблица_pr3[[#This Row],[Удельное сопротивление грунта, Ом·м]]))</f>
        <v/>
      </c>
      <c r="Y481" s="51"/>
      <c r="Z481" s="52"/>
      <c r="AA481" s="50"/>
      <c r="AB481" s="61" t="str">
        <f t="shared" si="60"/>
        <v/>
      </c>
      <c r="AC481" s="61" t="str">
        <f>IFERROR(IF(Z481-Z480&lt;=0,"",AB481/SQRT(Таблица_pr4[[#This Row],[Удельное сопротивление грунта, Ом·м]])),AB481/SQRT(Таблица_pr4[[#This Row],[Удельное сопротивление грунта, Ом·м]]))</f>
        <v/>
      </c>
      <c r="AE481" s="51"/>
      <c r="AF481" s="52"/>
      <c r="AG481" s="50"/>
      <c r="AH481" s="61" t="str">
        <f t="shared" si="56"/>
        <v/>
      </c>
      <c r="AI481" s="61" t="str">
        <f>IFERROR(IF(AF481-AF480&lt;=0,"",AH481/SQRT(Таблица_pr5[[#This Row],[Удельное сопротивление грунта, Ом·м]])),AH481/SQRT(Таблица_pr5[[#This Row],[Удельное сопротивление грунта, Ом·м]]))</f>
        <v/>
      </c>
      <c r="AK481" s="51"/>
      <c r="AL481" s="52"/>
      <c r="AM481" s="50"/>
      <c r="AN481" s="61" t="str">
        <f t="shared" si="61"/>
        <v/>
      </c>
      <c r="AO481" s="61" t="str">
        <f>IFERROR(IF(AL481-AL480&lt;=0,"",AN481/SQRT(Таблица_pr6[[#This Row],[Удельное сопротивление грунта, Ом·м]])),AN481/SQRT(Таблица_pr6[[#This Row],[Удельное сопротивление грунта, Ом·м]]))</f>
        <v/>
      </c>
      <c r="AQ481" s="51"/>
      <c r="AR481" s="52"/>
      <c r="AS481" s="50"/>
      <c r="AT481" s="61" t="str">
        <f t="shared" si="57"/>
        <v/>
      </c>
      <c r="AU481" s="61" t="str">
        <f>IFERROR(IF(AR481-AR480&lt;=0,"",AT481/SQRT(Таблица_pr7[[#This Row],[Удельное сопротивление грунта, Ом·м]])),AT481/SQRT(Таблица_pr7[[#This Row],[Удельное сопротивление грунта, Ом·м]]))</f>
        <v/>
      </c>
      <c r="AW481" s="51"/>
      <c r="AX481" s="52"/>
      <c r="AY481" s="50"/>
      <c r="AZ481" s="61" t="str">
        <f t="shared" si="62"/>
        <v/>
      </c>
      <c r="BA481" s="61" t="str">
        <f>IFERROR(IF(AX481-AX480&lt;=0,"",AZ481/SQRT(Таблица_pr8[[#This Row],[Удельное сопротивление грунта, Ом·м]])),AZ481/SQRT(Таблица_pr8[[#This Row],[Удельное сопротивление грунта, Ом·м]]))</f>
        <v/>
      </c>
      <c r="BC481" s="51"/>
      <c r="BD481" s="52"/>
      <c r="BE481" s="50"/>
      <c r="BF481" s="61" t="str">
        <f t="shared" si="58"/>
        <v/>
      </c>
      <c r="BG481" s="61" t="str">
        <f>IFERROR(IF(BD481-AX500&lt;=0,"",BF481/SQRT(Таблица_pr9[[#This Row],[Удельное сопротивление грунта, Ом·м]])),BF481/SQRT(Таблица_pr9[[#This Row],[Удельное сопротивление грунта, Ом·м]]))</f>
        <v/>
      </c>
      <c r="BI481" s="51"/>
      <c r="BJ481" s="52"/>
      <c r="BK481" s="50"/>
      <c r="BL481" s="61" t="str">
        <f t="shared" si="63"/>
        <v/>
      </c>
      <c r="BM481" s="61" t="str">
        <f>IFERROR(IF(BJ481-BD510&lt;=0,"",BL481/SQRT(Таблица_pr10[[#This Row],[Удельное сопротивление грунта, Ом·м]])),BL481/SQRT(Таблица_pr10[[#This Row],[Удельное сопротивление грунта, Ом·м]]))</f>
        <v/>
      </c>
    </row>
    <row r="482" spans="1:65">
      <c r="A482" s="53"/>
      <c r="B482" s="52"/>
      <c r="C482" s="50"/>
      <c r="D482" s="61" t="str">
        <f t="shared" si="53"/>
        <v/>
      </c>
      <c r="E482" s="61" t="str">
        <f>IFERROR(IF(B482-B481&lt;=0,"",D482/SQRT(Таблица_pr[[#This Row],[Удельное сопротивление грунта, Ом·м]])),D482/SQRT(Таблица_pr[[#This Row],[Удельное сопротивление грунта, Ом·м]]))</f>
        <v/>
      </c>
      <c r="G482" s="188"/>
      <c r="H482" s="184"/>
      <c r="I482" s="182"/>
      <c r="J482" s="181" t="str">
        <f t="shared" si="54"/>
        <v/>
      </c>
      <c r="K482" s="61" t="str">
        <f>IFERROR(IF(H482-H481&lt;=0,"",J482/SQRT(Таблица_pr1[[#This Row],[Удельное сопротивление грунта, Ом·м]])),J482/SQRT(Таблица_pr1[[#This Row],[Удельное сопротивление грунта, Ом·м]]))</f>
        <v/>
      </c>
      <c r="M482" s="53"/>
      <c r="N482" s="52"/>
      <c r="O482" s="50"/>
      <c r="P482" s="61" t="str">
        <f t="shared" si="59"/>
        <v/>
      </c>
      <c r="Q482" s="61" t="str">
        <f>IFERROR(IF(N482-N481&lt;=0,"",P482/SQRT(Таблица_pr2[[#This Row],[Удельное сопротивление грунта, Ом·м]])),P482/SQRT(Таблица_pr2[[#This Row],[Удельное сопротивление грунта, Ом·м]]))</f>
        <v/>
      </c>
      <c r="S482" s="53"/>
      <c r="T482" s="52"/>
      <c r="U482" s="50"/>
      <c r="V482" s="61" t="str">
        <f t="shared" si="55"/>
        <v/>
      </c>
      <c r="W482" s="61" t="str">
        <f>IFERROR(IF(T482-T481&lt;=0,"",V482/SQRT(Таблица_pr3[[#This Row],[Удельное сопротивление грунта, Ом·м]])),V482/SQRT(Таблица_pr3[[#This Row],[Удельное сопротивление грунта, Ом·м]]))</f>
        <v/>
      </c>
      <c r="Y482" s="53"/>
      <c r="Z482" s="52"/>
      <c r="AA482" s="50"/>
      <c r="AB482" s="61" t="str">
        <f t="shared" si="60"/>
        <v/>
      </c>
      <c r="AC482" s="61" t="str">
        <f>IFERROR(IF(Z482-Z481&lt;=0,"",AB482/SQRT(Таблица_pr4[[#This Row],[Удельное сопротивление грунта, Ом·м]])),AB482/SQRT(Таблица_pr4[[#This Row],[Удельное сопротивление грунта, Ом·м]]))</f>
        <v/>
      </c>
      <c r="AE482" s="53"/>
      <c r="AF482" s="52"/>
      <c r="AG482" s="50"/>
      <c r="AH482" s="61" t="str">
        <f t="shared" si="56"/>
        <v/>
      </c>
      <c r="AI482" s="61" t="str">
        <f>IFERROR(IF(AF482-AF481&lt;=0,"",AH482/SQRT(Таблица_pr5[[#This Row],[Удельное сопротивление грунта, Ом·м]])),AH482/SQRT(Таблица_pr5[[#This Row],[Удельное сопротивление грунта, Ом·м]]))</f>
        <v/>
      </c>
      <c r="AK482" s="53"/>
      <c r="AL482" s="52"/>
      <c r="AM482" s="50"/>
      <c r="AN482" s="61" t="str">
        <f t="shared" si="61"/>
        <v/>
      </c>
      <c r="AO482" s="61" t="str">
        <f>IFERROR(IF(AL482-AL481&lt;=0,"",AN482/SQRT(Таблица_pr6[[#This Row],[Удельное сопротивление грунта, Ом·м]])),AN482/SQRT(Таблица_pr6[[#This Row],[Удельное сопротивление грунта, Ом·м]]))</f>
        <v/>
      </c>
      <c r="AQ482" s="53"/>
      <c r="AR482" s="52"/>
      <c r="AS482" s="50"/>
      <c r="AT482" s="61" t="str">
        <f t="shared" si="57"/>
        <v/>
      </c>
      <c r="AU482" s="61" t="str">
        <f>IFERROR(IF(AR482-AR481&lt;=0,"",AT482/SQRT(Таблица_pr7[[#This Row],[Удельное сопротивление грунта, Ом·м]])),AT482/SQRT(Таблица_pr7[[#This Row],[Удельное сопротивление грунта, Ом·м]]))</f>
        <v/>
      </c>
      <c r="AW482" s="53"/>
      <c r="AX482" s="52"/>
      <c r="AY482" s="50"/>
      <c r="AZ482" s="61" t="str">
        <f t="shared" si="62"/>
        <v/>
      </c>
      <c r="BA482" s="61" t="str">
        <f>IFERROR(IF(AX482-AX481&lt;=0,"",AZ482/SQRT(Таблица_pr8[[#This Row],[Удельное сопротивление грунта, Ом·м]])),AZ482/SQRT(Таблица_pr8[[#This Row],[Удельное сопротивление грунта, Ом·м]]))</f>
        <v/>
      </c>
      <c r="BC482" s="53"/>
      <c r="BD482" s="52"/>
      <c r="BE482" s="50"/>
      <c r="BF482" s="61" t="str">
        <f t="shared" si="58"/>
        <v/>
      </c>
      <c r="BG482" s="61" t="str">
        <f>IFERROR(IF(BD482-AX501&lt;=0,"",BF482/SQRT(Таблица_pr9[[#This Row],[Удельное сопротивление грунта, Ом·м]])),BF482/SQRT(Таблица_pr9[[#This Row],[Удельное сопротивление грунта, Ом·м]]))</f>
        <v/>
      </c>
      <c r="BI482" s="53"/>
      <c r="BJ482" s="52"/>
      <c r="BK482" s="50"/>
      <c r="BL482" s="61" t="str">
        <f t="shared" si="63"/>
        <v/>
      </c>
      <c r="BM482" s="61" t="str">
        <f>IFERROR(IF(BJ482-BD511&lt;=0,"",BL482/SQRT(Таблица_pr10[[#This Row],[Удельное сопротивление грунта, Ом·м]])),BL482/SQRT(Таблица_pr10[[#This Row],[Удельное сопротивление грунта, Ом·м]]))</f>
        <v/>
      </c>
    </row>
    <row r="483" spans="1:65">
      <c r="A483" s="51"/>
      <c r="B483" s="52"/>
      <c r="C483" s="50"/>
      <c r="D483" s="61" t="str">
        <f t="shared" si="53"/>
        <v/>
      </c>
      <c r="E483" s="61" t="str">
        <f>IFERROR(IF(B483-B482&lt;=0,"",D483/SQRT(Таблица_pr[[#This Row],[Удельное сопротивление грунта, Ом·м]])),D483/SQRT(Таблица_pr[[#This Row],[Удельное сопротивление грунта, Ом·м]]))</f>
        <v/>
      </c>
      <c r="G483" s="189"/>
      <c r="H483" s="185"/>
      <c r="I483" s="183"/>
      <c r="J483" s="180" t="str">
        <f t="shared" si="54"/>
        <v/>
      </c>
      <c r="K483" s="61" t="str">
        <f>IFERROR(IF(H483-H482&lt;=0,"",J483/SQRT(Таблица_pr1[[#This Row],[Удельное сопротивление грунта, Ом·м]])),J483/SQRT(Таблица_pr1[[#This Row],[Удельное сопротивление грунта, Ом·м]]))</f>
        <v/>
      </c>
      <c r="M483" s="51"/>
      <c r="N483" s="52"/>
      <c r="O483" s="50"/>
      <c r="P483" s="61" t="str">
        <f t="shared" si="59"/>
        <v/>
      </c>
      <c r="Q483" s="61" t="str">
        <f>IFERROR(IF(N483-N482&lt;=0,"",P483/SQRT(Таблица_pr2[[#This Row],[Удельное сопротивление грунта, Ом·м]])),P483/SQRT(Таблица_pr2[[#This Row],[Удельное сопротивление грунта, Ом·м]]))</f>
        <v/>
      </c>
      <c r="S483" s="51"/>
      <c r="T483" s="52"/>
      <c r="U483" s="50"/>
      <c r="V483" s="61" t="str">
        <f t="shared" si="55"/>
        <v/>
      </c>
      <c r="W483" s="61" t="str">
        <f>IFERROR(IF(T483-T482&lt;=0,"",V483/SQRT(Таблица_pr3[[#This Row],[Удельное сопротивление грунта, Ом·м]])),V483/SQRT(Таблица_pr3[[#This Row],[Удельное сопротивление грунта, Ом·м]]))</f>
        <v/>
      </c>
      <c r="Y483" s="51"/>
      <c r="Z483" s="52"/>
      <c r="AA483" s="50"/>
      <c r="AB483" s="61" t="str">
        <f t="shared" si="60"/>
        <v/>
      </c>
      <c r="AC483" s="61" t="str">
        <f>IFERROR(IF(Z483-Z482&lt;=0,"",AB483/SQRT(Таблица_pr4[[#This Row],[Удельное сопротивление грунта, Ом·м]])),AB483/SQRT(Таблица_pr4[[#This Row],[Удельное сопротивление грунта, Ом·м]]))</f>
        <v/>
      </c>
      <c r="AE483" s="51"/>
      <c r="AF483" s="52"/>
      <c r="AG483" s="50"/>
      <c r="AH483" s="61" t="str">
        <f t="shared" si="56"/>
        <v/>
      </c>
      <c r="AI483" s="61" t="str">
        <f>IFERROR(IF(AF483-AF482&lt;=0,"",AH483/SQRT(Таблица_pr5[[#This Row],[Удельное сопротивление грунта, Ом·м]])),AH483/SQRT(Таблица_pr5[[#This Row],[Удельное сопротивление грунта, Ом·м]]))</f>
        <v/>
      </c>
      <c r="AK483" s="51"/>
      <c r="AL483" s="52"/>
      <c r="AM483" s="50"/>
      <c r="AN483" s="61" t="str">
        <f t="shared" si="61"/>
        <v/>
      </c>
      <c r="AO483" s="61" t="str">
        <f>IFERROR(IF(AL483-AL482&lt;=0,"",AN483/SQRT(Таблица_pr6[[#This Row],[Удельное сопротивление грунта, Ом·м]])),AN483/SQRT(Таблица_pr6[[#This Row],[Удельное сопротивление грунта, Ом·м]]))</f>
        <v/>
      </c>
      <c r="AQ483" s="51"/>
      <c r="AR483" s="52"/>
      <c r="AS483" s="50"/>
      <c r="AT483" s="61" t="str">
        <f t="shared" si="57"/>
        <v/>
      </c>
      <c r="AU483" s="61" t="str">
        <f>IFERROR(IF(AR483-AR482&lt;=0,"",AT483/SQRT(Таблица_pr7[[#This Row],[Удельное сопротивление грунта, Ом·м]])),AT483/SQRT(Таблица_pr7[[#This Row],[Удельное сопротивление грунта, Ом·м]]))</f>
        <v/>
      </c>
      <c r="AW483" s="51"/>
      <c r="AX483" s="52"/>
      <c r="AY483" s="50"/>
      <c r="AZ483" s="61" t="str">
        <f t="shared" si="62"/>
        <v/>
      </c>
      <c r="BA483" s="61" t="str">
        <f>IFERROR(IF(AX483-AX482&lt;=0,"",AZ483/SQRT(Таблица_pr8[[#This Row],[Удельное сопротивление грунта, Ом·м]])),AZ483/SQRT(Таблица_pr8[[#This Row],[Удельное сопротивление грунта, Ом·м]]))</f>
        <v/>
      </c>
      <c r="BC483" s="51"/>
      <c r="BD483" s="52"/>
      <c r="BE483" s="50"/>
      <c r="BF483" s="61" t="str">
        <f t="shared" si="58"/>
        <v/>
      </c>
      <c r="BG483" s="61" t="str">
        <f>IFERROR(IF(BD483-AX502&lt;=0,"",BF483/SQRT(Таблица_pr9[[#This Row],[Удельное сопротивление грунта, Ом·м]])),BF483/SQRT(Таблица_pr9[[#This Row],[Удельное сопротивление грунта, Ом·м]]))</f>
        <v/>
      </c>
      <c r="BI483" s="51"/>
      <c r="BJ483" s="52"/>
      <c r="BK483" s="50"/>
      <c r="BL483" s="61" t="str">
        <f t="shared" si="63"/>
        <v/>
      </c>
      <c r="BM483" s="61" t="str">
        <f>IFERROR(IF(BJ483-BD512&lt;=0,"",BL483/SQRT(Таблица_pr10[[#This Row],[Удельное сопротивление грунта, Ом·м]])),BL483/SQRT(Таблица_pr10[[#This Row],[Удельное сопротивление грунта, Ом·м]]))</f>
        <v/>
      </c>
    </row>
    <row r="484" spans="1:65">
      <c r="A484" s="53"/>
      <c r="B484" s="52"/>
      <c r="C484" s="50"/>
      <c r="D484" s="61" t="str">
        <f t="shared" si="53"/>
        <v/>
      </c>
      <c r="E484" s="61" t="str">
        <f>IFERROR(IF(B484-B483&lt;=0,"",D484/SQRT(Таблица_pr[[#This Row],[Удельное сопротивление грунта, Ом·м]])),D484/SQRT(Таблица_pr[[#This Row],[Удельное сопротивление грунта, Ом·м]]))</f>
        <v/>
      </c>
      <c r="G484" s="188"/>
      <c r="H484" s="184"/>
      <c r="I484" s="182"/>
      <c r="J484" s="181" t="str">
        <f t="shared" si="54"/>
        <v/>
      </c>
      <c r="K484" s="61" t="str">
        <f>IFERROR(IF(H484-H483&lt;=0,"",J484/SQRT(Таблица_pr1[[#This Row],[Удельное сопротивление грунта, Ом·м]])),J484/SQRT(Таблица_pr1[[#This Row],[Удельное сопротивление грунта, Ом·м]]))</f>
        <v/>
      </c>
      <c r="M484" s="53"/>
      <c r="N484" s="52"/>
      <c r="O484" s="50"/>
      <c r="P484" s="61" t="str">
        <f t="shared" si="59"/>
        <v/>
      </c>
      <c r="Q484" s="61" t="str">
        <f>IFERROR(IF(N484-N483&lt;=0,"",P484/SQRT(Таблица_pr2[[#This Row],[Удельное сопротивление грунта, Ом·м]])),P484/SQRT(Таблица_pr2[[#This Row],[Удельное сопротивление грунта, Ом·м]]))</f>
        <v/>
      </c>
      <c r="S484" s="53"/>
      <c r="T484" s="52"/>
      <c r="U484" s="50"/>
      <c r="V484" s="61" t="str">
        <f t="shared" si="55"/>
        <v/>
      </c>
      <c r="W484" s="61" t="str">
        <f>IFERROR(IF(T484-T483&lt;=0,"",V484/SQRT(Таблица_pr3[[#This Row],[Удельное сопротивление грунта, Ом·м]])),V484/SQRT(Таблица_pr3[[#This Row],[Удельное сопротивление грунта, Ом·м]]))</f>
        <v/>
      </c>
      <c r="Y484" s="53"/>
      <c r="Z484" s="52"/>
      <c r="AA484" s="50"/>
      <c r="AB484" s="61" t="str">
        <f t="shared" si="60"/>
        <v/>
      </c>
      <c r="AC484" s="61" t="str">
        <f>IFERROR(IF(Z484-Z483&lt;=0,"",AB484/SQRT(Таблица_pr4[[#This Row],[Удельное сопротивление грунта, Ом·м]])),AB484/SQRT(Таблица_pr4[[#This Row],[Удельное сопротивление грунта, Ом·м]]))</f>
        <v/>
      </c>
      <c r="AE484" s="53"/>
      <c r="AF484" s="52"/>
      <c r="AG484" s="50"/>
      <c r="AH484" s="61" t="str">
        <f t="shared" si="56"/>
        <v/>
      </c>
      <c r="AI484" s="61" t="str">
        <f>IFERROR(IF(AF484-AF483&lt;=0,"",AH484/SQRT(Таблица_pr5[[#This Row],[Удельное сопротивление грунта, Ом·м]])),AH484/SQRT(Таблица_pr5[[#This Row],[Удельное сопротивление грунта, Ом·м]]))</f>
        <v/>
      </c>
      <c r="AK484" s="53"/>
      <c r="AL484" s="52"/>
      <c r="AM484" s="50"/>
      <c r="AN484" s="61" t="str">
        <f t="shared" si="61"/>
        <v/>
      </c>
      <c r="AO484" s="61" t="str">
        <f>IFERROR(IF(AL484-AL483&lt;=0,"",AN484/SQRT(Таблица_pr6[[#This Row],[Удельное сопротивление грунта, Ом·м]])),AN484/SQRT(Таблица_pr6[[#This Row],[Удельное сопротивление грунта, Ом·м]]))</f>
        <v/>
      </c>
      <c r="AQ484" s="53"/>
      <c r="AR484" s="52"/>
      <c r="AS484" s="50"/>
      <c r="AT484" s="61" t="str">
        <f t="shared" si="57"/>
        <v/>
      </c>
      <c r="AU484" s="61" t="str">
        <f>IFERROR(IF(AR484-AR483&lt;=0,"",AT484/SQRT(Таблица_pr7[[#This Row],[Удельное сопротивление грунта, Ом·м]])),AT484/SQRT(Таблица_pr7[[#This Row],[Удельное сопротивление грунта, Ом·м]]))</f>
        <v/>
      </c>
      <c r="AW484" s="53"/>
      <c r="AX484" s="52"/>
      <c r="AY484" s="50"/>
      <c r="AZ484" s="61" t="str">
        <f t="shared" si="62"/>
        <v/>
      </c>
      <c r="BA484" s="61" t="str">
        <f>IFERROR(IF(AX484-AX483&lt;=0,"",AZ484/SQRT(Таблица_pr8[[#This Row],[Удельное сопротивление грунта, Ом·м]])),AZ484/SQRT(Таблица_pr8[[#This Row],[Удельное сопротивление грунта, Ом·м]]))</f>
        <v/>
      </c>
      <c r="BC484" s="53"/>
      <c r="BD484" s="52"/>
      <c r="BE484" s="50"/>
      <c r="BF484" s="61" t="str">
        <f t="shared" si="58"/>
        <v/>
      </c>
      <c r="BG484" s="61" t="str">
        <f>IFERROR(IF(BD484-AX503&lt;=0,"",BF484/SQRT(Таблица_pr9[[#This Row],[Удельное сопротивление грунта, Ом·м]])),BF484/SQRT(Таблица_pr9[[#This Row],[Удельное сопротивление грунта, Ом·м]]))</f>
        <v/>
      </c>
      <c r="BI484" s="53"/>
      <c r="BJ484" s="52"/>
      <c r="BK484" s="50"/>
      <c r="BL484" s="61" t="str">
        <f t="shared" si="63"/>
        <v/>
      </c>
      <c r="BM484" s="61" t="str">
        <f>IFERROR(IF(BJ484-BD513&lt;=0,"",BL484/SQRT(Таблица_pr10[[#This Row],[Удельное сопротивление грунта, Ом·м]])),BL484/SQRT(Таблица_pr10[[#This Row],[Удельное сопротивление грунта, Ом·м]]))</f>
        <v/>
      </c>
    </row>
    <row r="485" spans="1:65">
      <c r="A485" s="51"/>
      <c r="B485" s="52"/>
      <c r="C485" s="50"/>
      <c r="D485" s="61" t="str">
        <f t="shared" si="53"/>
        <v/>
      </c>
      <c r="E485" s="61" t="str">
        <f>IFERROR(IF(B485-B484&lt;=0,"",D485/SQRT(Таблица_pr[[#This Row],[Удельное сопротивление грунта, Ом·м]])),D485/SQRT(Таблица_pr[[#This Row],[Удельное сопротивление грунта, Ом·м]]))</f>
        <v/>
      </c>
      <c r="G485" s="189"/>
      <c r="H485" s="185"/>
      <c r="I485" s="183"/>
      <c r="J485" s="180" t="str">
        <f t="shared" si="54"/>
        <v/>
      </c>
      <c r="K485" s="61" t="str">
        <f>IFERROR(IF(H485-H484&lt;=0,"",J485/SQRT(Таблица_pr1[[#This Row],[Удельное сопротивление грунта, Ом·м]])),J485/SQRT(Таблица_pr1[[#This Row],[Удельное сопротивление грунта, Ом·м]]))</f>
        <v/>
      </c>
      <c r="M485" s="51"/>
      <c r="N485" s="52"/>
      <c r="O485" s="50"/>
      <c r="P485" s="61" t="str">
        <f t="shared" si="59"/>
        <v/>
      </c>
      <c r="Q485" s="61" t="str">
        <f>IFERROR(IF(N485-N484&lt;=0,"",P485/SQRT(Таблица_pr2[[#This Row],[Удельное сопротивление грунта, Ом·м]])),P485/SQRT(Таблица_pr2[[#This Row],[Удельное сопротивление грунта, Ом·м]]))</f>
        <v/>
      </c>
      <c r="S485" s="51"/>
      <c r="T485" s="52"/>
      <c r="U485" s="50"/>
      <c r="V485" s="61" t="str">
        <f t="shared" si="55"/>
        <v/>
      </c>
      <c r="W485" s="61" t="str">
        <f>IFERROR(IF(T485-T484&lt;=0,"",V485/SQRT(Таблица_pr3[[#This Row],[Удельное сопротивление грунта, Ом·м]])),V485/SQRT(Таблица_pr3[[#This Row],[Удельное сопротивление грунта, Ом·м]]))</f>
        <v/>
      </c>
      <c r="Y485" s="51"/>
      <c r="Z485" s="52"/>
      <c r="AA485" s="50"/>
      <c r="AB485" s="61" t="str">
        <f t="shared" si="60"/>
        <v/>
      </c>
      <c r="AC485" s="61" t="str">
        <f>IFERROR(IF(Z485-Z484&lt;=0,"",AB485/SQRT(Таблица_pr4[[#This Row],[Удельное сопротивление грунта, Ом·м]])),AB485/SQRT(Таблица_pr4[[#This Row],[Удельное сопротивление грунта, Ом·м]]))</f>
        <v/>
      </c>
      <c r="AE485" s="51"/>
      <c r="AF485" s="52"/>
      <c r="AG485" s="50"/>
      <c r="AH485" s="61" t="str">
        <f t="shared" si="56"/>
        <v/>
      </c>
      <c r="AI485" s="61" t="str">
        <f>IFERROR(IF(AF485-AF484&lt;=0,"",AH485/SQRT(Таблица_pr5[[#This Row],[Удельное сопротивление грунта, Ом·м]])),AH485/SQRT(Таблица_pr5[[#This Row],[Удельное сопротивление грунта, Ом·м]]))</f>
        <v/>
      </c>
      <c r="AK485" s="51"/>
      <c r="AL485" s="52"/>
      <c r="AM485" s="50"/>
      <c r="AN485" s="61" t="str">
        <f t="shared" si="61"/>
        <v/>
      </c>
      <c r="AO485" s="61" t="str">
        <f>IFERROR(IF(AL485-AL484&lt;=0,"",AN485/SQRT(Таблица_pr6[[#This Row],[Удельное сопротивление грунта, Ом·м]])),AN485/SQRT(Таблица_pr6[[#This Row],[Удельное сопротивление грунта, Ом·м]]))</f>
        <v/>
      </c>
      <c r="AQ485" s="51"/>
      <c r="AR485" s="52"/>
      <c r="AS485" s="50"/>
      <c r="AT485" s="61" t="str">
        <f t="shared" si="57"/>
        <v/>
      </c>
      <c r="AU485" s="61" t="str">
        <f>IFERROR(IF(AR485-AR484&lt;=0,"",AT485/SQRT(Таблица_pr7[[#This Row],[Удельное сопротивление грунта, Ом·м]])),AT485/SQRT(Таблица_pr7[[#This Row],[Удельное сопротивление грунта, Ом·м]]))</f>
        <v/>
      </c>
      <c r="AW485" s="51"/>
      <c r="AX485" s="52"/>
      <c r="AY485" s="50"/>
      <c r="AZ485" s="61" t="str">
        <f t="shared" si="62"/>
        <v/>
      </c>
      <c r="BA485" s="61" t="str">
        <f>IFERROR(IF(AX485-AX484&lt;=0,"",AZ485/SQRT(Таблица_pr8[[#This Row],[Удельное сопротивление грунта, Ом·м]])),AZ485/SQRT(Таблица_pr8[[#This Row],[Удельное сопротивление грунта, Ом·м]]))</f>
        <v/>
      </c>
      <c r="BC485" s="51"/>
      <c r="BD485" s="52"/>
      <c r="BE485" s="50"/>
      <c r="BF485" s="61" t="str">
        <f t="shared" si="58"/>
        <v/>
      </c>
      <c r="BG485" s="61" t="str">
        <f>IFERROR(IF(BD485-AX504&lt;=0,"",BF485/SQRT(Таблица_pr9[[#This Row],[Удельное сопротивление грунта, Ом·м]])),BF485/SQRT(Таблица_pr9[[#This Row],[Удельное сопротивление грунта, Ом·м]]))</f>
        <v/>
      </c>
      <c r="BI485" s="51"/>
      <c r="BJ485" s="52"/>
      <c r="BK485" s="50"/>
      <c r="BL485" s="61" t="str">
        <f t="shared" si="63"/>
        <v/>
      </c>
      <c r="BM485" s="61" t="str">
        <f>IFERROR(IF(BJ485-BD514&lt;=0,"",BL485/SQRT(Таблица_pr10[[#This Row],[Удельное сопротивление грунта, Ом·м]])),BL485/SQRT(Таблица_pr10[[#This Row],[Удельное сопротивление грунта, Ом·м]]))</f>
        <v/>
      </c>
    </row>
    <row r="486" spans="1:65">
      <c r="A486" s="53"/>
      <c r="B486" s="52"/>
      <c r="C486" s="50"/>
      <c r="D486" s="61" t="str">
        <f t="shared" si="53"/>
        <v/>
      </c>
      <c r="E486" s="61" t="str">
        <f>IFERROR(IF(B486-B485&lt;=0,"",D486/SQRT(Таблица_pr[[#This Row],[Удельное сопротивление грунта, Ом·м]])),D486/SQRT(Таблица_pr[[#This Row],[Удельное сопротивление грунта, Ом·м]]))</f>
        <v/>
      </c>
      <c r="G486" s="188"/>
      <c r="H486" s="184"/>
      <c r="I486" s="182"/>
      <c r="J486" s="181" t="str">
        <f t="shared" si="54"/>
        <v/>
      </c>
      <c r="K486" s="61" t="str">
        <f>IFERROR(IF(H486-H485&lt;=0,"",J486/SQRT(Таблица_pr1[[#This Row],[Удельное сопротивление грунта, Ом·м]])),J486/SQRT(Таблица_pr1[[#This Row],[Удельное сопротивление грунта, Ом·м]]))</f>
        <v/>
      </c>
      <c r="M486" s="53"/>
      <c r="N486" s="52"/>
      <c r="O486" s="50"/>
      <c r="P486" s="61" t="str">
        <f t="shared" si="59"/>
        <v/>
      </c>
      <c r="Q486" s="61" t="str">
        <f>IFERROR(IF(N486-N485&lt;=0,"",P486/SQRT(Таблица_pr2[[#This Row],[Удельное сопротивление грунта, Ом·м]])),P486/SQRT(Таблица_pr2[[#This Row],[Удельное сопротивление грунта, Ом·м]]))</f>
        <v/>
      </c>
      <c r="S486" s="53"/>
      <c r="T486" s="52"/>
      <c r="U486" s="50"/>
      <c r="V486" s="61" t="str">
        <f t="shared" si="55"/>
        <v/>
      </c>
      <c r="W486" s="61" t="str">
        <f>IFERROR(IF(T486-T485&lt;=0,"",V486/SQRT(Таблица_pr3[[#This Row],[Удельное сопротивление грунта, Ом·м]])),V486/SQRT(Таблица_pr3[[#This Row],[Удельное сопротивление грунта, Ом·м]]))</f>
        <v/>
      </c>
      <c r="Y486" s="53"/>
      <c r="Z486" s="52"/>
      <c r="AA486" s="50"/>
      <c r="AB486" s="61" t="str">
        <f t="shared" si="60"/>
        <v/>
      </c>
      <c r="AC486" s="61" t="str">
        <f>IFERROR(IF(Z486-Z485&lt;=0,"",AB486/SQRT(Таблица_pr4[[#This Row],[Удельное сопротивление грунта, Ом·м]])),AB486/SQRT(Таблица_pr4[[#This Row],[Удельное сопротивление грунта, Ом·м]]))</f>
        <v/>
      </c>
      <c r="AE486" s="53"/>
      <c r="AF486" s="52"/>
      <c r="AG486" s="50"/>
      <c r="AH486" s="61" t="str">
        <f t="shared" si="56"/>
        <v/>
      </c>
      <c r="AI486" s="61" t="str">
        <f>IFERROR(IF(AF486-AF485&lt;=0,"",AH486/SQRT(Таблица_pr5[[#This Row],[Удельное сопротивление грунта, Ом·м]])),AH486/SQRT(Таблица_pr5[[#This Row],[Удельное сопротивление грунта, Ом·м]]))</f>
        <v/>
      </c>
      <c r="AK486" s="53"/>
      <c r="AL486" s="52"/>
      <c r="AM486" s="50"/>
      <c r="AN486" s="61" t="str">
        <f t="shared" si="61"/>
        <v/>
      </c>
      <c r="AO486" s="61" t="str">
        <f>IFERROR(IF(AL486-AL485&lt;=0,"",AN486/SQRT(Таблица_pr6[[#This Row],[Удельное сопротивление грунта, Ом·м]])),AN486/SQRT(Таблица_pr6[[#This Row],[Удельное сопротивление грунта, Ом·м]]))</f>
        <v/>
      </c>
      <c r="AQ486" s="53"/>
      <c r="AR486" s="52"/>
      <c r="AS486" s="50"/>
      <c r="AT486" s="61" t="str">
        <f t="shared" si="57"/>
        <v/>
      </c>
      <c r="AU486" s="61" t="str">
        <f>IFERROR(IF(AR486-AR485&lt;=0,"",AT486/SQRT(Таблица_pr7[[#This Row],[Удельное сопротивление грунта, Ом·м]])),AT486/SQRT(Таблица_pr7[[#This Row],[Удельное сопротивление грунта, Ом·м]]))</f>
        <v/>
      </c>
      <c r="AW486" s="53"/>
      <c r="AX486" s="52"/>
      <c r="AY486" s="50"/>
      <c r="AZ486" s="61" t="str">
        <f t="shared" si="62"/>
        <v/>
      </c>
      <c r="BA486" s="61" t="str">
        <f>IFERROR(IF(AX486-AX485&lt;=0,"",AZ486/SQRT(Таблица_pr8[[#This Row],[Удельное сопротивление грунта, Ом·м]])),AZ486/SQRT(Таблица_pr8[[#This Row],[Удельное сопротивление грунта, Ом·м]]))</f>
        <v/>
      </c>
      <c r="BC486" s="53"/>
      <c r="BD486" s="52"/>
      <c r="BE486" s="50"/>
      <c r="BF486" s="61" t="str">
        <f t="shared" si="58"/>
        <v/>
      </c>
      <c r="BG486" s="61" t="str">
        <f>IFERROR(IF(BD486-AX505&lt;=0,"",BF486/SQRT(Таблица_pr9[[#This Row],[Удельное сопротивление грунта, Ом·м]])),BF486/SQRT(Таблица_pr9[[#This Row],[Удельное сопротивление грунта, Ом·м]]))</f>
        <v/>
      </c>
      <c r="BI486" s="53"/>
      <c r="BJ486" s="52"/>
      <c r="BK486" s="50"/>
      <c r="BL486" s="61" t="str">
        <f t="shared" si="63"/>
        <v/>
      </c>
      <c r="BM486" s="61" t="str">
        <f>IFERROR(IF(BJ486-BD515&lt;=0,"",BL486/SQRT(Таблица_pr10[[#This Row],[Удельное сопротивление грунта, Ом·м]])),BL486/SQRT(Таблица_pr10[[#This Row],[Удельное сопротивление грунта, Ом·м]]))</f>
        <v/>
      </c>
    </row>
    <row r="487" spans="1:65">
      <c r="A487" s="51"/>
      <c r="B487" s="52"/>
      <c r="C487" s="50"/>
      <c r="D487" s="61" t="str">
        <f t="shared" si="53"/>
        <v/>
      </c>
      <c r="E487" s="61" t="str">
        <f>IFERROR(IF(B487-B486&lt;=0,"",D487/SQRT(Таблица_pr[[#This Row],[Удельное сопротивление грунта, Ом·м]])),D487/SQRT(Таблица_pr[[#This Row],[Удельное сопротивление грунта, Ом·м]]))</f>
        <v/>
      </c>
      <c r="G487" s="189"/>
      <c r="H487" s="185"/>
      <c r="I487" s="183"/>
      <c r="J487" s="180" t="str">
        <f t="shared" si="54"/>
        <v/>
      </c>
      <c r="K487" s="61" t="str">
        <f>IFERROR(IF(H487-H486&lt;=0,"",J487/SQRT(Таблица_pr1[[#This Row],[Удельное сопротивление грунта, Ом·м]])),J487/SQRT(Таблица_pr1[[#This Row],[Удельное сопротивление грунта, Ом·м]]))</f>
        <v/>
      </c>
      <c r="M487" s="51"/>
      <c r="N487" s="52"/>
      <c r="O487" s="50"/>
      <c r="P487" s="61" t="str">
        <f t="shared" si="59"/>
        <v/>
      </c>
      <c r="Q487" s="61" t="str">
        <f>IFERROR(IF(N487-N486&lt;=0,"",P487/SQRT(Таблица_pr2[[#This Row],[Удельное сопротивление грунта, Ом·м]])),P487/SQRT(Таблица_pr2[[#This Row],[Удельное сопротивление грунта, Ом·м]]))</f>
        <v/>
      </c>
      <c r="S487" s="51"/>
      <c r="T487" s="52"/>
      <c r="U487" s="50"/>
      <c r="V487" s="61" t="str">
        <f t="shared" si="55"/>
        <v/>
      </c>
      <c r="W487" s="61" t="str">
        <f>IFERROR(IF(T487-T486&lt;=0,"",V487/SQRT(Таблица_pr3[[#This Row],[Удельное сопротивление грунта, Ом·м]])),V487/SQRT(Таблица_pr3[[#This Row],[Удельное сопротивление грунта, Ом·м]]))</f>
        <v/>
      </c>
      <c r="Y487" s="51"/>
      <c r="Z487" s="52"/>
      <c r="AA487" s="50"/>
      <c r="AB487" s="61" t="str">
        <f t="shared" si="60"/>
        <v/>
      </c>
      <c r="AC487" s="61" t="str">
        <f>IFERROR(IF(Z487-Z486&lt;=0,"",AB487/SQRT(Таблица_pr4[[#This Row],[Удельное сопротивление грунта, Ом·м]])),AB487/SQRT(Таблица_pr4[[#This Row],[Удельное сопротивление грунта, Ом·м]]))</f>
        <v/>
      </c>
      <c r="AE487" s="51"/>
      <c r="AF487" s="52"/>
      <c r="AG487" s="50"/>
      <c r="AH487" s="61" t="str">
        <f t="shared" si="56"/>
        <v/>
      </c>
      <c r="AI487" s="61" t="str">
        <f>IFERROR(IF(AF487-AF486&lt;=0,"",AH487/SQRT(Таблица_pr5[[#This Row],[Удельное сопротивление грунта, Ом·м]])),AH487/SQRT(Таблица_pr5[[#This Row],[Удельное сопротивление грунта, Ом·м]]))</f>
        <v/>
      </c>
      <c r="AK487" s="51"/>
      <c r="AL487" s="52"/>
      <c r="AM487" s="50"/>
      <c r="AN487" s="61" t="str">
        <f t="shared" si="61"/>
        <v/>
      </c>
      <c r="AO487" s="61" t="str">
        <f>IFERROR(IF(AL487-AL486&lt;=0,"",AN487/SQRT(Таблица_pr6[[#This Row],[Удельное сопротивление грунта, Ом·м]])),AN487/SQRT(Таблица_pr6[[#This Row],[Удельное сопротивление грунта, Ом·м]]))</f>
        <v/>
      </c>
      <c r="AQ487" s="51"/>
      <c r="AR487" s="52"/>
      <c r="AS487" s="50"/>
      <c r="AT487" s="61" t="str">
        <f t="shared" si="57"/>
        <v/>
      </c>
      <c r="AU487" s="61" t="str">
        <f>IFERROR(IF(AR487-AR486&lt;=0,"",AT487/SQRT(Таблица_pr7[[#This Row],[Удельное сопротивление грунта, Ом·м]])),AT487/SQRT(Таблица_pr7[[#This Row],[Удельное сопротивление грунта, Ом·м]]))</f>
        <v/>
      </c>
      <c r="AW487" s="51"/>
      <c r="AX487" s="52"/>
      <c r="AY487" s="50"/>
      <c r="AZ487" s="61" t="str">
        <f t="shared" si="62"/>
        <v/>
      </c>
      <c r="BA487" s="61" t="str">
        <f>IFERROR(IF(AX487-AX486&lt;=0,"",AZ487/SQRT(Таблица_pr8[[#This Row],[Удельное сопротивление грунта, Ом·м]])),AZ487/SQRT(Таблица_pr8[[#This Row],[Удельное сопротивление грунта, Ом·м]]))</f>
        <v/>
      </c>
      <c r="BC487" s="51"/>
      <c r="BD487" s="52"/>
      <c r="BE487" s="50"/>
      <c r="BF487" s="61" t="str">
        <f t="shared" si="58"/>
        <v/>
      </c>
      <c r="BG487" s="61" t="str">
        <f>IFERROR(IF(BD487-AX506&lt;=0,"",BF487/SQRT(Таблица_pr9[[#This Row],[Удельное сопротивление грунта, Ом·м]])),BF487/SQRT(Таблица_pr9[[#This Row],[Удельное сопротивление грунта, Ом·м]]))</f>
        <v/>
      </c>
      <c r="BI487" s="51"/>
      <c r="BJ487" s="52"/>
      <c r="BK487" s="50"/>
      <c r="BL487" s="61" t="str">
        <f t="shared" si="63"/>
        <v/>
      </c>
      <c r="BM487" s="61" t="str">
        <f>IFERROR(IF(BJ487-BD516&lt;=0,"",BL487/SQRT(Таблица_pr10[[#This Row],[Удельное сопротивление грунта, Ом·м]])),BL487/SQRT(Таблица_pr10[[#This Row],[Удельное сопротивление грунта, Ом·м]]))</f>
        <v/>
      </c>
    </row>
    <row r="488" spans="1:65">
      <c r="A488" s="53"/>
      <c r="B488" s="52"/>
      <c r="C488" s="50"/>
      <c r="D488" s="61" t="str">
        <f t="shared" si="53"/>
        <v/>
      </c>
      <c r="E488" s="61" t="str">
        <f>IFERROR(IF(B488-B487&lt;=0,"",D488/SQRT(Таблица_pr[[#This Row],[Удельное сопротивление грунта, Ом·м]])),D488/SQRT(Таблица_pr[[#This Row],[Удельное сопротивление грунта, Ом·м]]))</f>
        <v/>
      </c>
      <c r="G488" s="188"/>
      <c r="H488" s="184"/>
      <c r="I488" s="182"/>
      <c r="J488" s="181" t="str">
        <f t="shared" si="54"/>
        <v/>
      </c>
      <c r="K488" s="61" t="str">
        <f>IFERROR(IF(H488-H487&lt;=0,"",J488/SQRT(Таблица_pr1[[#This Row],[Удельное сопротивление грунта, Ом·м]])),J488/SQRT(Таблица_pr1[[#This Row],[Удельное сопротивление грунта, Ом·м]]))</f>
        <v/>
      </c>
      <c r="M488" s="53"/>
      <c r="N488" s="52"/>
      <c r="O488" s="50"/>
      <c r="P488" s="61" t="str">
        <f t="shared" si="59"/>
        <v/>
      </c>
      <c r="Q488" s="61" t="str">
        <f>IFERROR(IF(N488-N487&lt;=0,"",P488/SQRT(Таблица_pr2[[#This Row],[Удельное сопротивление грунта, Ом·м]])),P488/SQRT(Таблица_pr2[[#This Row],[Удельное сопротивление грунта, Ом·м]]))</f>
        <v/>
      </c>
      <c r="S488" s="53"/>
      <c r="T488" s="52"/>
      <c r="U488" s="50"/>
      <c r="V488" s="61" t="str">
        <f t="shared" si="55"/>
        <v/>
      </c>
      <c r="W488" s="61" t="str">
        <f>IFERROR(IF(T488-T487&lt;=0,"",V488/SQRT(Таблица_pr3[[#This Row],[Удельное сопротивление грунта, Ом·м]])),V488/SQRT(Таблица_pr3[[#This Row],[Удельное сопротивление грунта, Ом·м]]))</f>
        <v/>
      </c>
      <c r="Y488" s="53"/>
      <c r="Z488" s="52"/>
      <c r="AA488" s="50"/>
      <c r="AB488" s="61" t="str">
        <f t="shared" si="60"/>
        <v/>
      </c>
      <c r="AC488" s="61" t="str">
        <f>IFERROR(IF(Z488-Z487&lt;=0,"",AB488/SQRT(Таблица_pr4[[#This Row],[Удельное сопротивление грунта, Ом·м]])),AB488/SQRT(Таблица_pr4[[#This Row],[Удельное сопротивление грунта, Ом·м]]))</f>
        <v/>
      </c>
      <c r="AE488" s="53"/>
      <c r="AF488" s="52"/>
      <c r="AG488" s="50"/>
      <c r="AH488" s="61" t="str">
        <f t="shared" si="56"/>
        <v/>
      </c>
      <c r="AI488" s="61" t="str">
        <f>IFERROR(IF(AF488-AF487&lt;=0,"",AH488/SQRT(Таблица_pr5[[#This Row],[Удельное сопротивление грунта, Ом·м]])),AH488/SQRT(Таблица_pr5[[#This Row],[Удельное сопротивление грунта, Ом·м]]))</f>
        <v/>
      </c>
      <c r="AK488" s="53"/>
      <c r="AL488" s="52"/>
      <c r="AM488" s="50"/>
      <c r="AN488" s="61" t="str">
        <f t="shared" si="61"/>
        <v/>
      </c>
      <c r="AO488" s="61" t="str">
        <f>IFERROR(IF(AL488-AL487&lt;=0,"",AN488/SQRT(Таблица_pr6[[#This Row],[Удельное сопротивление грунта, Ом·м]])),AN488/SQRT(Таблица_pr6[[#This Row],[Удельное сопротивление грунта, Ом·м]]))</f>
        <v/>
      </c>
      <c r="AQ488" s="53"/>
      <c r="AR488" s="52"/>
      <c r="AS488" s="50"/>
      <c r="AT488" s="61" t="str">
        <f t="shared" si="57"/>
        <v/>
      </c>
      <c r="AU488" s="61" t="str">
        <f>IFERROR(IF(AR488-AR487&lt;=0,"",AT488/SQRT(Таблица_pr7[[#This Row],[Удельное сопротивление грунта, Ом·м]])),AT488/SQRT(Таблица_pr7[[#This Row],[Удельное сопротивление грунта, Ом·м]]))</f>
        <v/>
      </c>
      <c r="AW488" s="53"/>
      <c r="AX488" s="52"/>
      <c r="AY488" s="50"/>
      <c r="AZ488" s="61" t="str">
        <f t="shared" si="62"/>
        <v/>
      </c>
      <c r="BA488" s="61" t="str">
        <f>IFERROR(IF(AX488-AX487&lt;=0,"",AZ488/SQRT(Таблица_pr8[[#This Row],[Удельное сопротивление грунта, Ом·м]])),AZ488/SQRT(Таблица_pr8[[#This Row],[Удельное сопротивление грунта, Ом·м]]))</f>
        <v/>
      </c>
      <c r="BC488" s="53"/>
      <c r="BD488" s="52"/>
      <c r="BE488" s="50"/>
      <c r="BF488" s="61" t="str">
        <f t="shared" si="58"/>
        <v/>
      </c>
      <c r="BG488" s="61" t="str">
        <f>IFERROR(IF(BD488-AX507&lt;=0,"",BF488/SQRT(Таблица_pr9[[#This Row],[Удельное сопротивление грунта, Ом·м]])),BF488/SQRT(Таблица_pr9[[#This Row],[Удельное сопротивление грунта, Ом·м]]))</f>
        <v/>
      </c>
      <c r="BI488" s="53"/>
      <c r="BJ488" s="52"/>
      <c r="BK488" s="50"/>
      <c r="BL488" s="61" t="str">
        <f t="shared" si="63"/>
        <v/>
      </c>
      <c r="BM488" s="61" t="str">
        <f>IFERROR(IF(BJ488-BD517&lt;=0,"",BL488/SQRT(Таблица_pr10[[#This Row],[Удельное сопротивление грунта, Ом·м]])),BL488/SQRT(Таблица_pr10[[#This Row],[Удельное сопротивление грунта, Ом·м]]))</f>
        <v/>
      </c>
    </row>
    <row r="489" spans="1:65">
      <c r="A489" s="51"/>
      <c r="B489" s="52"/>
      <c r="C489" s="50"/>
      <c r="D489" s="61" t="str">
        <f t="shared" si="53"/>
        <v/>
      </c>
      <c r="E489" s="61" t="str">
        <f>IFERROR(IF(B489-B488&lt;=0,"",D489/SQRT(Таблица_pr[[#This Row],[Удельное сопротивление грунта, Ом·м]])),D489/SQRT(Таблица_pr[[#This Row],[Удельное сопротивление грунта, Ом·м]]))</f>
        <v/>
      </c>
      <c r="G489" s="189"/>
      <c r="H489" s="185"/>
      <c r="I489" s="183"/>
      <c r="J489" s="180" t="str">
        <f t="shared" si="54"/>
        <v/>
      </c>
      <c r="K489" s="61" t="str">
        <f>IFERROR(IF(H489-H488&lt;=0,"",J489/SQRT(Таблица_pr1[[#This Row],[Удельное сопротивление грунта, Ом·м]])),J489/SQRT(Таблица_pr1[[#This Row],[Удельное сопротивление грунта, Ом·м]]))</f>
        <v/>
      </c>
      <c r="M489" s="51"/>
      <c r="N489" s="52"/>
      <c r="O489" s="50"/>
      <c r="P489" s="61" t="str">
        <f t="shared" si="59"/>
        <v/>
      </c>
      <c r="Q489" s="61" t="str">
        <f>IFERROR(IF(N489-N488&lt;=0,"",P489/SQRT(Таблица_pr2[[#This Row],[Удельное сопротивление грунта, Ом·м]])),P489/SQRT(Таблица_pr2[[#This Row],[Удельное сопротивление грунта, Ом·м]]))</f>
        <v/>
      </c>
      <c r="S489" s="51"/>
      <c r="T489" s="52"/>
      <c r="U489" s="50"/>
      <c r="V489" s="61" t="str">
        <f t="shared" si="55"/>
        <v/>
      </c>
      <c r="W489" s="61" t="str">
        <f>IFERROR(IF(T489-T488&lt;=0,"",V489/SQRT(Таблица_pr3[[#This Row],[Удельное сопротивление грунта, Ом·м]])),V489/SQRT(Таблица_pr3[[#This Row],[Удельное сопротивление грунта, Ом·м]]))</f>
        <v/>
      </c>
      <c r="Y489" s="51"/>
      <c r="Z489" s="52"/>
      <c r="AA489" s="50"/>
      <c r="AB489" s="61" t="str">
        <f t="shared" si="60"/>
        <v/>
      </c>
      <c r="AC489" s="61" t="str">
        <f>IFERROR(IF(Z489-Z488&lt;=0,"",AB489/SQRT(Таблица_pr4[[#This Row],[Удельное сопротивление грунта, Ом·м]])),AB489/SQRT(Таблица_pr4[[#This Row],[Удельное сопротивление грунта, Ом·м]]))</f>
        <v/>
      </c>
      <c r="AE489" s="51"/>
      <c r="AF489" s="52"/>
      <c r="AG489" s="50"/>
      <c r="AH489" s="61" t="str">
        <f t="shared" si="56"/>
        <v/>
      </c>
      <c r="AI489" s="61" t="str">
        <f>IFERROR(IF(AF489-AF488&lt;=0,"",AH489/SQRT(Таблица_pr5[[#This Row],[Удельное сопротивление грунта, Ом·м]])),AH489/SQRT(Таблица_pr5[[#This Row],[Удельное сопротивление грунта, Ом·м]]))</f>
        <v/>
      </c>
      <c r="AK489" s="51"/>
      <c r="AL489" s="52"/>
      <c r="AM489" s="50"/>
      <c r="AN489" s="61" t="str">
        <f t="shared" si="61"/>
        <v/>
      </c>
      <c r="AO489" s="61" t="str">
        <f>IFERROR(IF(AL489-AL488&lt;=0,"",AN489/SQRT(Таблица_pr6[[#This Row],[Удельное сопротивление грунта, Ом·м]])),AN489/SQRT(Таблица_pr6[[#This Row],[Удельное сопротивление грунта, Ом·м]]))</f>
        <v/>
      </c>
      <c r="AQ489" s="51"/>
      <c r="AR489" s="52"/>
      <c r="AS489" s="50"/>
      <c r="AT489" s="61" t="str">
        <f t="shared" si="57"/>
        <v/>
      </c>
      <c r="AU489" s="61" t="str">
        <f>IFERROR(IF(AR489-AR488&lt;=0,"",AT489/SQRT(Таблица_pr7[[#This Row],[Удельное сопротивление грунта, Ом·м]])),AT489/SQRT(Таблица_pr7[[#This Row],[Удельное сопротивление грунта, Ом·м]]))</f>
        <v/>
      </c>
      <c r="AW489" s="51"/>
      <c r="AX489" s="52"/>
      <c r="AY489" s="50"/>
      <c r="AZ489" s="61" t="str">
        <f t="shared" si="62"/>
        <v/>
      </c>
      <c r="BA489" s="61" t="str">
        <f>IFERROR(IF(AX489-AX488&lt;=0,"",AZ489/SQRT(Таблица_pr8[[#This Row],[Удельное сопротивление грунта, Ом·м]])),AZ489/SQRT(Таблица_pr8[[#This Row],[Удельное сопротивление грунта, Ом·м]]))</f>
        <v/>
      </c>
      <c r="BC489" s="51"/>
      <c r="BD489" s="52"/>
      <c r="BE489" s="50"/>
      <c r="BF489" s="61" t="str">
        <f t="shared" si="58"/>
        <v/>
      </c>
      <c r="BG489" s="61" t="str">
        <f>IFERROR(IF(BD489-AX508&lt;=0,"",BF489/SQRT(Таблица_pr9[[#This Row],[Удельное сопротивление грунта, Ом·м]])),BF489/SQRT(Таблица_pr9[[#This Row],[Удельное сопротивление грунта, Ом·м]]))</f>
        <v/>
      </c>
      <c r="BI489" s="51"/>
      <c r="BJ489" s="52"/>
      <c r="BK489" s="50"/>
      <c r="BL489" s="61" t="str">
        <f t="shared" si="63"/>
        <v/>
      </c>
      <c r="BM489" s="61" t="str">
        <f>IFERROR(IF(BJ489-BD518&lt;=0,"",BL489/SQRT(Таблица_pr10[[#This Row],[Удельное сопротивление грунта, Ом·м]])),BL489/SQRT(Таблица_pr10[[#This Row],[Удельное сопротивление грунта, Ом·м]]))</f>
        <v/>
      </c>
    </row>
    <row r="490" spans="1:65">
      <c r="A490" s="53"/>
      <c r="B490" s="52"/>
      <c r="C490" s="50"/>
      <c r="D490" s="61" t="str">
        <f t="shared" si="53"/>
        <v/>
      </c>
      <c r="E490" s="61" t="str">
        <f>IFERROR(IF(B490-B489&lt;=0,"",D490/SQRT(Таблица_pr[[#This Row],[Удельное сопротивление грунта, Ом·м]])),D490/SQRT(Таблица_pr[[#This Row],[Удельное сопротивление грунта, Ом·м]]))</f>
        <v/>
      </c>
      <c r="G490" s="188"/>
      <c r="H490" s="184"/>
      <c r="I490" s="182"/>
      <c r="J490" s="181" t="str">
        <f t="shared" si="54"/>
        <v/>
      </c>
      <c r="K490" s="61" t="str">
        <f>IFERROR(IF(H490-H489&lt;=0,"",J490/SQRT(Таблица_pr1[[#This Row],[Удельное сопротивление грунта, Ом·м]])),J490/SQRT(Таблица_pr1[[#This Row],[Удельное сопротивление грунта, Ом·м]]))</f>
        <v/>
      </c>
      <c r="M490" s="53"/>
      <c r="N490" s="52"/>
      <c r="O490" s="50"/>
      <c r="P490" s="61" t="str">
        <f t="shared" si="59"/>
        <v/>
      </c>
      <c r="Q490" s="61" t="str">
        <f>IFERROR(IF(N490-N489&lt;=0,"",P490/SQRT(Таблица_pr2[[#This Row],[Удельное сопротивление грунта, Ом·м]])),P490/SQRT(Таблица_pr2[[#This Row],[Удельное сопротивление грунта, Ом·м]]))</f>
        <v/>
      </c>
      <c r="S490" s="53"/>
      <c r="T490" s="52"/>
      <c r="U490" s="50"/>
      <c r="V490" s="61" t="str">
        <f t="shared" si="55"/>
        <v/>
      </c>
      <c r="W490" s="61" t="str">
        <f>IFERROR(IF(T490-T489&lt;=0,"",V490/SQRT(Таблица_pr3[[#This Row],[Удельное сопротивление грунта, Ом·м]])),V490/SQRT(Таблица_pr3[[#This Row],[Удельное сопротивление грунта, Ом·м]]))</f>
        <v/>
      </c>
      <c r="Y490" s="53"/>
      <c r="Z490" s="52"/>
      <c r="AA490" s="50"/>
      <c r="AB490" s="61" t="str">
        <f t="shared" si="60"/>
        <v/>
      </c>
      <c r="AC490" s="61" t="str">
        <f>IFERROR(IF(Z490-Z489&lt;=0,"",AB490/SQRT(Таблица_pr4[[#This Row],[Удельное сопротивление грунта, Ом·м]])),AB490/SQRT(Таблица_pr4[[#This Row],[Удельное сопротивление грунта, Ом·м]]))</f>
        <v/>
      </c>
      <c r="AE490" s="53"/>
      <c r="AF490" s="52"/>
      <c r="AG490" s="50"/>
      <c r="AH490" s="61" t="str">
        <f t="shared" si="56"/>
        <v/>
      </c>
      <c r="AI490" s="61" t="str">
        <f>IFERROR(IF(AF490-AF489&lt;=0,"",AH490/SQRT(Таблица_pr5[[#This Row],[Удельное сопротивление грунта, Ом·м]])),AH490/SQRT(Таблица_pr5[[#This Row],[Удельное сопротивление грунта, Ом·м]]))</f>
        <v/>
      </c>
      <c r="AK490" s="53"/>
      <c r="AL490" s="52"/>
      <c r="AM490" s="50"/>
      <c r="AN490" s="61" t="str">
        <f t="shared" si="61"/>
        <v/>
      </c>
      <c r="AO490" s="61" t="str">
        <f>IFERROR(IF(AL490-AL489&lt;=0,"",AN490/SQRT(Таблица_pr6[[#This Row],[Удельное сопротивление грунта, Ом·м]])),AN490/SQRT(Таблица_pr6[[#This Row],[Удельное сопротивление грунта, Ом·м]]))</f>
        <v/>
      </c>
      <c r="AQ490" s="53"/>
      <c r="AR490" s="52"/>
      <c r="AS490" s="50"/>
      <c r="AT490" s="61" t="str">
        <f t="shared" si="57"/>
        <v/>
      </c>
      <c r="AU490" s="61" t="str">
        <f>IFERROR(IF(AR490-AR489&lt;=0,"",AT490/SQRT(Таблица_pr7[[#This Row],[Удельное сопротивление грунта, Ом·м]])),AT490/SQRT(Таблица_pr7[[#This Row],[Удельное сопротивление грунта, Ом·м]]))</f>
        <v/>
      </c>
      <c r="AW490" s="53"/>
      <c r="AX490" s="52"/>
      <c r="AY490" s="50"/>
      <c r="AZ490" s="61" t="str">
        <f t="shared" si="62"/>
        <v/>
      </c>
      <c r="BA490" s="61" t="str">
        <f>IFERROR(IF(AX490-AX489&lt;=0,"",AZ490/SQRT(Таблица_pr8[[#This Row],[Удельное сопротивление грунта, Ом·м]])),AZ490/SQRT(Таблица_pr8[[#This Row],[Удельное сопротивление грунта, Ом·м]]))</f>
        <v/>
      </c>
      <c r="BC490" s="53"/>
      <c r="BD490" s="52"/>
      <c r="BE490" s="50"/>
      <c r="BF490" s="61" t="str">
        <f t="shared" si="58"/>
        <v/>
      </c>
      <c r="BG490" s="61" t="str">
        <f>IFERROR(IF(BD490-AX509&lt;=0,"",BF490/SQRT(Таблица_pr9[[#This Row],[Удельное сопротивление грунта, Ом·м]])),BF490/SQRT(Таблица_pr9[[#This Row],[Удельное сопротивление грунта, Ом·м]]))</f>
        <v/>
      </c>
      <c r="BI490" s="53"/>
      <c r="BJ490" s="52"/>
      <c r="BK490" s="50"/>
      <c r="BL490" s="61" t="str">
        <f t="shared" si="63"/>
        <v/>
      </c>
      <c r="BM490" s="61" t="str">
        <f>IFERROR(IF(BJ490-BD519&lt;=0,"",BL490/SQRT(Таблица_pr10[[#This Row],[Удельное сопротивление грунта, Ом·м]])),BL490/SQRT(Таблица_pr10[[#This Row],[Удельное сопротивление грунта, Ом·м]]))</f>
        <v/>
      </c>
    </row>
    <row r="491" spans="1:65">
      <c r="A491" s="51"/>
      <c r="B491" s="52"/>
      <c r="C491" s="50"/>
      <c r="D491" s="61" t="str">
        <f t="shared" si="53"/>
        <v/>
      </c>
      <c r="E491" s="61" t="str">
        <f>IFERROR(IF(B491-B490&lt;=0,"",D491/SQRT(Таблица_pr[[#This Row],[Удельное сопротивление грунта, Ом·м]])),D491/SQRT(Таблица_pr[[#This Row],[Удельное сопротивление грунта, Ом·м]]))</f>
        <v/>
      </c>
      <c r="G491" s="189"/>
      <c r="H491" s="185"/>
      <c r="I491" s="183"/>
      <c r="J491" s="180" t="str">
        <f t="shared" si="54"/>
        <v/>
      </c>
      <c r="K491" s="61" t="str">
        <f>IFERROR(IF(H491-H490&lt;=0,"",J491/SQRT(Таблица_pr1[[#This Row],[Удельное сопротивление грунта, Ом·м]])),J491/SQRT(Таблица_pr1[[#This Row],[Удельное сопротивление грунта, Ом·м]]))</f>
        <v/>
      </c>
      <c r="M491" s="51"/>
      <c r="N491" s="52"/>
      <c r="O491" s="50"/>
      <c r="P491" s="61" t="str">
        <f t="shared" si="59"/>
        <v/>
      </c>
      <c r="Q491" s="61" t="str">
        <f>IFERROR(IF(N491-N490&lt;=0,"",P491/SQRT(Таблица_pr2[[#This Row],[Удельное сопротивление грунта, Ом·м]])),P491/SQRT(Таблица_pr2[[#This Row],[Удельное сопротивление грунта, Ом·м]]))</f>
        <v/>
      </c>
      <c r="S491" s="51"/>
      <c r="T491" s="52"/>
      <c r="U491" s="50"/>
      <c r="V491" s="61" t="str">
        <f t="shared" si="55"/>
        <v/>
      </c>
      <c r="W491" s="61" t="str">
        <f>IFERROR(IF(T491-T490&lt;=0,"",V491/SQRT(Таблица_pr3[[#This Row],[Удельное сопротивление грунта, Ом·м]])),V491/SQRT(Таблица_pr3[[#This Row],[Удельное сопротивление грунта, Ом·м]]))</f>
        <v/>
      </c>
      <c r="Y491" s="51"/>
      <c r="Z491" s="52"/>
      <c r="AA491" s="50"/>
      <c r="AB491" s="61" t="str">
        <f t="shared" si="60"/>
        <v/>
      </c>
      <c r="AC491" s="61" t="str">
        <f>IFERROR(IF(Z491-Z490&lt;=0,"",AB491/SQRT(Таблица_pr4[[#This Row],[Удельное сопротивление грунта, Ом·м]])),AB491/SQRT(Таблица_pr4[[#This Row],[Удельное сопротивление грунта, Ом·м]]))</f>
        <v/>
      </c>
      <c r="AE491" s="51"/>
      <c r="AF491" s="52"/>
      <c r="AG491" s="50"/>
      <c r="AH491" s="61" t="str">
        <f t="shared" si="56"/>
        <v/>
      </c>
      <c r="AI491" s="61" t="str">
        <f>IFERROR(IF(AF491-AF490&lt;=0,"",AH491/SQRT(Таблица_pr5[[#This Row],[Удельное сопротивление грунта, Ом·м]])),AH491/SQRT(Таблица_pr5[[#This Row],[Удельное сопротивление грунта, Ом·м]]))</f>
        <v/>
      </c>
      <c r="AK491" s="51"/>
      <c r="AL491" s="52"/>
      <c r="AM491" s="50"/>
      <c r="AN491" s="61" t="str">
        <f t="shared" si="61"/>
        <v/>
      </c>
      <c r="AO491" s="61" t="str">
        <f>IFERROR(IF(AL491-AL490&lt;=0,"",AN491/SQRT(Таблица_pr6[[#This Row],[Удельное сопротивление грунта, Ом·м]])),AN491/SQRT(Таблица_pr6[[#This Row],[Удельное сопротивление грунта, Ом·м]]))</f>
        <v/>
      </c>
      <c r="AQ491" s="51"/>
      <c r="AR491" s="52"/>
      <c r="AS491" s="50"/>
      <c r="AT491" s="61" t="str">
        <f t="shared" si="57"/>
        <v/>
      </c>
      <c r="AU491" s="61" t="str">
        <f>IFERROR(IF(AR491-AR490&lt;=0,"",AT491/SQRT(Таблица_pr7[[#This Row],[Удельное сопротивление грунта, Ом·м]])),AT491/SQRT(Таблица_pr7[[#This Row],[Удельное сопротивление грунта, Ом·м]]))</f>
        <v/>
      </c>
      <c r="AW491" s="51"/>
      <c r="AX491" s="52"/>
      <c r="AY491" s="50"/>
      <c r="AZ491" s="61" t="str">
        <f t="shared" si="62"/>
        <v/>
      </c>
      <c r="BA491" s="61" t="str">
        <f>IFERROR(IF(AX491-AX490&lt;=0,"",AZ491/SQRT(Таблица_pr8[[#This Row],[Удельное сопротивление грунта, Ом·м]])),AZ491/SQRT(Таблица_pr8[[#This Row],[Удельное сопротивление грунта, Ом·м]]))</f>
        <v/>
      </c>
      <c r="BC491" s="51"/>
      <c r="BD491" s="52"/>
      <c r="BE491" s="50"/>
      <c r="BF491" s="61" t="str">
        <f t="shared" si="58"/>
        <v/>
      </c>
      <c r="BG491" s="61" t="str">
        <f>IFERROR(IF(BD491-AX510&lt;=0,"",BF491/SQRT(Таблица_pr9[[#This Row],[Удельное сопротивление грунта, Ом·м]])),BF491/SQRT(Таблица_pr9[[#This Row],[Удельное сопротивление грунта, Ом·м]]))</f>
        <v/>
      </c>
      <c r="BI491" s="51"/>
      <c r="BJ491" s="52"/>
      <c r="BK491" s="50"/>
      <c r="BL491" s="61" t="str">
        <f t="shared" si="63"/>
        <v/>
      </c>
      <c r="BM491" s="61" t="str">
        <f>IFERROR(IF(BJ491-BD520&lt;=0,"",BL491/SQRT(Таблица_pr10[[#This Row],[Удельное сопротивление грунта, Ом·м]])),BL491/SQRT(Таблица_pr10[[#This Row],[Удельное сопротивление грунта, Ом·м]]))</f>
        <v/>
      </c>
    </row>
    <row r="492" spans="1:65">
      <c r="A492" s="53"/>
      <c r="B492" s="52"/>
      <c r="C492" s="50"/>
      <c r="D492" s="61" t="str">
        <f t="shared" si="53"/>
        <v/>
      </c>
      <c r="E492" s="61" t="str">
        <f>IFERROR(IF(B492-B491&lt;=0,"",D492/SQRT(Таблица_pr[[#This Row],[Удельное сопротивление грунта, Ом·м]])),D492/SQRT(Таблица_pr[[#This Row],[Удельное сопротивление грунта, Ом·м]]))</f>
        <v/>
      </c>
      <c r="G492" s="188"/>
      <c r="H492" s="184"/>
      <c r="I492" s="182"/>
      <c r="J492" s="181" t="str">
        <f t="shared" si="54"/>
        <v/>
      </c>
      <c r="K492" s="61" t="str">
        <f>IFERROR(IF(H492-H491&lt;=0,"",J492/SQRT(Таблица_pr1[[#This Row],[Удельное сопротивление грунта, Ом·м]])),J492/SQRT(Таблица_pr1[[#This Row],[Удельное сопротивление грунта, Ом·м]]))</f>
        <v/>
      </c>
      <c r="M492" s="53"/>
      <c r="N492" s="52"/>
      <c r="O492" s="50"/>
      <c r="P492" s="61" t="str">
        <f t="shared" si="59"/>
        <v/>
      </c>
      <c r="Q492" s="61" t="str">
        <f>IFERROR(IF(N492-N491&lt;=0,"",P492/SQRT(Таблица_pr2[[#This Row],[Удельное сопротивление грунта, Ом·м]])),P492/SQRT(Таблица_pr2[[#This Row],[Удельное сопротивление грунта, Ом·м]]))</f>
        <v/>
      </c>
      <c r="S492" s="53"/>
      <c r="T492" s="52"/>
      <c r="U492" s="50"/>
      <c r="V492" s="61" t="str">
        <f t="shared" si="55"/>
        <v/>
      </c>
      <c r="W492" s="61" t="str">
        <f>IFERROR(IF(T492-T491&lt;=0,"",V492/SQRT(Таблица_pr3[[#This Row],[Удельное сопротивление грунта, Ом·м]])),V492/SQRT(Таблица_pr3[[#This Row],[Удельное сопротивление грунта, Ом·м]]))</f>
        <v/>
      </c>
      <c r="Y492" s="53"/>
      <c r="Z492" s="52"/>
      <c r="AA492" s="50"/>
      <c r="AB492" s="61" t="str">
        <f t="shared" si="60"/>
        <v/>
      </c>
      <c r="AC492" s="61" t="str">
        <f>IFERROR(IF(Z492-Z491&lt;=0,"",AB492/SQRT(Таблица_pr4[[#This Row],[Удельное сопротивление грунта, Ом·м]])),AB492/SQRT(Таблица_pr4[[#This Row],[Удельное сопротивление грунта, Ом·м]]))</f>
        <v/>
      </c>
      <c r="AE492" s="53"/>
      <c r="AF492" s="52"/>
      <c r="AG492" s="50"/>
      <c r="AH492" s="61" t="str">
        <f t="shared" si="56"/>
        <v/>
      </c>
      <c r="AI492" s="61" t="str">
        <f>IFERROR(IF(AF492-AF491&lt;=0,"",AH492/SQRT(Таблица_pr5[[#This Row],[Удельное сопротивление грунта, Ом·м]])),AH492/SQRT(Таблица_pr5[[#This Row],[Удельное сопротивление грунта, Ом·м]]))</f>
        <v/>
      </c>
      <c r="AK492" s="53"/>
      <c r="AL492" s="52"/>
      <c r="AM492" s="50"/>
      <c r="AN492" s="61" t="str">
        <f t="shared" si="61"/>
        <v/>
      </c>
      <c r="AO492" s="61" t="str">
        <f>IFERROR(IF(AL492-AL491&lt;=0,"",AN492/SQRT(Таблица_pr6[[#This Row],[Удельное сопротивление грунта, Ом·м]])),AN492/SQRT(Таблица_pr6[[#This Row],[Удельное сопротивление грунта, Ом·м]]))</f>
        <v/>
      </c>
      <c r="AQ492" s="53"/>
      <c r="AR492" s="52"/>
      <c r="AS492" s="50"/>
      <c r="AT492" s="61" t="str">
        <f t="shared" si="57"/>
        <v/>
      </c>
      <c r="AU492" s="61" t="str">
        <f>IFERROR(IF(AR492-AR491&lt;=0,"",AT492/SQRT(Таблица_pr7[[#This Row],[Удельное сопротивление грунта, Ом·м]])),AT492/SQRT(Таблица_pr7[[#This Row],[Удельное сопротивление грунта, Ом·м]]))</f>
        <v/>
      </c>
      <c r="AW492" s="53"/>
      <c r="AX492" s="52"/>
      <c r="AY492" s="50"/>
      <c r="AZ492" s="61" t="str">
        <f t="shared" si="62"/>
        <v/>
      </c>
      <c r="BA492" s="61" t="str">
        <f>IFERROR(IF(AX492-AX491&lt;=0,"",AZ492/SQRT(Таблица_pr8[[#This Row],[Удельное сопротивление грунта, Ом·м]])),AZ492/SQRT(Таблица_pr8[[#This Row],[Удельное сопротивление грунта, Ом·м]]))</f>
        <v/>
      </c>
      <c r="BC492" s="53"/>
      <c r="BD492" s="52"/>
      <c r="BE492" s="50"/>
      <c r="BF492" s="61" t="str">
        <f t="shared" si="58"/>
        <v/>
      </c>
      <c r="BG492" s="61" t="str">
        <f>IFERROR(IF(BD492-AX511&lt;=0,"",BF492/SQRT(Таблица_pr9[[#This Row],[Удельное сопротивление грунта, Ом·м]])),BF492/SQRT(Таблица_pr9[[#This Row],[Удельное сопротивление грунта, Ом·м]]))</f>
        <v/>
      </c>
      <c r="BI492" s="53"/>
      <c r="BJ492" s="52"/>
      <c r="BK492" s="50"/>
      <c r="BL492" s="61" t="str">
        <f t="shared" si="63"/>
        <v/>
      </c>
      <c r="BM492" s="61" t="str">
        <f>IFERROR(IF(BJ492-BD521&lt;=0,"",BL492/SQRT(Таблица_pr10[[#This Row],[Удельное сопротивление грунта, Ом·м]])),BL492/SQRT(Таблица_pr10[[#This Row],[Удельное сопротивление грунта, Ом·м]]))</f>
        <v/>
      </c>
    </row>
    <row r="493" spans="1:65">
      <c r="A493" s="51"/>
      <c r="B493" s="52"/>
      <c r="C493" s="50"/>
      <c r="D493" s="61" t="str">
        <f t="shared" si="53"/>
        <v/>
      </c>
      <c r="E493" s="61" t="str">
        <f>IFERROR(IF(B493-B492&lt;=0,"",D493/SQRT(Таблица_pr[[#This Row],[Удельное сопротивление грунта, Ом·м]])),D493/SQRT(Таблица_pr[[#This Row],[Удельное сопротивление грунта, Ом·м]]))</f>
        <v/>
      </c>
      <c r="G493" s="189"/>
      <c r="H493" s="185"/>
      <c r="I493" s="183"/>
      <c r="J493" s="180" t="str">
        <f t="shared" si="54"/>
        <v/>
      </c>
      <c r="K493" s="61" t="str">
        <f>IFERROR(IF(H493-H492&lt;=0,"",J493/SQRT(Таблица_pr1[[#This Row],[Удельное сопротивление грунта, Ом·м]])),J493/SQRT(Таблица_pr1[[#This Row],[Удельное сопротивление грунта, Ом·м]]))</f>
        <v/>
      </c>
      <c r="M493" s="51"/>
      <c r="N493" s="52"/>
      <c r="O493" s="50"/>
      <c r="P493" s="61" t="str">
        <f t="shared" si="59"/>
        <v/>
      </c>
      <c r="Q493" s="61" t="str">
        <f>IFERROR(IF(N493-N492&lt;=0,"",P493/SQRT(Таблица_pr2[[#This Row],[Удельное сопротивление грунта, Ом·м]])),P493/SQRT(Таблица_pr2[[#This Row],[Удельное сопротивление грунта, Ом·м]]))</f>
        <v/>
      </c>
      <c r="S493" s="51"/>
      <c r="T493" s="52"/>
      <c r="U493" s="50"/>
      <c r="V493" s="61" t="str">
        <f t="shared" si="55"/>
        <v/>
      </c>
      <c r="W493" s="61" t="str">
        <f>IFERROR(IF(T493-T492&lt;=0,"",V493/SQRT(Таблица_pr3[[#This Row],[Удельное сопротивление грунта, Ом·м]])),V493/SQRT(Таблица_pr3[[#This Row],[Удельное сопротивление грунта, Ом·м]]))</f>
        <v/>
      </c>
      <c r="Y493" s="51"/>
      <c r="Z493" s="52"/>
      <c r="AA493" s="50"/>
      <c r="AB493" s="61" t="str">
        <f t="shared" si="60"/>
        <v/>
      </c>
      <c r="AC493" s="61" t="str">
        <f>IFERROR(IF(Z493-Z492&lt;=0,"",AB493/SQRT(Таблица_pr4[[#This Row],[Удельное сопротивление грунта, Ом·м]])),AB493/SQRT(Таблица_pr4[[#This Row],[Удельное сопротивление грунта, Ом·м]]))</f>
        <v/>
      </c>
      <c r="AE493" s="51"/>
      <c r="AF493" s="52"/>
      <c r="AG493" s="50"/>
      <c r="AH493" s="61" t="str">
        <f t="shared" si="56"/>
        <v/>
      </c>
      <c r="AI493" s="61" t="str">
        <f>IFERROR(IF(AF493-AF492&lt;=0,"",AH493/SQRT(Таблица_pr5[[#This Row],[Удельное сопротивление грунта, Ом·м]])),AH493/SQRT(Таблица_pr5[[#This Row],[Удельное сопротивление грунта, Ом·м]]))</f>
        <v/>
      </c>
      <c r="AK493" s="51"/>
      <c r="AL493" s="52"/>
      <c r="AM493" s="50"/>
      <c r="AN493" s="61" t="str">
        <f t="shared" si="61"/>
        <v/>
      </c>
      <c r="AO493" s="61" t="str">
        <f>IFERROR(IF(AL493-AL492&lt;=0,"",AN493/SQRT(Таблица_pr6[[#This Row],[Удельное сопротивление грунта, Ом·м]])),AN493/SQRT(Таблица_pr6[[#This Row],[Удельное сопротивление грунта, Ом·м]]))</f>
        <v/>
      </c>
      <c r="AQ493" s="51"/>
      <c r="AR493" s="52"/>
      <c r="AS493" s="50"/>
      <c r="AT493" s="61" t="str">
        <f t="shared" si="57"/>
        <v/>
      </c>
      <c r="AU493" s="61" t="str">
        <f>IFERROR(IF(AR493-AR492&lt;=0,"",AT493/SQRT(Таблица_pr7[[#This Row],[Удельное сопротивление грунта, Ом·м]])),AT493/SQRT(Таблица_pr7[[#This Row],[Удельное сопротивление грунта, Ом·м]]))</f>
        <v/>
      </c>
      <c r="AW493" s="51"/>
      <c r="AX493" s="52"/>
      <c r="AY493" s="50"/>
      <c r="AZ493" s="61" t="str">
        <f t="shared" si="62"/>
        <v/>
      </c>
      <c r="BA493" s="61" t="str">
        <f>IFERROR(IF(AX493-AX492&lt;=0,"",AZ493/SQRT(Таблица_pr8[[#This Row],[Удельное сопротивление грунта, Ом·м]])),AZ493/SQRT(Таблица_pr8[[#This Row],[Удельное сопротивление грунта, Ом·м]]))</f>
        <v/>
      </c>
      <c r="BC493" s="51"/>
      <c r="BD493" s="52"/>
      <c r="BE493" s="50"/>
      <c r="BF493" s="61" t="str">
        <f t="shared" si="58"/>
        <v/>
      </c>
      <c r="BG493" s="61" t="str">
        <f>IFERROR(IF(BD493-AX512&lt;=0,"",BF493/SQRT(Таблица_pr9[[#This Row],[Удельное сопротивление грунта, Ом·м]])),BF493/SQRT(Таблица_pr9[[#This Row],[Удельное сопротивление грунта, Ом·м]]))</f>
        <v/>
      </c>
      <c r="BI493" s="51"/>
      <c r="BJ493" s="52"/>
      <c r="BK493" s="50"/>
      <c r="BL493" s="61" t="str">
        <f t="shared" si="63"/>
        <v/>
      </c>
      <c r="BM493" s="61" t="str">
        <f>IFERROR(IF(BJ493-BD522&lt;=0,"",BL493/SQRT(Таблица_pr10[[#This Row],[Удельное сопротивление грунта, Ом·м]])),BL493/SQRT(Таблица_pr10[[#This Row],[Удельное сопротивление грунта, Ом·м]]))</f>
        <v/>
      </c>
    </row>
    <row r="494" spans="1:65">
      <c r="A494" s="53"/>
      <c r="B494" s="52"/>
      <c r="C494" s="50"/>
      <c r="D494" s="61" t="str">
        <f t="shared" si="53"/>
        <v/>
      </c>
      <c r="E494" s="61" t="str">
        <f>IFERROR(IF(B494-B493&lt;=0,"",D494/SQRT(Таблица_pr[[#This Row],[Удельное сопротивление грунта, Ом·м]])),D494/SQRT(Таблица_pr[[#This Row],[Удельное сопротивление грунта, Ом·м]]))</f>
        <v/>
      </c>
      <c r="G494" s="188"/>
      <c r="H494" s="184"/>
      <c r="I494" s="182"/>
      <c r="J494" s="181" t="str">
        <f t="shared" si="54"/>
        <v/>
      </c>
      <c r="K494" s="61" t="str">
        <f>IFERROR(IF(H494-H493&lt;=0,"",J494/SQRT(Таблица_pr1[[#This Row],[Удельное сопротивление грунта, Ом·м]])),J494/SQRT(Таблица_pr1[[#This Row],[Удельное сопротивление грунта, Ом·м]]))</f>
        <v/>
      </c>
      <c r="M494" s="53"/>
      <c r="N494" s="52"/>
      <c r="O494" s="50"/>
      <c r="P494" s="61" t="str">
        <f t="shared" si="59"/>
        <v/>
      </c>
      <c r="Q494" s="61" t="str">
        <f>IFERROR(IF(N494-N493&lt;=0,"",P494/SQRT(Таблица_pr2[[#This Row],[Удельное сопротивление грунта, Ом·м]])),P494/SQRT(Таблица_pr2[[#This Row],[Удельное сопротивление грунта, Ом·м]]))</f>
        <v/>
      </c>
      <c r="S494" s="53"/>
      <c r="T494" s="52"/>
      <c r="U494" s="50"/>
      <c r="V494" s="61" t="str">
        <f t="shared" si="55"/>
        <v/>
      </c>
      <c r="W494" s="61" t="str">
        <f>IFERROR(IF(T494-T493&lt;=0,"",V494/SQRT(Таблица_pr3[[#This Row],[Удельное сопротивление грунта, Ом·м]])),V494/SQRT(Таблица_pr3[[#This Row],[Удельное сопротивление грунта, Ом·м]]))</f>
        <v/>
      </c>
      <c r="Y494" s="53"/>
      <c r="Z494" s="52"/>
      <c r="AA494" s="50"/>
      <c r="AB494" s="61" t="str">
        <f t="shared" si="60"/>
        <v/>
      </c>
      <c r="AC494" s="61" t="str">
        <f>IFERROR(IF(Z494-Z493&lt;=0,"",AB494/SQRT(Таблица_pr4[[#This Row],[Удельное сопротивление грунта, Ом·м]])),AB494/SQRT(Таблица_pr4[[#This Row],[Удельное сопротивление грунта, Ом·м]]))</f>
        <v/>
      </c>
      <c r="AE494" s="53"/>
      <c r="AF494" s="52"/>
      <c r="AG494" s="50"/>
      <c r="AH494" s="61" t="str">
        <f t="shared" si="56"/>
        <v/>
      </c>
      <c r="AI494" s="61" t="str">
        <f>IFERROR(IF(AF494-AF493&lt;=0,"",AH494/SQRT(Таблица_pr5[[#This Row],[Удельное сопротивление грунта, Ом·м]])),AH494/SQRT(Таблица_pr5[[#This Row],[Удельное сопротивление грунта, Ом·м]]))</f>
        <v/>
      </c>
      <c r="AK494" s="53"/>
      <c r="AL494" s="52"/>
      <c r="AM494" s="50"/>
      <c r="AN494" s="61" t="str">
        <f t="shared" si="61"/>
        <v/>
      </c>
      <c r="AO494" s="61" t="str">
        <f>IFERROR(IF(AL494-AL493&lt;=0,"",AN494/SQRT(Таблица_pr6[[#This Row],[Удельное сопротивление грунта, Ом·м]])),AN494/SQRT(Таблица_pr6[[#This Row],[Удельное сопротивление грунта, Ом·м]]))</f>
        <v/>
      </c>
      <c r="AQ494" s="53"/>
      <c r="AR494" s="52"/>
      <c r="AS494" s="50"/>
      <c r="AT494" s="61" t="str">
        <f t="shared" si="57"/>
        <v/>
      </c>
      <c r="AU494" s="61" t="str">
        <f>IFERROR(IF(AR494-AR493&lt;=0,"",AT494/SQRT(Таблица_pr7[[#This Row],[Удельное сопротивление грунта, Ом·м]])),AT494/SQRT(Таблица_pr7[[#This Row],[Удельное сопротивление грунта, Ом·м]]))</f>
        <v/>
      </c>
      <c r="AW494" s="53"/>
      <c r="AX494" s="52"/>
      <c r="AY494" s="50"/>
      <c r="AZ494" s="61" t="str">
        <f t="shared" si="62"/>
        <v/>
      </c>
      <c r="BA494" s="61" t="str">
        <f>IFERROR(IF(AX494-AX493&lt;=0,"",AZ494/SQRT(Таблица_pr8[[#This Row],[Удельное сопротивление грунта, Ом·м]])),AZ494/SQRT(Таблица_pr8[[#This Row],[Удельное сопротивление грунта, Ом·м]]))</f>
        <v/>
      </c>
      <c r="BC494" s="53"/>
      <c r="BD494" s="52"/>
      <c r="BE494" s="50"/>
      <c r="BF494" s="61" t="str">
        <f t="shared" si="58"/>
        <v/>
      </c>
      <c r="BG494" s="61" t="str">
        <f>IFERROR(IF(BD494-AX513&lt;=0,"",BF494/SQRT(Таблица_pr9[[#This Row],[Удельное сопротивление грунта, Ом·м]])),BF494/SQRT(Таблица_pr9[[#This Row],[Удельное сопротивление грунта, Ом·м]]))</f>
        <v/>
      </c>
      <c r="BI494" s="53"/>
      <c r="BJ494" s="52"/>
      <c r="BK494" s="50"/>
      <c r="BL494" s="61" t="str">
        <f t="shared" si="63"/>
        <v/>
      </c>
      <c r="BM494" s="61" t="str">
        <f>IFERROR(IF(BJ494-BD523&lt;=0,"",BL494/SQRT(Таблица_pr10[[#This Row],[Удельное сопротивление грунта, Ом·м]])),BL494/SQRT(Таблица_pr10[[#This Row],[Удельное сопротивление грунта, Ом·м]]))</f>
        <v/>
      </c>
    </row>
    <row r="495" spans="1:65">
      <c r="A495" s="51"/>
      <c r="B495" s="52"/>
      <c r="C495" s="50"/>
      <c r="D495" s="61" t="str">
        <f t="shared" si="53"/>
        <v/>
      </c>
      <c r="E495" s="61" t="str">
        <f>IFERROR(IF(B495-B494&lt;=0,"",D495/SQRT(Таблица_pr[[#This Row],[Удельное сопротивление грунта, Ом·м]])),D495/SQRT(Таблица_pr[[#This Row],[Удельное сопротивление грунта, Ом·м]]))</f>
        <v/>
      </c>
      <c r="G495" s="189"/>
      <c r="H495" s="185"/>
      <c r="I495" s="183"/>
      <c r="J495" s="180" t="str">
        <f t="shared" si="54"/>
        <v/>
      </c>
      <c r="K495" s="61" t="str">
        <f>IFERROR(IF(H495-H494&lt;=0,"",J495/SQRT(Таблица_pr1[[#This Row],[Удельное сопротивление грунта, Ом·м]])),J495/SQRT(Таблица_pr1[[#This Row],[Удельное сопротивление грунта, Ом·м]]))</f>
        <v/>
      </c>
      <c r="M495" s="51"/>
      <c r="N495" s="52"/>
      <c r="O495" s="50"/>
      <c r="P495" s="61" t="str">
        <f t="shared" si="59"/>
        <v/>
      </c>
      <c r="Q495" s="61" t="str">
        <f>IFERROR(IF(N495-N494&lt;=0,"",P495/SQRT(Таблица_pr2[[#This Row],[Удельное сопротивление грунта, Ом·м]])),P495/SQRT(Таблица_pr2[[#This Row],[Удельное сопротивление грунта, Ом·м]]))</f>
        <v/>
      </c>
      <c r="S495" s="51"/>
      <c r="T495" s="52"/>
      <c r="U495" s="50"/>
      <c r="V495" s="61" t="str">
        <f t="shared" si="55"/>
        <v/>
      </c>
      <c r="W495" s="61" t="str">
        <f>IFERROR(IF(T495-T494&lt;=0,"",V495/SQRT(Таблица_pr3[[#This Row],[Удельное сопротивление грунта, Ом·м]])),V495/SQRT(Таблица_pr3[[#This Row],[Удельное сопротивление грунта, Ом·м]]))</f>
        <v/>
      </c>
      <c r="Y495" s="51"/>
      <c r="Z495" s="52"/>
      <c r="AA495" s="50"/>
      <c r="AB495" s="61" t="str">
        <f t="shared" si="60"/>
        <v/>
      </c>
      <c r="AC495" s="61" t="str">
        <f>IFERROR(IF(Z495-Z494&lt;=0,"",AB495/SQRT(Таблица_pr4[[#This Row],[Удельное сопротивление грунта, Ом·м]])),AB495/SQRT(Таблица_pr4[[#This Row],[Удельное сопротивление грунта, Ом·м]]))</f>
        <v/>
      </c>
      <c r="AE495" s="51"/>
      <c r="AF495" s="52"/>
      <c r="AG495" s="50"/>
      <c r="AH495" s="61" t="str">
        <f t="shared" si="56"/>
        <v/>
      </c>
      <c r="AI495" s="61" t="str">
        <f>IFERROR(IF(AF495-AF494&lt;=0,"",AH495/SQRT(Таблица_pr5[[#This Row],[Удельное сопротивление грунта, Ом·м]])),AH495/SQRT(Таблица_pr5[[#This Row],[Удельное сопротивление грунта, Ом·м]]))</f>
        <v/>
      </c>
      <c r="AK495" s="51"/>
      <c r="AL495" s="52"/>
      <c r="AM495" s="50"/>
      <c r="AN495" s="61" t="str">
        <f t="shared" si="61"/>
        <v/>
      </c>
      <c r="AO495" s="61" t="str">
        <f>IFERROR(IF(AL495-AL494&lt;=0,"",AN495/SQRT(Таблица_pr6[[#This Row],[Удельное сопротивление грунта, Ом·м]])),AN495/SQRT(Таблица_pr6[[#This Row],[Удельное сопротивление грунта, Ом·м]]))</f>
        <v/>
      </c>
      <c r="AQ495" s="51"/>
      <c r="AR495" s="52"/>
      <c r="AS495" s="50"/>
      <c r="AT495" s="61" t="str">
        <f t="shared" si="57"/>
        <v/>
      </c>
      <c r="AU495" s="61" t="str">
        <f>IFERROR(IF(AR495-AR494&lt;=0,"",AT495/SQRT(Таблица_pr7[[#This Row],[Удельное сопротивление грунта, Ом·м]])),AT495/SQRT(Таблица_pr7[[#This Row],[Удельное сопротивление грунта, Ом·м]]))</f>
        <v/>
      </c>
      <c r="AW495" s="51"/>
      <c r="AX495" s="52"/>
      <c r="AY495" s="50"/>
      <c r="AZ495" s="61" t="str">
        <f t="shared" si="62"/>
        <v/>
      </c>
      <c r="BA495" s="61" t="str">
        <f>IFERROR(IF(AX495-AX494&lt;=0,"",AZ495/SQRT(Таблица_pr8[[#This Row],[Удельное сопротивление грунта, Ом·м]])),AZ495/SQRT(Таблица_pr8[[#This Row],[Удельное сопротивление грунта, Ом·м]]))</f>
        <v/>
      </c>
      <c r="BC495" s="51"/>
      <c r="BD495" s="52"/>
      <c r="BE495" s="50"/>
      <c r="BF495" s="61" t="str">
        <f t="shared" si="58"/>
        <v/>
      </c>
      <c r="BG495" s="61" t="str">
        <f>IFERROR(IF(BD495-AX514&lt;=0,"",BF495/SQRT(Таблица_pr9[[#This Row],[Удельное сопротивление грунта, Ом·м]])),BF495/SQRT(Таблица_pr9[[#This Row],[Удельное сопротивление грунта, Ом·м]]))</f>
        <v/>
      </c>
      <c r="BI495" s="51"/>
      <c r="BJ495" s="52"/>
      <c r="BK495" s="50"/>
      <c r="BL495" s="61" t="str">
        <f t="shared" si="63"/>
        <v/>
      </c>
      <c r="BM495" s="61" t="str">
        <f>IFERROR(IF(BJ495-BD524&lt;=0,"",BL495/SQRT(Таблица_pr10[[#This Row],[Удельное сопротивление грунта, Ом·м]])),BL495/SQRT(Таблица_pr10[[#This Row],[Удельное сопротивление грунта, Ом·м]]))</f>
        <v/>
      </c>
    </row>
    <row r="496" spans="1:65">
      <c r="A496" s="53"/>
      <c r="B496" s="52"/>
      <c r="C496" s="50"/>
      <c r="D496" s="61" t="str">
        <f t="shared" si="53"/>
        <v/>
      </c>
      <c r="E496" s="61" t="str">
        <f>IFERROR(IF(B496-B495&lt;=0,"",D496/SQRT(Таблица_pr[[#This Row],[Удельное сопротивление грунта, Ом·м]])),D496/SQRT(Таблица_pr[[#This Row],[Удельное сопротивление грунта, Ом·м]]))</f>
        <v/>
      </c>
      <c r="G496" s="188"/>
      <c r="H496" s="184"/>
      <c r="I496" s="182"/>
      <c r="J496" s="181" t="str">
        <f t="shared" si="54"/>
        <v/>
      </c>
      <c r="K496" s="61" t="str">
        <f>IFERROR(IF(H496-H495&lt;=0,"",J496/SQRT(Таблица_pr1[[#This Row],[Удельное сопротивление грунта, Ом·м]])),J496/SQRT(Таблица_pr1[[#This Row],[Удельное сопротивление грунта, Ом·м]]))</f>
        <v/>
      </c>
      <c r="M496" s="53"/>
      <c r="N496" s="52"/>
      <c r="O496" s="50"/>
      <c r="P496" s="61" t="str">
        <f t="shared" si="59"/>
        <v/>
      </c>
      <c r="Q496" s="61" t="str">
        <f>IFERROR(IF(N496-N495&lt;=0,"",P496/SQRT(Таблица_pr2[[#This Row],[Удельное сопротивление грунта, Ом·м]])),P496/SQRT(Таблица_pr2[[#This Row],[Удельное сопротивление грунта, Ом·м]]))</f>
        <v/>
      </c>
      <c r="S496" s="53"/>
      <c r="T496" s="52"/>
      <c r="U496" s="50"/>
      <c r="V496" s="61" t="str">
        <f t="shared" si="55"/>
        <v/>
      </c>
      <c r="W496" s="61" t="str">
        <f>IFERROR(IF(T496-T495&lt;=0,"",V496/SQRT(Таблица_pr3[[#This Row],[Удельное сопротивление грунта, Ом·м]])),V496/SQRT(Таблица_pr3[[#This Row],[Удельное сопротивление грунта, Ом·м]]))</f>
        <v/>
      </c>
      <c r="Y496" s="53"/>
      <c r="Z496" s="52"/>
      <c r="AA496" s="50"/>
      <c r="AB496" s="61" t="str">
        <f t="shared" si="60"/>
        <v/>
      </c>
      <c r="AC496" s="61" t="str">
        <f>IFERROR(IF(Z496-Z495&lt;=0,"",AB496/SQRT(Таблица_pr4[[#This Row],[Удельное сопротивление грунта, Ом·м]])),AB496/SQRT(Таблица_pr4[[#This Row],[Удельное сопротивление грунта, Ом·м]]))</f>
        <v/>
      </c>
      <c r="AE496" s="53"/>
      <c r="AF496" s="52"/>
      <c r="AG496" s="50"/>
      <c r="AH496" s="61" t="str">
        <f t="shared" si="56"/>
        <v/>
      </c>
      <c r="AI496" s="61" t="str">
        <f>IFERROR(IF(AF496-AF495&lt;=0,"",AH496/SQRT(Таблица_pr5[[#This Row],[Удельное сопротивление грунта, Ом·м]])),AH496/SQRT(Таблица_pr5[[#This Row],[Удельное сопротивление грунта, Ом·м]]))</f>
        <v/>
      </c>
      <c r="AK496" s="53"/>
      <c r="AL496" s="52"/>
      <c r="AM496" s="50"/>
      <c r="AN496" s="61" t="str">
        <f t="shared" si="61"/>
        <v/>
      </c>
      <c r="AO496" s="61" t="str">
        <f>IFERROR(IF(AL496-AL495&lt;=0,"",AN496/SQRT(Таблица_pr6[[#This Row],[Удельное сопротивление грунта, Ом·м]])),AN496/SQRT(Таблица_pr6[[#This Row],[Удельное сопротивление грунта, Ом·м]]))</f>
        <v/>
      </c>
      <c r="AQ496" s="53"/>
      <c r="AR496" s="52"/>
      <c r="AS496" s="50"/>
      <c r="AT496" s="61" t="str">
        <f t="shared" si="57"/>
        <v/>
      </c>
      <c r="AU496" s="61" t="str">
        <f>IFERROR(IF(AR496-AR495&lt;=0,"",AT496/SQRT(Таблица_pr7[[#This Row],[Удельное сопротивление грунта, Ом·м]])),AT496/SQRT(Таблица_pr7[[#This Row],[Удельное сопротивление грунта, Ом·м]]))</f>
        <v/>
      </c>
      <c r="AW496" s="53"/>
      <c r="AX496" s="52"/>
      <c r="AY496" s="50"/>
      <c r="AZ496" s="61" t="str">
        <f t="shared" si="62"/>
        <v/>
      </c>
      <c r="BA496" s="61" t="str">
        <f>IFERROR(IF(AX496-AX495&lt;=0,"",AZ496/SQRT(Таблица_pr8[[#This Row],[Удельное сопротивление грунта, Ом·м]])),AZ496/SQRT(Таблица_pr8[[#This Row],[Удельное сопротивление грунта, Ом·м]]))</f>
        <v/>
      </c>
      <c r="BC496" s="53"/>
      <c r="BD496" s="52"/>
      <c r="BE496" s="50"/>
      <c r="BF496" s="61" t="str">
        <f t="shared" si="58"/>
        <v/>
      </c>
      <c r="BG496" s="61" t="str">
        <f>IFERROR(IF(BD496-AX515&lt;=0,"",BF496/SQRT(Таблица_pr9[[#This Row],[Удельное сопротивление грунта, Ом·м]])),BF496/SQRT(Таблица_pr9[[#This Row],[Удельное сопротивление грунта, Ом·м]]))</f>
        <v/>
      </c>
      <c r="BI496" s="53"/>
      <c r="BJ496" s="52"/>
      <c r="BK496" s="50"/>
      <c r="BL496" s="61" t="str">
        <f t="shared" si="63"/>
        <v/>
      </c>
      <c r="BM496" s="61" t="str">
        <f>IFERROR(IF(BJ496-BD525&lt;=0,"",BL496/SQRT(Таблица_pr10[[#This Row],[Удельное сопротивление грунта, Ом·м]])),BL496/SQRT(Таблица_pr10[[#This Row],[Удельное сопротивление грунта, Ом·м]]))</f>
        <v/>
      </c>
    </row>
    <row r="497" spans="1:65">
      <c r="A497" s="51"/>
      <c r="B497" s="52"/>
      <c r="C497" s="50"/>
      <c r="D497" s="61" t="str">
        <f t="shared" si="53"/>
        <v/>
      </c>
      <c r="E497" s="61" t="str">
        <f>IFERROR(IF(B497-B496&lt;=0,"",D497/SQRT(Таблица_pr[[#This Row],[Удельное сопротивление грунта, Ом·м]])),D497/SQRT(Таблица_pr[[#This Row],[Удельное сопротивление грунта, Ом·м]]))</f>
        <v/>
      </c>
      <c r="G497" s="189"/>
      <c r="H497" s="185"/>
      <c r="I497" s="183"/>
      <c r="J497" s="180" t="str">
        <f t="shared" si="54"/>
        <v/>
      </c>
      <c r="K497" s="61" t="str">
        <f>IFERROR(IF(H497-H496&lt;=0,"",J497/SQRT(Таблица_pr1[[#This Row],[Удельное сопротивление грунта, Ом·м]])),J497/SQRT(Таблица_pr1[[#This Row],[Удельное сопротивление грунта, Ом·м]]))</f>
        <v/>
      </c>
      <c r="M497" s="51"/>
      <c r="N497" s="52"/>
      <c r="O497" s="50"/>
      <c r="P497" s="61" t="str">
        <f t="shared" si="59"/>
        <v/>
      </c>
      <c r="Q497" s="61" t="str">
        <f>IFERROR(IF(N497-N496&lt;=0,"",P497/SQRT(Таблица_pr2[[#This Row],[Удельное сопротивление грунта, Ом·м]])),P497/SQRT(Таблица_pr2[[#This Row],[Удельное сопротивление грунта, Ом·м]]))</f>
        <v/>
      </c>
      <c r="S497" s="51"/>
      <c r="T497" s="52"/>
      <c r="U497" s="50"/>
      <c r="V497" s="61" t="str">
        <f t="shared" si="55"/>
        <v/>
      </c>
      <c r="W497" s="61" t="str">
        <f>IFERROR(IF(T497-T496&lt;=0,"",V497/SQRT(Таблица_pr3[[#This Row],[Удельное сопротивление грунта, Ом·м]])),V497/SQRT(Таблица_pr3[[#This Row],[Удельное сопротивление грунта, Ом·м]]))</f>
        <v/>
      </c>
      <c r="Y497" s="51"/>
      <c r="Z497" s="52"/>
      <c r="AA497" s="50"/>
      <c r="AB497" s="61" t="str">
        <f t="shared" si="60"/>
        <v/>
      </c>
      <c r="AC497" s="61" t="str">
        <f>IFERROR(IF(Z497-Z496&lt;=0,"",AB497/SQRT(Таблица_pr4[[#This Row],[Удельное сопротивление грунта, Ом·м]])),AB497/SQRT(Таблица_pr4[[#This Row],[Удельное сопротивление грунта, Ом·м]]))</f>
        <v/>
      </c>
      <c r="AE497" s="51"/>
      <c r="AF497" s="52"/>
      <c r="AG497" s="50"/>
      <c r="AH497" s="61" t="str">
        <f t="shared" si="56"/>
        <v/>
      </c>
      <c r="AI497" s="61" t="str">
        <f>IFERROR(IF(AF497-AF496&lt;=0,"",AH497/SQRT(Таблица_pr5[[#This Row],[Удельное сопротивление грунта, Ом·м]])),AH497/SQRT(Таблица_pr5[[#This Row],[Удельное сопротивление грунта, Ом·м]]))</f>
        <v/>
      </c>
      <c r="AK497" s="51"/>
      <c r="AL497" s="52"/>
      <c r="AM497" s="50"/>
      <c r="AN497" s="61" t="str">
        <f t="shared" si="61"/>
        <v/>
      </c>
      <c r="AO497" s="61" t="str">
        <f>IFERROR(IF(AL497-AL496&lt;=0,"",AN497/SQRT(Таблица_pr6[[#This Row],[Удельное сопротивление грунта, Ом·м]])),AN497/SQRT(Таблица_pr6[[#This Row],[Удельное сопротивление грунта, Ом·м]]))</f>
        <v/>
      </c>
      <c r="AQ497" s="51"/>
      <c r="AR497" s="52"/>
      <c r="AS497" s="50"/>
      <c r="AT497" s="61" t="str">
        <f t="shared" si="57"/>
        <v/>
      </c>
      <c r="AU497" s="61" t="str">
        <f>IFERROR(IF(AR497-AR496&lt;=0,"",AT497/SQRT(Таблица_pr7[[#This Row],[Удельное сопротивление грунта, Ом·м]])),AT497/SQRT(Таблица_pr7[[#This Row],[Удельное сопротивление грунта, Ом·м]]))</f>
        <v/>
      </c>
      <c r="AW497" s="51"/>
      <c r="AX497" s="52"/>
      <c r="AY497" s="50"/>
      <c r="AZ497" s="61" t="str">
        <f t="shared" si="62"/>
        <v/>
      </c>
      <c r="BA497" s="61" t="str">
        <f>IFERROR(IF(AX497-AX496&lt;=0,"",AZ497/SQRT(Таблица_pr8[[#This Row],[Удельное сопротивление грунта, Ом·м]])),AZ497/SQRT(Таблица_pr8[[#This Row],[Удельное сопротивление грунта, Ом·м]]))</f>
        <v/>
      </c>
      <c r="BC497" s="51"/>
      <c r="BD497" s="52"/>
      <c r="BE497" s="50"/>
      <c r="BF497" s="61" t="str">
        <f t="shared" si="58"/>
        <v/>
      </c>
      <c r="BG497" s="61" t="str">
        <f>IFERROR(IF(BD497-AX516&lt;=0,"",BF497/SQRT(Таблица_pr9[[#This Row],[Удельное сопротивление грунта, Ом·м]])),BF497/SQRT(Таблица_pr9[[#This Row],[Удельное сопротивление грунта, Ом·м]]))</f>
        <v/>
      </c>
      <c r="BI497" s="51"/>
      <c r="BJ497" s="52"/>
      <c r="BK497" s="50"/>
      <c r="BL497" s="61" t="str">
        <f t="shared" si="63"/>
        <v/>
      </c>
      <c r="BM497" s="61" t="str">
        <f>IFERROR(IF(BJ497-BD526&lt;=0,"",BL497/SQRT(Таблица_pr10[[#This Row],[Удельное сопротивление грунта, Ом·м]])),BL497/SQRT(Таблица_pr10[[#This Row],[Удельное сопротивление грунта, Ом·м]]))</f>
        <v/>
      </c>
    </row>
    <row r="498" spans="1:65">
      <c r="A498" s="53"/>
      <c r="B498" s="52"/>
      <c r="C498" s="50"/>
      <c r="D498" s="61" t="str">
        <f t="shared" si="53"/>
        <v/>
      </c>
      <c r="E498" s="61" t="str">
        <f>IFERROR(IF(B498-B497&lt;=0,"",D498/SQRT(Таблица_pr[[#This Row],[Удельное сопротивление грунта, Ом·м]])),D498/SQRT(Таблица_pr[[#This Row],[Удельное сопротивление грунта, Ом·м]]))</f>
        <v/>
      </c>
      <c r="G498" s="188"/>
      <c r="H498" s="184"/>
      <c r="I498" s="182"/>
      <c r="J498" s="181" t="str">
        <f t="shared" si="54"/>
        <v/>
      </c>
      <c r="K498" s="61" t="str">
        <f>IFERROR(IF(H498-H497&lt;=0,"",J498/SQRT(Таблица_pr1[[#This Row],[Удельное сопротивление грунта, Ом·м]])),J498/SQRT(Таблица_pr1[[#This Row],[Удельное сопротивление грунта, Ом·м]]))</f>
        <v/>
      </c>
      <c r="M498" s="53"/>
      <c r="N498" s="52"/>
      <c r="O498" s="50"/>
      <c r="P498" s="61" t="str">
        <f t="shared" si="59"/>
        <v/>
      </c>
      <c r="Q498" s="61" t="str">
        <f>IFERROR(IF(N498-N497&lt;=0,"",P498/SQRT(Таблица_pr2[[#This Row],[Удельное сопротивление грунта, Ом·м]])),P498/SQRT(Таблица_pr2[[#This Row],[Удельное сопротивление грунта, Ом·м]]))</f>
        <v/>
      </c>
      <c r="S498" s="53"/>
      <c r="T498" s="52"/>
      <c r="U498" s="50"/>
      <c r="V498" s="61" t="str">
        <f t="shared" si="55"/>
        <v/>
      </c>
      <c r="W498" s="61" t="str">
        <f>IFERROR(IF(T498-T497&lt;=0,"",V498/SQRT(Таблица_pr3[[#This Row],[Удельное сопротивление грунта, Ом·м]])),V498/SQRT(Таблица_pr3[[#This Row],[Удельное сопротивление грунта, Ом·м]]))</f>
        <v/>
      </c>
      <c r="Y498" s="53"/>
      <c r="Z498" s="52"/>
      <c r="AA498" s="50"/>
      <c r="AB498" s="61" t="str">
        <f t="shared" si="60"/>
        <v/>
      </c>
      <c r="AC498" s="61" t="str">
        <f>IFERROR(IF(Z498-Z497&lt;=0,"",AB498/SQRT(Таблица_pr4[[#This Row],[Удельное сопротивление грунта, Ом·м]])),AB498/SQRT(Таблица_pr4[[#This Row],[Удельное сопротивление грунта, Ом·м]]))</f>
        <v/>
      </c>
      <c r="AE498" s="53"/>
      <c r="AF498" s="52"/>
      <c r="AG498" s="50"/>
      <c r="AH498" s="61" t="str">
        <f t="shared" si="56"/>
        <v/>
      </c>
      <c r="AI498" s="61" t="str">
        <f>IFERROR(IF(AF498-AF497&lt;=0,"",AH498/SQRT(Таблица_pr5[[#This Row],[Удельное сопротивление грунта, Ом·м]])),AH498/SQRT(Таблица_pr5[[#This Row],[Удельное сопротивление грунта, Ом·м]]))</f>
        <v/>
      </c>
      <c r="AK498" s="53"/>
      <c r="AL498" s="52"/>
      <c r="AM498" s="50"/>
      <c r="AN498" s="61" t="str">
        <f t="shared" si="61"/>
        <v/>
      </c>
      <c r="AO498" s="61" t="str">
        <f>IFERROR(IF(AL498-AL497&lt;=0,"",AN498/SQRT(Таблица_pr6[[#This Row],[Удельное сопротивление грунта, Ом·м]])),AN498/SQRT(Таблица_pr6[[#This Row],[Удельное сопротивление грунта, Ом·м]]))</f>
        <v/>
      </c>
      <c r="AQ498" s="53"/>
      <c r="AR498" s="52"/>
      <c r="AS498" s="50"/>
      <c r="AT498" s="61" t="str">
        <f t="shared" si="57"/>
        <v/>
      </c>
      <c r="AU498" s="61" t="str">
        <f>IFERROR(IF(AR498-AR497&lt;=0,"",AT498/SQRT(Таблица_pr7[[#This Row],[Удельное сопротивление грунта, Ом·м]])),AT498/SQRT(Таблица_pr7[[#This Row],[Удельное сопротивление грунта, Ом·м]]))</f>
        <v/>
      </c>
      <c r="AW498" s="53"/>
      <c r="AX498" s="52"/>
      <c r="AY498" s="50"/>
      <c r="AZ498" s="61" t="str">
        <f t="shared" si="62"/>
        <v/>
      </c>
      <c r="BA498" s="61" t="str">
        <f>IFERROR(IF(AX498-AX497&lt;=0,"",AZ498/SQRT(Таблица_pr8[[#This Row],[Удельное сопротивление грунта, Ом·м]])),AZ498/SQRT(Таблица_pr8[[#This Row],[Удельное сопротивление грунта, Ом·м]]))</f>
        <v/>
      </c>
      <c r="BC498" s="53"/>
      <c r="BD498" s="52"/>
      <c r="BE498" s="50"/>
      <c r="BF498" s="61" t="str">
        <f t="shared" si="58"/>
        <v/>
      </c>
      <c r="BG498" s="61" t="str">
        <f>IFERROR(IF(BD498-AX517&lt;=0,"",BF498/SQRT(Таблица_pr9[[#This Row],[Удельное сопротивление грунта, Ом·м]])),BF498/SQRT(Таблица_pr9[[#This Row],[Удельное сопротивление грунта, Ом·м]]))</f>
        <v/>
      </c>
      <c r="BI498" s="53"/>
      <c r="BJ498" s="52"/>
      <c r="BK498" s="50"/>
      <c r="BL498" s="61" t="str">
        <f t="shared" si="63"/>
        <v/>
      </c>
      <c r="BM498" s="61" t="str">
        <f>IFERROR(IF(BJ498-BD527&lt;=0,"",BL498/SQRT(Таблица_pr10[[#This Row],[Удельное сопротивление грунта, Ом·м]])),BL498/SQRT(Таблица_pr10[[#This Row],[Удельное сопротивление грунта, Ом·м]]))</f>
        <v/>
      </c>
    </row>
    <row r="499" spans="1:65">
      <c r="A499" s="51"/>
      <c r="B499" s="52"/>
      <c r="C499" s="50"/>
      <c r="D499" s="61" t="str">
        <f t="shared" si="53"/>
        <v/>
      </c>
      <c r="E499" s="61" t="str">
        <f>IFERROR(IF(B499-B498&lt;=0,"",D499/SQRT(Таблица_pr[[#This Row],[Удельное сопротивление грунта, Ом·м]])),D499/SQRT(Таблица_pr[[#This Row],[Удельное сопротивление грунта, Ом·м]]))</f>
        <v/>
      </c>
      <c r="G499" s="189"/>
      <c r="H499" s="185"/>
      <c r="I499" s="183"/>
      <c r="J499" s="180" t="str">
        <f t="shared" si="54"/>
        <v/>
      </c>
      <c r="K499" s="61" t="str">
        <f>IFERROR(IF(H499-H498&lt;=0,"",J499/SQRT(Таблица_pr1[[#This Row],[Удельное сопротивление грунта, Ом·м]])),J499/SQRT(Таблица_pr1[[#This Row],[Удельное сопротивление грунта, Ом·м]]))</f>
        <v/>
      </c>
      <c r="M499" s="51"/>
      <c r="N499" s="52"/>
      <c r="O499" s="50"/>
      <c r="P499" s="61" t="str">
        <f t="shared" si="59"/>
        <v/>
      </c>
      <c r="Q499" s="61" t="str">
        <f>IFERROR(IF(N499-N498&lt;=0,"",P499/SQRT(Таблица_pr2[[#This Row],[Удельное сопротивление грунта, Ом·м]])),P499/SQRT(Таблица_pr2[[#This Row],[Удельное сопротивление грунта, Ом·м]]))</f>
        <v/>
      </c>
      <c r="S499" s="51"/>
      <c r="T499" s="52"/>
      <c r="U499" s="50"/>
      <c r="V499" s="61" t="str">
        <f t="shared" si="55"/>
        <v/>
      </c>
      <c r="W499" s="61" t="str">
        <f>IFERROR(IF(T499-T498&lt;=0,"",V499/SQRT(Таблица_pr3[[#This Row],[Удельное сопротивление грунта, Ом·м]])),V499/SQRT(Таблица_pr3[[#This Row],[Удельное сопротивление грунта, Ом·м]]))</f>
        <v/>
      </c>
      <c r="Y499" s="51"/>
      <c r="Z499" s="52"/>
      <c r="AA499" s="50"/>
      <c r="AB499" s="61" t="str">
        <f t="shared" si="60"/>
        <v/>
      </c>
      <c r="AC499" s="61" t="str">
        <f>IFERROR(IF(Z499-Z498&lt;=0,"",AB499/SQRT(Таблица_pr4[[#This Row],[Удельное сопротивление грунта, Ом·м]])),AB499/SQRT(Таблица_pr4[[#This Row],[Удельное сопротивление грунта, Ом·м]]))</f>
        <v/>
      </c>
      <c r="AE499" s="51"/>
      <c r="AF499" s="52"/>
      <c r="AG499" s="50"/>
      <c r="AH499" s="61" t="str">
        <f t="shared" si="56"/>
        <v/>
      </c>
      <c r="AI499" s="61" t="str">
        <f>IFERROR(IF(AF499-AF498&lt;=0,"",AH499/SQRT(Таблица_pr5[[#This Row],[Удельное сопротивление грунта, Ом·м]])),AH499/SQRT(Таблица_pr5[[#This Row],[Удельное сопротивление грунта, Ом·м]]))</f>
        <v/>
      </c>
      <c r="AK499" s="51"/>
      <c r="AL499" s="52"/>
      <c r="AM499" s="50"/>
      <c r="AN499" s="61" t="str">
        <f t="shared" si="61"/>
        <v/>
      </c>
      <c r="AO499" s="61" t="str">
        <f>IFERROR(IF(AL499-AL498&lt;=0,"",AN499/SQRT(Таблица_pr6[[#This Row],[Удельное сопротивление грунта, Ом·м]])),AN499/SQRT(Таблица_pr6[[#This Row],[Удельное сопротивление грунта, Ом·м]]))</f>
        <v/>
      </c>
      <c r="AQ499" s="51"/>
      <c r="AR499" s="52"/>
      <c r="AS499" s="50"/>
      <c r="AT499" s="61" t="str">
        <f t="shared" si="57"/>
        <v/>
      </c>
      <c r="AU499" s="61" t="str">
        <f>IFERROR(IF(AR499-AR498&lt;=0,"",AT499/SQRT(Таблица_pr7[[#This Row],[Удельное сопротивление грунта, Ом·м]])),AT499/SQRT(Таблица_pr7[[#This Row],[Удельное сопротивление грунта, Ом·м]]))</f>
        <v/>
      </c>
      <c r="AW499" s="51"/>
      <c r="AX499" s="52"/>
      <c r="AY499" s="50"/>
      <c r="AZ499" s="61" t="str">
        <f t="shared" si="62"/>
        <v/>
      </c>
      <c r="BA499" s="61" t="str">
        <f>IFERROR(IF(AX499-AX498&lt;=0,"",AZ499/SQRT(Таблица_pr8[[#This Row],[Удельное сопротивление грунта, Ом·м]])),AZ499/SQRT(Таблица_pr8[[#This Row],[Удельное сопротивление грунта, Ом·м]]))</f>
        <v/>
      </c>
      <c r="BC499" s="51"/>
      <c r="BD499" s="52"/>
      <c r="BE499" s="50"/>
      <c r="BF499" s="61" t="str">
        <f t="shared" si="58"/>
        <v/>
      </c>
      <c r="BG499" s="61" t="str">
        <f>IFERROR(IF(BD499-AX518&lt;=0,"",BF499/SQRT(Таблица_pr9[[#This Row],[Удельное сопротивление грунта, Ом·м]])),BF499/SQRT(Таблица_pr9[[#This Row],[Удельное сопротивление грунта, Ом·м]]))</f>
        <v/>
      </c>
      <c r="BI499" s="51"/>
      <c r="BJ499" s="52"/>
      <c r="BK499" s="50"/>
      <c r="BL499" s="61" t="str">
        <f t="shared" si="63"/>
        <v/>
      </c>
      <c r="BM499" s="61" t="str">
        <f>IFERROR(IF(BJ499-BD528&lt;=0,"",BL499/SQRT(Таблица_pr10[[#This Row],[Удельное сопротивление грунта, Ом·м]])),BL499/SQRT(Таблица_pr10[[#This Row],[Удельное сопротивление грунта, Ом·м]]))</f>
        <v/>
      </c>
    </row>
    <row r="500" spans="1:65">
      <c r="A500" s="53"/>
      <c r="B500" s="52"/>
      <c r="C500" s="50"/>
      <c r="D500" s="61" t="str">
        <f t="shared" si="53"/>
        <v/>
      </c>
      <c r="E500" s="61" t="str">
        <f>IFERROR(IF(B500-B499&lt;=0,"",D500/SQRT(Таблица_pr[[#This Row],[Удельное сопротивление грунта, Ом·м]])),D500/SQRT(Таблица_pr[[#This Row],[Удельное сопротивление грунта, Ом·м]]))</f>
        <v/>
      </c>
      <c r="G500" s="188"/>
      <c r="H500" s="184"/>
      <c r="I500" s="182"/>
      <c r="J500" s="181" t="str">
        <f t="shared" si="54"/>
        <v/>
      </c>
      <c r="K500" s="61" t="str">
        <f>IFERROR(IF(H500-H499&lt;=0,"",J500/SQRT(Таблица_pr1[[#This Row],[Удельное сопротивление грунта, Ом·м]])),J500/SQRT(Таблица_pr1[[#This Row],[Удельное сопротивление грунта, Ом·м]]))</f>
        <v/>
      </c>
      <c r="M500" s="53"/>
      <c r="N500" s="52"/>
      <c r="O500" s="50"/>
      <c r="P500" s="61" t="str">
        <f t="shared" si="59"/>
        <v/>
      </c>
      <c r="Q500" s="61" t="str">
        <f>IFERROR(IF(N500-N499&lt;=0,"",P500/SQRT(Таблица_pr2[[#This Row],[Удельное сопротивление грунта, Ом·м]])),P500/SQRT(Таблица_pr2[[#This Row],[Удельное сопротивление грунта, Ом·м]]))</f>
        <v/>
      </c>
      <c r="S500" s="53"/>
      <c r="T500" s="52"/>
      <c r="U500" s="50"/>
      <c r="V500" s="61" t="str">
        <f t="shared" si="55"/>
        <v/>
      </c>
      <c r="W500" s="61" t="str">
        <f>IFERROR(IF(T500-T499&lt;=0,"",V500/SQRT(Таблица_pr3[[#This Row],[Удельное сопротивление грунта, Ом·м]])),V500/SQRT(Таблица_pr3[[#This Row],[Удельное сопротивление грунта, Ом·м]]))</f>
        <v/>
      </c>
      <c r="Y500" s="53"/>
      <c r="Z500" s="52"/>
      <c r="AA500" s="50"/>
      <c r="AB500" s="61" t="str">
        <f t="shared" si="60"/>
        <v/>
      </c>
      <c r="AC500" s="61" t="str">
        <f>IFERROR(IF(Z500-Z499&lt;=0,"",AB500/SQRT(Таблица_pr4[[#This Row],[Удельное сопротивление грунта, Ом·м]])),AB500/SQRT(Таблица_pr4[[#This Row],[Удельное сопротивление грунта, Ом·м]]))</f>
        <v/>
      </c>
      <c r="AE500" s="53"/>
      <c r="AF500" s="52"/>
      <c r="AG500" s="50"/>
      <c r="AH500" s="61" t="str">
        <f t="shared" si="56"/>
        <v/>
      </c>
      <c r="AI500" s="61" t="str">
        <f>IFERROR(IF(AF500-AF499&lt;=0,"",AH500/SQRT(Таблица_pr5[[#This Row],[Удельное сопротивление грунта, Ом·м]])),AH500/SQRT(Таблица_pr5[[#This Row],[Удельное сопротивление грунта, Ом·м]]))</f>
        <v/>
      </c>
      <c r="AK500" s="53"/>
      <c r="AL500" s="52"/>
      <c r="AM500" s="50"/>
      <c r="AN500" s="61" t="str">
        <f t="shared" si="61"/>
        <v/>
      </c>
      <c r="AO500" s="61" t="str">
        <f>IFERROR(IF(AL500-AL499&lt;=0,"",AN500/SQRT(Таблица_pr6[[#This Row],[Удельное сопротивление грунта, Ом·м]])),AN500/SQRT(Таблица_pr6[[#This Row],[Удельное сопротивление грунта, Ом·м]]))</f>
        <v/>
      </c>
      <c r="AQ500" s="53"/>
      <c r="AR500" s="52"/>
      <c r="AS500" s="50"/>
      <c r="AT500" s="61" t="str">
        <f t="shared" si="57"/>
        <v/>
      </c>
      <c r="AU500" s="61" t="str">
        <f>IFERROR(IF(AR500-AR499&lt;=0,"",AT500/SQRT(Таблица_pr7[[#This Row],[Удельное сопротивление грунта, Ом·м]])),AT500/SQRT(Таблица_pr7[[#This Row],[Удельное сопротивление грунта, Ом·м]]))</f>
        <v/>
      </c>
      <c r="AW500" s="53"/>
      <c r="AX500" s="52"/>
      <c r="AY500" s="50"/>
      <c r="AZ500" s="61" t="str">
        <f t="shared" si="62"/>
        <v/>
      </c>
      <c r="BA500" s="61" t="str">
        <f>IFERROR(IF(AX500-AX499&lt;=0,"",AZ500/SQRT(Таблица_pr8[[#This Row],[Удельное сопротивление грунта, Ом·м]])),AZ500/SQRT(Таблица_pr8[[#This Row],[Удельное сопротивление грунта, Ом·м]]))</f>
        <v/>
      </c>
      <c r="BC500" s="53"/>
      <c r="BD500" s="52"/>
      <c r="BE500" s="50"/>
      <c r="BF500" s="61" t="str">
        <f t="shared" si="58"/>
        <v/>
      </c>
      <c r="BG500" s="61" t="str">
        <f>IFERROR(IF(BD500-AX519&lt;=0,"",BF500/SQRT(Таблица_pr9[[#This Row],[Удельное сопротивление грунта, Ом·м]])),BF500/SQRT(Таблица_pr9[[#This Row],[Удельное сопротивление грунта, Ом·м]]))</f>
        <v/>
      </c>
      <c r="BI500" s="53"/>
      <c r="BJ500" s="52"/>
      <c r="BK500" s="50"/>
      <c r="BL500" s="61" t="str">
        <f t="shared" si="63"/>
        <v/>
      </c>
      <c r="BM500" s="61" t="str">
        <f>IFERROR(IF(BJ500-BD529&lt;=0,"",BL500/SQRT(Таблица_pr10[[#This Row],[Удельное сопротивление грунта, Ом·м]])),BL500/SQRT(Таблица_pr10[[#This Row],[Удельное сопротивление грунта, Ом·м]]))</f>
        <v/>
      </c>
    </row>
    <row r="501" spans="1:65">
      <c r="A501" s="51"/>
      <c r="B501" s="52"/>
      <c r="C501" s="50"/>
      <c r="D501" s="61" t="str">
        <f t="shared" si="53"/>
        <v/>
      </c>
      <c r="E501" s="61" t="str">
        <f>IFERROR(IF(B501-B500&lt;=0,"",D501/SQRT(Таблица_pr[[#This Row],[Удельное сопротивление грунта, Ом·м]])),D501/SQRT(Таблица_pr[[#This Row],[Удельное сопротивление грунта, Ом·м]]))</f>
        <v/>
      </c>
      <c r="G501" s="189"/>
      <c r="H501" s="185"/>
      <c r="I501" s="183"/>
      <c r="J501" s="180" t="str">
        <f t="shared" si="54"/>
        <v/>
      </c>
      <c r="K501" s="61" t="str">
        <f>IFERROR(IF(H501-H500&lt;=0,"",J501/SQRT(Таблица_pr1[[#This Row],[Удельное сопротивление грунта, Ом·м]])),J501/SQRT(Таблица_pr1[[#This Row],[Удельное сопротивление грунта, Ом·м]]))</f>
        <v/>
      </c>
      <c r="M501" s="51"/>
      <c r="N501" s="52"/>
      <c r="O501" s="50"/>
      <c r="P501" s="61" t="str">
        <f t="shared" si="59"/>
        <v/>
      </c>
      <c r="Q501" s="61" t="str">
        <f>IFERROR(IF(N501-N500&lt;=0,"",P501/SQRT(Таблица_pr2[[#This Row],[Удельное сопротивление грунта, Ом·м]])),P501/SQRT(Таблица_pr2[[#This Row],[Удельное сопротивление грунта, Ом·м]]))</f>
        <v/>
      </c>
      <c r="S501" s="51"/>
      <c r="T501" s="52"/>
      <c r="U501" s="50"/>
      <c r="V501" s="61" t="str">
        <f t="shared" si="55"/>
        <v/>
      </c>
      <c r="W501" s="61" t="str">
        <f>IFERROR(IF(T501-T500&lt;=0,"",V501/SQRT(Таблица_pr3[[#This Row],[Удельное сопротивление грунта, Ом·м]])),V501/SQRT(Таблица_pr3[[#This Row],[Удельное сопротивление грунта, Ом·м]]))</f>
        <v/>
      </c>
      <c r="Y501" s="51"/>
      <c r="Z501" s="52"/>
      <c r="AA501" s="50"/>
      <c r="AB501" s="61" t="str">
        <f t="shared" si="60"/>
        <v/>
      </c>
      <c r="AC501" s="61" t="str">
        <f>IFERROR(IF(Z501-Z500&lt;=0,"",AB501/SQRT(Таблица_pr4[[#This Row],[Удельное сопротивление грунта, Ом·м]])),AB501/SQRT(Таблица_pr4[[#This Row],[Удельное сопротивление грунта, Ом·м]]))</f>
        <v/>
      </c>
      <c r="AE501" s="51"/>
      <c r="AF501" s="52"/>
      <c r="AG501" s="50"/>
      <c r="AH501" s="61" t="str">
        <f t="shared" si="56"/>
        <v/>
      </c>
      <c r="AI501" s="61" t="str">
        <f>IFERROR(IF(AF501-AF500&lt;=0,"",AH501/SQRT(Таблица_pr5[[#This Row],[Удельное сопротивление грунта, Ом·м]])),AH501/SQRT(Таблица_pr5[[#This Row],[Удельное сопротивление грунта, Ом·м]]))</f>
        <v/>
      </c>
      <c r="AK501" s="51"/>
      <c r="AL501" s="52"/>
      <c r="AM501" s="50"/>
      <c r="AN501" s="61" t="str">
        <f t="shared" si="61"/>
        <v/>
      </c>
      <c r="AO501" s="61" t="str">
        <f>IFERROR(IF(AL501-AL500&lt;=0,"",AN501/SQRT(Таблица_pr6[[#This Row],[Удельное сопротивление грунта, Ом·м]])),AN501/SQRT(Таблица_pr6[[#This Row],[Удельное сопротивление грунта, Ом·м]]))</f>
        <v/>
      </c>
      <c r="AQ501" s="51"/>
      <c r="AR501" s="52"/>
      <c r="AS501" s="50"/>
      <c r="AT501" s="61" t="str">
        <f t="shared" si="57"/>
        <v/>
      </c>
      <c r="AU501" s="61" t="str">
        <f>IFERROR(IF(AR501-AR500&lt;=0,"",AT501/SQRT(Таблица_pr7[[#This Row],[Удельное сопротивление грунта, Ом·м]])),AT501/SQRT(Таблица_pr7[[#This Row],[Удельное сопротивление грунта, Ом·м]]))</f>
        <v/>
      </c>
      <c r="AW501" s="51"/>
      <c r="AX501" s="52"/>
      <c r="AY501" s="50"/>
      <c r="AZ501" s="61" t="str">
        <f t="shared" si="62"/>
        <v/>
      </c>
      <c r="BA501" s="61" t="str">
        <f>IFERROR(IF(AX501-AX500&lt;=0,"",AZ501/SQRT(Таблица_pr8[[#This Row],[Удельное сопротивление грунта, Ом·м]])),AZ501/SQRT(Таблица_pr8[[#This Row],[Удельное сопротивление грунта, Ом·м]]))</f>
        <v/>
      </c>
      <c r="BC501" s="51"/>
      <c r="BD501" s="52"/>
      <c r="BE501" s="50"/>
      <c r="BF501" s="61" t="str">
        <f t="shared" si="58"/>
        <v/>
      </c>
      <c r="BG501" s="61" t="str">
        <f>IFERROR(IF(BD501-AX520&lt;=0,"",BF501/SQRT(Таблица_pr9[[#This Row],[Удельное сопротивление грунта, Ом·м]])),BF501/SQRT(Таблица_pr9[[#This Row],[Удельное сопротивление грунта, Ом·м]]))</f>
        <v/>
      </c>
      <c r="BI501" s="51"/>
      <c r="BJ501" s="52"/>
      <c r="BK501" s="50"/>
      <c r="BL501" s="61" t="str">
        <f t="shared" si="63"/>
        <v/>
      </c>
      <c r="BM501" s="61" t="str">
        <f>IFERROR(IF(BJ501-BD530&lt;=0,"",BL501/SQRT(Таблица_pr10[[#This Row],[Удельное сопротивление грунта, Ом·м]])),BL501/SQRT(Таблица_pr10[[#This Row],[Удельное сопротивление грунта, Ом·м]]))</f>
        <v/>
      </c>
    </row>
    <row r="502" spans="1:65">
      <c r="A502" s="53"/>
      <c r="B502" s="52"/>
      <c r="C502" s="50"/>
      <c r="D502" s="61" t="str">
        <f t="shared" si="53"/>
        <v/>
      </c>
      <c r="E502" s="61" t="str">
        <f>IFERROR(IF(B502-B501&lt;=0,"",D502/SQRT(Таблица_pr[[#This Row],[Удельное сопротивление грунта, Ом·м]])),D502/SQRT(Таблица_pr[[#This Row],[Удельное сопротивление грунта, Ом·м]]))</f>
        <v/>
      </c>
      <c r="G502" s="188"/>
      <c r="H502" s="184"/>
      <c r="I502" s="182"/>
      <c r="J502" s="181" t="str">
        <f t="shared" si="54"/>
        <v/>
      </c>
      <c r="K502" s="61" t="str">
        <f>IFERROR(IF(H502-H501&lt;=0,"",J502/SQRT(Таблица_pr1[[#This Row],[Удельное сопротивление грунта, Ом·м]])),J502/SQRT(Таблица_pr1[[#This Row],[Удельное сопротивление грунта, Ом·м]]))</f>
        <v/>
      </c>
      <c r="M502" s="53"/>
      <c r="N502" s="52"/>
      <c r="O502" s="50"/>
      <c r="P502" s="61" t="str">
        <f t="shared" si="59"/>
        <v/>
      </c>
      <c r="Q502" s="61" t="str">
        <f>IFERROR(IF(N502-N501&lt;=0,"",P502/SQRT(Таблица_pr2[[#This Row],[Удельное сопротивление грунта, Ом·м]])),P502/SQRT(Таблица_pr2[[#This Row],[Удельное сопротивление грунта, Ом·м]]))</f>
        <v/>
      </c>
      <c r="S502" s="53"/>
      <c r="T502" s="52"/>
      <c r="U502" s="50"/>
      <c r="V502" s="61" t="str">
        <f t="shared" si="55"/>
        <v/>
      </c>
      <c r="W502" s="61" t="str">
        <f>IFERROR(IF(T502-T501&lt;=0,"",V502/SQRT(Таблица_pr3[[#This Row],[Удельное сопротивление грунта, Ом·м]])),V502/SQRT(Таблица_pr3[[#This Row],[Удельное сопротивление грунта, Ом·м]]))</f>
        <v/>
      </c>
      <c r="Y502" s="53"/>
      <c r="Z502" s="52"/>
      <c r="AA502" s="50"/>
      <c r="AB502" s="61" t="str">
        <f t="shared" si="60"/>
        <v/>
      </c>
      <c r="AC502" s="61" t="str">
        <f>IFERROR(IF(Z502-Z501&lt;=0,"",AB502/SQRT(Таблица_pr4[[#This Row],[Удельное сопротивление грунта, Ом·м]])),AB502/SQRT(Таблица_pr4[[#This Row],[Удельное сопротивление грунта, Ом·м]]))</f>
        <v/>
      </c>
      <c r="AE502" s="53"/>
      <c r="AF502" s="52"/>
      <c r="AG502" s="50"/>
      <c r="AH502" s="61" t="str">
        <f t="shared" si="56"/>
        <v/>
      </c>
      <c r="AI502" s="61" t="str">
        <f>IFERROR(IF(AF502-AF501&lt;=0,"",AH502/SQRT(Таблица_pr5[[#This Row],[Удельное сопротивление грунта, Ом·м]])),AH502/SQRT(Таблица_pr5[[#This Row],[Удельное сопротивление грунта, Ом·м]]))</f>
        <v/>
      </c>
      <c r="AK502" s="53"/>
      <c r="AL502" s="52"/>
      <c r="AM502" s="50"/>
      <c r="AN502" s="61" t="str">
        <f t="shared" si="61"/>
        <v/>
      </c>
      <c r="AO502" s="61" t="str">
        <f>IFERROR(IF(AL502-AL501&lt;=0,"",AN502/SQRT(Таблица_pr6[[#This Row],[Удельное сопротивление грунта, Ом·м]])),AN502/SQRT(Таблица_pr6[[#This Row],[Удельное сопротивление грунта, Ом·м]]))</f>
        <v/>
      </c>
      <c r="AQ502" s="53"/>
      <c r="AR502" s="52"/>
      <c r="AS502" s="50"/>
      <c r="AT502" s="61" t="str">
        <f t="shared" si="57"/>
        <v/>
      </c>
      <c r="AU502" s="61" t="str">
        <f>IFERROR(IF(AR502-AR501&lt;=0,"",AT502/SQRT(Таблица_pr7[[#This Row],[Удельное сопротивление грунта, Ом·м]])),AT502/SQRT(Таблица_pr7[[#This Row],[Удельное сопротивление грунта, Ом·м]]))</f>
        <v/>
      </c>
      <c r="AW502" s="53"/>
      <c r="AX502" s="52"/>
      <c r="AY502" s="50"/>
      <c r="AZ502" s="61" t="str">
        <f t="shared" si="62"/>
        <v/>
      </c>
      <c r="BA502" s="61" t="str">
        <f>IFERROR(IF(AX502-AX501&lt;=0,"",AZ502/SQRT(Таблица_pr8[[#This Row],[Удельное сопротивление грунта, Ом·м]])),AZ502/SQRT(Таблица_pr8[[#This Row],[Удельное сопротивление грунта, Ом·м]]))</f>
        <v/>
      </c>
      <c r="BC502" s="53"/>
      <c r="BD502" s="52"/>
      <c r="BE502" s="50"/>
      <c r="BF502" s="61" t="str">
        <f t="shared" si="58"/>
        <v/>
      </c>
      <c r="BG502" s="61" t="str">
        <f>IFERROR(IF(BD502-AX521&lt;=0,"",BF502/SQRT(Таблица_pr9[[#This Row],[Удельное сопротивление грунта, Ом·м]])),BF502/SQRT(Таблица_pr9[[#This Row],[Удельное сопротивление грунта, Ом·м]]))</f>
        <v/>
      </c>
      <c r="BI502" s="53"/>
      <c r="BJ502" s="52"/>
      <c r="BK502" s="50"/>
      <c r="BL502" s="61" t="str">
        <f t="shared" si="63"/>
        <v/>
      </c>
      <c r="BM502" s="61" t="str">
        <f>IFERROR(IF(BJ502-BD531&lt;=0,"",BL502/SQRT(Таблица_pr10[[#This Row],[Удельное сопротивление грунта, Ом·м]])),BL502/SQRT(Таблица_pr10[[#This Row],[Удельное сопротивление грунта, Ом·м]]))</f>
        <v/>
      </c>
    </row>
    <row r="503" spans="1:65">
      <c r="A503" s="51"/>
      <c r="B503" s="52"/>
      <c r="C503" s="50"/>
      <c r="D503" s="61" t="str">
        <f t="shared" si="53"/>
        <v/>
      </c>
      <c r="E503" s="61" t="str">
        <f>IFERROR(IF(B503-B502&lt;=0,"",D503/SQRT(Таблица_pr[[#This Row],[Удельное сопротивление грунта, Ом·м]])),D503/SQRT(Таблица_pr[[#This Row],[Удельное сопротивление грунта, Ом·м]]))</f>
        <v/>
      </c>
      <c r="G503" s="189"/>
      <c r="H503" s="185"/>
      <c r="I503" s="183"/>
      <c r="J503" s="180" t="str">
        <f t="shared" si="54"/>
        <v/>
      </c>
      <c r="K503" s="61" t="str">
        <f>IFERROR(IF(H503-H502&lt;=0,"",J503/SQRT(Таблица_pr1[[#This Row],[Удельное сопротивление грунта, Ом·м]])),J503/SQRT(Таблица_pr1[[#This Row],[Удельное сопротивление грунта, Ом·м]]))</f>
        <v/>
      </c>
      <c r="M503" s="51"/>
      <c r="N503" s="52"/>
      <c r="O503" s="50"/>
      <c r="P503" s="61" t="str">
        <f t="shared" si="59"/>
        <v/>
      </c>
      <c r="Q503" s="61" t="str">
        <f>IFERROR(IF(N503-N502&lt;=0,"",P503/SQRT(Таблица_pr2[[#This Row],[Удельное сопротивление грунта, Ом·м]])),P503/SQRT(Таблица_pr2[[#This Row],[Удельное сопротивление грунта, Ом·м]]))</f>
        <v/>
      </c>
      <c r="S503" s="51"/>
      <c r="T503" s="52"/>
      <c r="U503" s="50"/>
      <c r="V503" s="61" t="str">
        <f t="shared" si="55"/>
        <v/>
      </c>
      <c r="W503" s="61" t="str">
        <f>IFERROR(IF(T503-T502&lt;=0,"",V503/SQRT(Таблица_pr3[[#This Row],[Удельное сопротивление грунта, Ом·м]])),V503/SQRT(Таблица_pr3[[#This Row],[Удельное сопротивление грунта, Ом·м]]))</f>
        <v/>
      </c>
      <c r="Y503" s="51"/>
      <c r="Z503" s="52"/>
      <c r="AA503" s="50"/>
      <c r="AB503" s="61" t="str">
        <f t="shared" si="60"/>
        <v/>
      </c>
      <c r="AC503" s="61" t="str">
        <f>IFERROR(IF(Z503-Z502&lt;=0,"",AB503/SQRT(Таблица_pr4[[#This Row],[Удельное сопротивление грунта, Ом·м]])),AB503/SQRT(Таблица_pr4[[#This Row],[Удельное сопротивление грунта, Ом·м]]))</f>
        <v/>
      </c>
      <c r="AE503" s="51"/>
      <c r="AF503" s="52"/>
      <c r="AG503" s="50"/>
      <c r="AH503" s="61" t="str">
        <f t="shared" si="56"/>
        <v/>
      </c>
      <c r="AI503" s="61" t="str">
        <f>IFERROR(IF(AF503-AF502&lt;=0,"",AH503/SQRT(Таблица_pr5[[#This Row],[Удельное сопротивление грунта, Ом·м]])),AH503/SQRT(Таблица_pr5[[#This Row],[Удельное сопротивление грунта, Ом·м]]))</f>
        <v/>
      </c>
      <c r="AK503" s="51"/>
      <c r="AL503" s="52"/>
      <c r="AM503" s="50"/>
      <c r="AN503" s="61" t="str">
        <f t="shared" si="61"/>
        <v/>
      </c>
      <c r="AO503" s="61" t="str">
        <f>IFERROR(IF(AL503-AL502&lt;=0,"",AN503/SQRT(Таблица_pr6[[#This Row],[Удельное сопротивление грунта, Ом·м]])),AN503/SQRT(Таблица_pr6[[#This Row],[Удельное сопротивление грунта, Ом·м]]))</f>
        <v/>
      </c>
      <c r="AQ503" s="51"/>
      <c r="AR503" s="52"/>
      <c r="AS503" s="50"/>
      <c r="AT503" s="61" t="str">
        <f t="shared" si="57"/>
        <v/>
      </c>
      <c r="AU503" s="61" t="str">
        <f>IFERROR(IF(AR503-AR502&lt;=0,"",AT503/SQRT(Таблица_pr7[[#This Row],[Удельное сопротивление грунта, Ом·м]])),AT503/SQRT(Таблица_pr7[[#This Row],[Удельное сопротивление грунта, Ом·м]]))</f>
        <v/>
      </c>
      <c r="AW503" s="51"/>
      <c r="AX503" s="52"/>
      <c r="AY503" s="50"/>
      <c r="AZ503" s="61" t="str">
        <f t="shared" si="62"/>
        <v/>
      </c>
      <c r="BA503" s="61" t="str">
        <f>IFERROR(IF(AX503-AX502&lt;=0,"",AZ503/SQRT(Таблица_pr8[[#This Row],[Удельное сопротивление грунта, Ом·м]])),AZ503/SQRT(Таблица_pr8[[#This Row],[Удельное сопротивление грунта, Ом·м]]))</f>
        <v/>
      </c>
      <c r="BC503" s="51"/>
      <c r="BD503" s="52"/>
      <c r="BE503" s="50"/>
      <c r="BF503" s="61" t="str">
        <f t="shared" si="58"/>
        <v/>
      </c>
      <c r="BG503" s="61" t="str">
        <f>IFERROR(IF(BD503-AX522&lt;=0,"",BF503/SQRT(Таблица_pr9[[#This Row],[Удельное сопротивление грунта, Ом·м]])),BF503/SQRT(Таблица_pr9[[#This Row],[Удельное сопротивление грунта, Ом·м]]))</f>
        <v/>
      </c>
      <c r="BI503" s="51"/>
      <c r="BJ503" s="52"/>
      <c r="BK503" s="50"/>
      <c r="BL503" s="61" t="str">
        <f t="shared" si="63"/>
        <v/>
      </c>
      <c r="BM503" s="61" t="str">
        <f>IFERROR(IF(BJ503-BD532&lt;=0,"",BL503/SQRT(Таблица_pr10[[#This Row],[Удельное сопротивление грунта, Ом·м]])),BL503/SQRT(Таблица_pr10[[#This Row],[Удельное сопротивление грунта, Ом·м]]))</f>
        <v/>
      </c>
    </row>
    <row r="504" spans="1:65">
      <c r="A504" s="53"/>
      <c r="B504" s="52"/>
      <c r="C504" s="50"/>
      <c r="D504" s="61" t="str">
        <f t="shared" si="53"/>
        <v/>
      </c>
      <c r="E504" s="61" t="str">
        <f>IFERROR(IF(B504-B503&lt;=0,"",D504/SQRT(Таблица_pr[[#This Row],[Удельное сопротивление грунта, Ом·м]])),D504/SQRT(Таблица_pr[[#This Row],[Удельное сопротивление грунта, Ом·м]]))</f>
        <v/>
      </c>
      <c r="G504" s="188"/>
      <c r="H504" s="184"/>
      <c r="I504" s="182"/>
      <c r="J504" s="181" t="str">
        <f t="shared" si="54"/>
        <v/>
      </c>
      <c r="K504" s="61" t="str">
        <f>IFERROR(IF(H504-H503&lt;=0,"",J504/SQRT(Таблица_pr1[[#This Row],[Удельное сопротивление грунта, Ом·м]])),J504/SQRT(Таблица_pr1[[#This Row],[Удельное сопротивление грунта, Ом·м]]))</f>
        <v/>
      </c>
      <c r="M504" s="53"/>
      <c r="N504" s="52"/>
      <c r="O504" s="50"/>
      <c r="P504" s="61" t="str">
        <f t="shared" si="59"/>
        <v/>
      </c>
      <c r="Q504" s="61" t="str">
        <f>IFERROR(IF(N504-N503&lt;=0,"",P504/SQRT(Таблица_pr2[[#This Row],[Удельное сопротивление грунта, Ом·м]])),P504/SQRT(Таблица_pr2[[#This Row],[Удельное сопротивление грунта, Ом·м]]))</f>
        <v/>
      </c>
      <c r="S504" s="53"/>
      <c r="T504" s="52"/>
      <c r="U504" s="50"/>
      <c r="V504" s="61" t="str">
        <f t="shared" si="55"/>
        <v/>
      </c>
      <c r="W504" s="61" t="str">
        <f>IFERROR(IF(T504-T503&lt;=0,"",V504/SQRT(Таблица_pr3[[#This Row],[Удельное сопротивление грунта, Ом·м]])),V504/SQRT(Таблица_pr3[[#This Row],[Удельное сопротивление грунта, Ом·м]]))</f>
        <v/>
      </c>
      <c r="Y504" s="53"/>
      <c r="Z504" s="52"/>
      <c r="AA504" s="50"/>
      <c r="AB504" s="61" t="str">
        <f t="shared" si="60"/>
        <v/>
      </c>
      <c r="AC504" s="61" t="str">
        <f>IFERROR(IF(Z504-Z503&lt;=0,"",AB504/SQRT(Таблица_pr4[[#This Row],[Удельное сопротивление грунта, Ом·м]])),AB504/SQRT(Таблица_pr4[[#This Row],[Удельное сопротивление грунта, Ом·м]]))</f>
        <v/>
      </c>
      <c r="AE504" s="53"/>
      <c r="AF504" s="52"/>
      <c r="AG504" s="50"/>
      <c r="AH504" s="61" t="str">
        <f t="shared" si="56"/>
        <v/>
      </c>
      <c r="AI504" s="61" t="str">
        <f>IFERROR(IF(AF504-AF503&lt;=0,"",AH504/SQRT(Таблица_pr5[[#This Row],[Удельное сопротивление грунта, Ом·м]])),AH504/SQRT(Таблица_pr5[[#This Row],[Удельное сопротивление грунта, Ом·м]]))</f>
        <v/>
      </c>
      <c r="AK504" s="53"/>
      <c r="AL504" s="52"/>
      <c r="AM504" s="50"/>
      <c r="AN504" s="61" t="str">
        <f t="shared" si="61"/>
        <v/>
      </c>
      <c r="AO504" s="61" t="str">
        <f>IFERROR(IF(AL504-AL503&lt;=0,"",AN504/SQRT(Таблица_pr6[[#This Row],[Удельное сопротивление грунта, Ом·м]])),AN504/SQRT(Таблица_pr6[[#This Row],[Удельное сопротивление грунта, Ом·м]]))</f>
        <v/>
      </c>
      <c r="AQ504" s="53"/>
      <c r="AR504" s="52"/>
      <c r="AS504" s="50"/>
      <c r="AT504" s="61" t="str">
        <f t="shared" si="57"/>
        <v/>
      </c>
      <c r="AU504" s="61" t="str">
        <f>IFERROR(IF(AR504-AR503&lt;=0,"",AT504/SQRT(Таблица_pr7[[#This Row],[Удельное сопротивление грунта, Ом·м]])),AT504/SQRT(Таблица_pr7[[#This Row],[Удельное сопротивление грунта, Ом·м]]))</f>
        <v/>
      </c>
      <c r="AW504" s="53"/>
      <c r="AX504" s="52"/>
      <c r="AY504" s="50"/>
      <c r="AZ504" s="61" t="str">
        <f t="shared" si="62"/>
        <v/>
      </c>
      <c r="BA504" s="61" t="str">
        <f>IFERROR(IF(AX504-AX503&lt;=0,"",AZ504/SQRT(Таблица_pr8[[#This Row],[Удельное сопротивление грунта, Ом·м]])),AZ504/SQRT(Таблица_pr8[[#This Row],[Удельное сопротивление грунта, Ом·м]]))</f>
        <v/>
      </c>
      <c r="BC504" s="53"/>
      <c r="BD504" s="52"/>
      <c r="BE504" s="50"/>
      <c r="BF504" s="61" t="str">
        <f t="shared" si="58"/>
        <v/>
      </c>
      <c r="BG504" s="61" t="str">
        <f>IFERROR(IF(BD504-AX523&lt;=0,"",BF504/SQRT(Таблица_pr9[[#This Row],[Удельное сопротивление грунта, Ом·м]])),BF504/SQRT(Таблица_pr9[[#This Row],[Удельное сопротивление грунта, Ом·м]]))</f>
        <v/>
      </c>
      <c r="BI504" s="53"/>
      <c r="BJ504" s="52"/>
      <c r="BK504" s="50"/>
      <c r="BL504" s="61" t="str">
        <f t="shared" si="63"/>
        <v/>
      </c>
      <c r="BM504" s="61" t="str">
        <f>IFERROR(IF(BJ504-BD533&lt;=0,"",BL504/SQRT(Таблица_pr10[[#This Row],[Удельное сопротивление грунта, Ом·м]])),BL504/SQRT(Таблица_pr10[[#This Row],[Удельное сопротивление грунта, Ом·м]]))</f>
        <v/>
      </c>
    </row>
    <row r="505" spans="1:65">
      <c r="A505" s="51"/>
      <c r="B505" s="52"/>
      <c r="C505" s="50"/>
      <c r="D505" s="61" t="str">
        <f t="shared" si="53"/>
        <v/>
      </c>
      <c r="E505" s="61" t="str">
        <f>IFERROR(IF(B505-B504&lt;=0,"",D505/SQRT(Таблица_pr[[#This Row],[Удельное сопротивление грунта, Ом·м]])),D505/SQRT(Таблица_pr[[#This Row],[Удельное сопротивление грунта, Ом·м]]))</f>
        <v/>
      </c>
      <c r="G505" s="189"/>
      <c r="H505" s="185"/>
      <c r="I505" s="183"/>
      <c r="J505" s="180" t="str">
        <f t="shared" si="54"/>
        <v/>
      </c>
      <c r="K505" s="61" t="str">
        <f>IFERROR(IF(H505-H504&lt;=0,"",J505/SQRT(Таблица_pr1[[#This Row],[Удельное сопротивление грунта, Ом·м]])),J505/SQRT(Таблица_pr1[[#This Row],[Удельное сопротивление грунта, Ом·м]]))</f>
        <v/>
      </c>
      <c r="M505" s="51"/>
      <c r="N505" s="52"/>
      <c r="O505" s="50"/>
      <c r="P505" s="61" t="str">
        <f t="shared" si="59"/>
        <v/>
      </c>
      <c r="Q505" s="61" t="str">
        <f>IFERROR(IF(N505-N504&lt;=0,"",P505/SQRT(Таблица_pr2[[#This Row],[Удельное сопротивление грунта, Ом·м]])),P505/SQRT(Таблица_pr2[[#This Row],[Удельное сопротивление грунта, Ом·м]]))</f>
        <v/>
      </c>
      <c r="S505" s="51"/>
      <c r="T505" s="52"/>
      <c r="U505" s="50"/>
      <c r="V505" s="61" t="str">
        <f t="shared" si="55"/>
        <v/>
      </c>
      <c r="W505" s="61" t="str">
        <f>IFERROR(IF(T505-T504&lt;=0,"",V505/SQRT(Таблица_pr3[[#This Row],[Удельное сопротивление грунта, Ом·м]])),V505/SQRT(Таблица_pr3[[#This Row],[Удельное сопротивление грунта, Ом·м]]))</f>
        <v/>
      </c>
      <c r="Y505" s="51"/>
      <c r="Z505" s="52"/>
      <c r="AA505" s="50"/>
      <c r="AB505" s="61" t="str">
        <f t="shared" si="60"/>
        <v/>
      </c>
      <c r="AC505" s="61" t="str">
        <f>IFERROR(IF(Z505-Z504&lt;=0,"",AB505/SQRT(Таблица_pr4[[#This Row],[Удельное сопротивление грунта, Ом·м]])),AB505/SQRT(Таблица_pr4[[#This Row],[Удельное сопротивление грунта, Ом·м]]))</f>
        <v/>
      </c>
      <c r="AE505" s="51"/>
      <c r="AF505" s="52"/>
      <c r="AG505" s="50"/>
      <c r="AH505" s="61" t="str">
        <f t="shared" si="56"/>
        <v/>
      </c>
      <c r="AI505" s="61" t="str">
        <f>IFERROR(IF(AF505-AF504&lt;=0,"",AH505/SQRT(Таблица_pr5[[#This Row],[Удельное сопротивление грунта, Ом·м]])),AH505/SQRT(Таблица_pr5[[#This Row],[Удельное сопротивление грунта, Ом·м]]))</f>
        <v/>
      </c>
      <c r="AK505" s="51"/>
      <c r="AL505" s="52"/>
      <c r="AM505" s="50"/>
      <c r="AN505" s="61" t="str">
        <f t="shared" si="61"/>
        <v/>
      </c>
      <c r="AO505" s="61" t="str">
        <f>IFERROR(IF(AL505-AL504&lt;=0,"",AN505/SQRT(Таблица_pr6[[#This Row],[Удельное сопротивление грунта, Ом·м]])),AN505/SQRT(Таблица_pr6[[#This Row],[Удельное сопротивление грунта, Ом·м]]))</f>
        <v/>
      </c>
      <c r="AQ505" s="51"/>
      <c r="AR505" s="52"/>
      <c r="AS505" s="50"/>
      <c r="AT505" s="61" t="str">
        <f t="shared" si="57"/>
        <v/>
      </c>
      <c r="AU505" s="61" t="str">
        <f>IFERROR(IF(AR505-AR504&lt;=0,"",AT505/SQRT(Таблица_pr7[[#This Row],[Удельное сопротивление грунта, Ом·м]])),AT505/SQRT(Таблица_pr7[[#This Row],[Удельное сопротивление грунта, Ом·м]]))</f>
        <v/>
      </c>
      <c r="AW505" s="51"/>
      <c r="AX505" s="52"/>
      <c r="AY505" s="50"/>
      <c r="AZ505" s="61" t="str">
        <f t="shared" si="62"/>
        <v/>
      </c>
      <c r="BA505" s="61" t="str">
        <f>IFERROR(IF(AX505-AX504&lt;=0,"",AZ505/SQRT(Таблица_pr8[[#This Row],[Удельное сопротивление грунта, Ом·м]])),AZ505/SQRT(Таблица_pr8[[#This Row],[Удельное сопротивление грунта, Ом·м]]))</f>
        <v/>
      </c>
      <c r="BC505" s="51"/>
      <c r="BD505" s="52"/>
      <c r="BE505" s="50"/>
      <c r="BF505" s="61" t="str">
        <f t="shared" si="58"/>
        <v/>
      </c>
      <c r="BG505" s="61" t="str">
        <f>IFERROR(IF(BD505-AX524&lt;=0,"",BF505/SQRT(Таблица_pr9[[#This Row],[Удельное сопротивление грунта, Ом·м]])),BF505/SQRT(Таблица_pr9[[#This Row],[Удельное сопротивление грунта, Ом·м]]))</f>
        <v/>
      </c>
      <c r="BI505" s="51"/>
      <c r="BJ505" s="52"/>
      <c r="BK505" s="50"/>
      <c r="BL505" s="61" t="str">
        <f t="shared" si="63"/>
        <v/>
      </c>
      <c r="BM505" s="61" t="str">
        <f>IFERROR(IF(BJ505-BD534&lt;=0,"",BL505/SQRT(Таблица_pr10[[#This Row],[Удельное сопротивление грунта, Ом·м]])),BL505/SQRT(Таблица_pr10[[#This Row],[Удельное сопротивление грунта, Ом·м]]))</f>
        <v/>
      </c>
    </row>
    <row r="506" spans="1:65">
      <c r="A506" s="53"/>
      <c r="B506" s="52"/>
      <c r="C506" s="50"/>
      <c r="D506" s="61" t="str">
        <f t="shared" si="53"/>
        <v/>
      </c>
      <c r="E506" s="61" t="str">
        <f>IFERROR(IF(B506-B505&lt;=0,"",D506/SQRT(Таблица_pr[[#This Row],[Удельное сопротивление грунта, Ом·м]])),D506/SQRT(Таблица_pr[[#This Row],[Удельное сопротивление грунта, Ом·м]]))</f>
        <v/>
      </c>
      <c r="G506" s="188"/>
      <c r="H506" s="184"/>
      <c r="I506" s="182"/>
      <c r="J506" s="181" t="str">
        <f t="shared" si="54"/>
        <v/>
      </c>
      <c r="K506" s="61" t="str">
        <f>IFERROR(IF(H506-H505&lt;=0,"",J506/SQRT(Таблица_pr1[[#This Row],[Удельное сопротивление грунта, Ом·м]])),J506/SQRT(Таблица_pr1[[#This Row],[Удельное сопротивление грунта, Ом·м]]))</f>
        <v/>
      </c>
      <c r="M506" s="53"/>
      <c r="N506" s="52"/>
      <c r="O506" s="50"/>
      <c r="P506" s="61" t="str">
        <f t="shared" si="59"/>
        <v/>
      </c>
      <c r="Q506" s="61" t="str">
        <f>IFERROR(IF(N506-N505&lt;=0,"",P506/SQRT(Таблица_pr2[[#This Row],[Удельное сопротивление грунта, Ом·м]])),P506/SQRT(Таблица_pr2[[#This Row],[Удельное сопротивление грунта, Ом·м]]))</f>
        <v/>
      </c>
      <c r="S506" s="53"/>
      <c r="T506" s="52"/>
      <c r="U506" s="50"/>
      <c r="V506" s="61" t="str">
        <f t="shared" si="55"/>
        <v/>
      </c>
      <c r="W506" s="61" t="str">
        <f>IFERROR(IF(T506-T505&lt;=0,"",V506/SQRT(Таблица_pr3[[#This Row],[Удельное сопротивление грунта, Ом·м]])),V506/SQRT(Таблица_pr3[[#This Row],[Удельное сопротивление грунта, Ом·м]]))</f>
        <v/>
      </c>
      <c r="Y506" s="53"/>
      <c r="Z506" s="52"/>
      <c r="AA506" s="50"/>
      <c r="AB506" s="61" t="str">
        <f t="shared" si="60"/>
        <v/>
      </c>
      <c r="AC506" s="61" t="str">
        <f>IFERROR(IF(Z506-Z505&lt;=0,"",AB506/SQRT(Таблица_pr4[[#This Row],[Удельное сопротивление грунта, Ом·м]])),AB506/SQRT(Таблица_pr4[[#This Row],[Удельное сопротивление грунта, Ом·м]]))</f>
        <v/>
      </c>
      <c r="AE506" s="53"/>
      <c r="AF506" s="52"/>
      <c r="AG506" s="50"/>
      <c r="AH506" s="61" t="str">
        <f t="shared" si="56"/>
        <v/>
      </c>
      <c r="AI506" s="61" t="str">
        <f>IFERROR(IF(AF506-AF505&lt;=0,"",AH506/SQRT(Таблица_pr5[[#This Row],[Удельное сопротивление грунта, Ом·м]])),AH506/SQRT(Таблица_pr5[[#This Row],[Удельное сопротивление грунта, Ом·м]]))</f>
        <v/>
      </c>
      <c r="AK506" s="53"/>
      <c r="AL506" s="52"/>
      <c r="AM506" s="50"/>
      <c r="AN506" s="61" t="str">
        <f t="shared" si="61"/>
        <v/>
      </c>
      <c r="AO506" s="61" t="str">
        <f>IFERROR(IF(AL506-AL505&lt;=0,"",AN506/SQRT(Таблица_pr6[[#This Row],[Удельное сопротивление грунта, Ом·м]])),AN506/SQRT(Таблица_pr6[[#This Row],[Удельное сопротивление грунта, Ом·м]]))</f>
        <v/>
      </c>
      <c r="AQ506" s="53"/>
      <c r="AR506" s="52"/>
      <c r="AS506" s="50"/>
      <c r="AT506" s="61" t="str">
        <f t="shared" si="57"/>
        <v/>
      </c>
      <c r="AU506" s="61" t="str">
        <f>IFERROR(IF(AR506-AR505&lt;=0,"",AT506/SQRT(Таблица_pr7[[#This Row],[Удельное сопротивление грунта, Ом·м]])),AT506/SQRT(Таблица_pr7[[#This Row],[Удельное сопротивление грунта, Ом·м]]))</f>
        <v/>
      </c>
      <c r="AW506" s="53"/>
      <c r="AX506" s="52"/>
      <c r="AY506" s="50"/>
      <c r="AZ506" s="61" t="str">
        <f t="shared" si="62"/>
        <v/>
      </c>
      <c r="BA506" s="61" t="str">
        <f>IFERROR(IF(AX506-AX505&lt;=0,"",AZ506/SQRT(Таблица_pr8[[#This Row],[Удельное сопротивление грунта, Ом·м]])),AZ506/SQRT(Таблица_pr8[[#This Row],[Удельное сопротивление грунта, Ом·м]]))</f>
        <v/>
      </c>
      <c r="BC506" s="53"/>
      <c r="BD506" s="52"/>
      <c r="BE506" s="50"/>
      <c r="BF506" s="61" t="str">
        <f t="shared" si="58"/>
        <v/>
      </c>
      <c r="BG506" s="61" t="str">
        <f>IFERROR(IF(BD506-AX525&lt;=0,"",BF506/SQRT(Таблица_pr9[[#This Row],[Удельное сопротивление грунта, Ом·м]])),BF506/SQRT(Таблица_pr9[[#This Row],[Удельное сопротивление грунта, Ом·м]]))</f>
        <v/>
      </c>
      <c r="BI506" s="53"/>
      <c r="BJ506" s="52"/>
      <c r="BK506" s="50"/>
      <c r="BL506" s="61" t="str">
        <f t="shared" si="63"/>
        <v/>
      </c>
      <c r="BM506" s="61" t="str">
        <f>IFERROR(IF(BJ506-BD535&lt;=0,"",BL506/SQRT(Таблица_pr10[[#This Row],[Удельное сопротивление грунта, Ом·м]])),BL506/SQRT(Таблица_pr10[[#This Row],[Удельное сопротивление грунта, Ом·м]]))</f>
        <v/>
      </c>
    </row>
    <row r="507" spans="1:65">
      <c r="A507" s="51"/>
      <c r="B507" s="52"/>
      <c r="C507" s="50"/>
      <c r="D507" s="61" t="str">
        <f t="shared" si="53"/>
        <v/>
      </c>
      <c r="E507" s="61" t="str">
        <f>IFERROR(IF(B507-B506&lt;=0,"",D507/SQRT(Таблица_pr[[#This Row],[Удельное сопротивление грунта, Ом·м]])),D507/SQRT(Таблица_pr[[#This Row],[Удельное сопротивление грунта, Ом·м]]))</f>
        <v/>
      </c>
      <c r="G507" s="189"/>
      <c r="H507" s="185"/>
      <c r="I507" s="183"/>
      <c r="J507" s="180" t="str">
        <f t="shared" si="54"/>
        <v/>
      </c>
      <c r="K507" s="61" t="str">
        <f>IFERROR(IF(H507-H506&lt;=0,"",J507/SQRT(Таблица_pr1[[#This Row],[Удельное сопротивление грунта, Ом·м]])),J507/SQRT(Таблица_pr1[[#This Row],[Удельное сопротивление грунта, Ом·м]]))</f>
        <v/>
      </c>
      <c r="M507" s="51"/>
      <c r="N507" s="52"/>
      <c r="O507" s="50"/>
      <c r="P507" s="61" t="str">
        <f t="shared" si="59"/>
        <v/>
      </c>
      <c r="Q507" s="61" t="str">
        <f>IFERROR(IF(N507-N506&lt;=0,"",P507/SQRT(Таблица_pr2[[#This Row],[Удельное сопротивление грунта, Ом·м]])),P507/SQRT(Таблица_pr2[[#This Row],[Удельное сопротивление грунта, Ом·м]]))</f>
        <v/>
      </c>
      <c r="S507" s="51"/>
      <c r="T507" s="52"/>
      <c r="U507" s="50"/>
      <c r="V507" s="61" t="str">
        <f t="shared" si="55"/>
        <v/>
      </c>
      <c r="W507" s="61" t="str">
        <f>IFERROR(IF(T507-T506&lt;=0,"",V507/SQRT(Таблица_pr3[[#This Row],[Удельное сопротивление грунта, Ом·м]])),V507/SQRT(Таблица_pr3[[#This Row],[Удельное сопротивление грунта, Ом·м]]))</f>
        <v/>
      </c>
      <c r="Y507" s="51"/>
      <c r="Z507" s="52"/>
      <c r="AA507" s="50"/>
      <c r="AB507" s="61" t="str">
        <f t="shared" si="60"/>
        <v/>
      </c>
      <c r="AC507" s="61" t="str">
        <f>IFERROR(IF(Z507-Z506&lt;=0,"",AB507/SQRT(Таблица_pr4[[#This Row],[Удельное сопротивление грунта, Ом·м]])),AB507/SQRT(Таблица_pr4[[#This Row],[Удельное сопротивление грунта, Ом·м]]))</f>
        <v/>
      </c>
      <c r="AE507" s="51"/>
      <c r="AF507" s="52"/>
      <c r="AG507" s="50"/>
      <c r="AH507" s="61" t="str">
        <f t="shared" si="56"/>
        <v/>
      </c>
      <c r="AI507" s="61" t="str">
        <f>IFERROR(IF(AF507-AF506&lt;=0,"",AH507/SQRT(Таблица_pr5[[#This Row],[Удельное сопротивление грунта, Ом·м]])),AH507/SQRT(Таблица_pr5[[#This Row],[Удельное сопротивление грунта, Ом·м]]))</f>
        <v/>
      </c>
      <c r="AK507" s="51"/>
      <c r="AL507" s="52"/>
      <c r="AM507" s="50"/>
      <c r="AN507" s="61" t="str">
        <f t="shared" si="61"/>
        <v/>
      </c>
      <c r="AO507" s="61" t="str">
        <f>IFERROR(IF(AL507-AL506&lt;=0,"",AN507/SQRT(Таблица_pr6[[#This Row],[Удельное сопротивление грунта, Ом·м]])),AN507/SQRT(Таблица_pr6[[#This Row],[Удельное сопротивление грунта, Ом·м]]))</f>
        <v/>
      </c>
      <c r="AQ507" s="51"/>
      <c r="AR507" s="52"/>
      <c r="AS507" s="50"/>
      <c r="AT507" s="61" t="str">
        <f t="shared" si="57"/>
        <v/>
      </c>
      <c r="AU507" s="61" t="str">
        <f>IFERROR(IF(AR507-AR506&lt;=0,"",AT507/SQRT(Таблица_pr7[[#This Row],[Удельное сопротивление грунта, Ом·м]])),AT507/SQRT(Таблица_pr7[[#This Row],[Удельное сопротивление грунта, Ом·м]]))</f>
        <v/>
      </c>
      <c r="AW507" s="51"/>
      <c r="AX507" s="52"/>
      <c r="AY507" s="50"/>
      <c r="AZ507" s="61" t="str">
        <f t="shared" si="62"/>
        <v/>
      </c>
      <c r="BA507" s="61" t="str">
        <f>IFERROR(IF(AX507-AX506&lt;=0,"",AZ507/SQRT(Таблица_pr8[[#This Row],[Удельное сопротивление грунта, Ом·м]])),AZ507/SQRT(Таблица_pr8[[#This Row],[Удельное сопротивление грунта, Ом·м]]))</f>
        <v/>
      </c>
      <c r="BC507" s="51"/>
      <c r="BD507" s="52"/>
      <c r="BE507" s="50"/>
      <c r="BF507" s="61" t="str">
        <f t="shared" si="58"/>
        <v/>
      </c>
      <c r="BG507" s="61" t="str">
        <f>IFERROR(IF(BD507-AX526&lt;=0,"",BF507/SQRT(Таблица_pr9[[#This Row],[Удельное сопротивление грунта, Ом·м]])),BF507/SQRT(Таблица_pr9[[#This Row],[Удельное сопротивление грунта, Ом·м]]))</f>
        <v/>
      </c>
      <c r="BI507" s="51"/>
      <c r="BJ507" s="52"/>
      <c r="BK507" s="50"/>
      <c r="BL507" s="61" t="str">
        <f t="shared" si="63"/>
        <v/>
      </c>
      <c r="BM507" s="61" t="str">
        <f>IFERROR(IF(BJ507-BD536&lt;=0,"",BL507/SQRT(Таблица_pr10[[#This Row],[Удельное сопротивление грунта, Ом·м]])),BL507/SQRT(Таблица_pr10[[#This Row],[Удельное сопротивление грунта, Ом·м]]))</f>
        <v/>
      </c>
    </row>
    <row r="508" spans="1:65">
      <c r="A508" s="53"/>
      <c r="B508" s="52"/>
      <c r="C508" s="50"/>
      <c r="D508" s="61" t="str">
        <f t="shared" si="53"/>
        <v/>
      </c>
      <c r="E508" s="61" t="str">
        <f>IFERROR(IF(B508-B507&lt;=0,"",D508/SQRT(Таблица_pr[[#This Row],[Удельное сопротивление грунта, Ом·м]])),D508/SQRT(Таблица_pr[[#This Row],[Удельное сопротивление грунта, Ом·м]]))</f>
        <v/>
      </c>
      <c r="G508" s="188"/>
      <c r="H508" s="184"/>
      <c r="I508" s="182"/>
      <c r="J508" s="181" t="str">
        <f t="shared" si="54"/>
        <v/>
      </c>
      <c r="K508" s="61" t="str">
        <f>IFERROR(IF(H508-H507&lt;=0,"",J508/SQRT(Таблица_pr1[[#This Row],[Удельное сопротивление грунта, Ом·м]])),J508/SQRT(Таблица_pr1[[#This Row],[Удельное сопротивление грунта, Ом·м]]))</f>
        <v/>
      </c>
      <c r="M508" s="53"/>
      <c r="N508" s="52"/>
      <c r="O508" s="50"/>
      <c r="P508" s="61" t="str">
        <f t="shared" si="59"/>
        <v/>
      </c>
      <c r="Q508" s="61" t="str">
        <f>IFERROR(IF(N508-N507&lt;=0,"",P508/SQRT(Таблица_pr2[[#This Row],[Удельное сопротивление грунта, Ом·м]])),P508/SQRT(Таблица_pr2[[#This Row],[Удельное сопротивление грунта, Ом·м]]))</f>
        <v/>
      </c>
      <c r="S508" s="53"/>
      <c r="T508" s="52"/>
      <c r="U508" s="50"/>
      <c r="V508" s="61" t="str">
        <f t="shared" si="55"/>
        <v/>
      </c>
      <c r="W508" s="61" t="str">
        <f>IFERROR(IF(T508-T507&lt;=0,"",V508/SQRT(Таблица_pr3[[#This Row],[Удельное сопротивление грунта, Ом·м]])),V508/SQRT(Таблица_pr3[[#This Row],[Удельное сопротивление грунта, Ом·м]]))</f>
        <v/>
      </c>
      <c r="Y508" s="53"/>
      <c r="Z508" s="52"/>
      <c r="AA508" s="50"/>
      <c r="AB508" s="61" t="str">
        <f t="shared" si="60"/>
        <v/>
      </c>
      <c r="AC508" s="61" t="str">
        <f>IFERROR(IF(Z508-Z507&lt;=0,"",AB508/SQRT(Таблица_pr4[[#This Row],[Удельное сопротивление грунта, Ом·м]])),AB508/SQRT(Таблица_pr4[[#This Row],[Удельное сопротивление грунта, Ом·м]]))</f>
        <v/>
      </c>
      <c r="AE508" s="53"/>
      <c r="AF508" s="52"/>
      <c r="AG508" s="50"/>
      <c r="AH508" s="61" t="str">
        <f t="shared" si="56"/>
        <v/>
      </c>
      <c r="AI508" s="61" t="str">
        <f>IFERROR(IF(AF508-AF507&lt;=0,"",AH508/SQRT(Таблица_pr5[[#This Row],[Удельное сопротивление грунта, Ом·м]])),AH508/SQRT(Таблица_pr5[[#This Row],[Удельное сопротивление грунта, Ом·м]]))</f>
        <v/>
      </c>
      <c r="AK508" s="53"/>
      <c r="AL508" s="52"/>
      <c r="AM508" s="50"/>
      <c r="AN508" s="61" t="str">
        <f t="shared" si="61"/>
        <v/>
      </c>
      <c r="AO508" s="61" t="str">
        <f>IFERROR(IF(AL508-AL507&lt;=0,"",AN508/SQRT(Таблица_pr6[[#This Row],[Удельное сопротивление грунта, Ом·м]])),AN508/SQRT(Таблица_pr6[[#This Row],[Удельное сопротивление грунта, Ом·м]]))</f>
        <v/>
      </c>
      <c r="AQ508" s="53"/>
      <c r="AR508" s="52"/>
      <c r="AS508" s="50"/>
      <c r="AT508" s="61" t="str">
        <f t="shared" si="57"/>
        <v/>
      </c>
      <c r="AU508" s="61" t="str">
        <f>IFERROR(IF(AR508-AR507&lt;=0,"",AT508/SQRT(Таблица_pr7[[#This Row],[Удельное сопротивление грунта, Ом·м]])),AT508/SQRT(Таблица_pr7[[#This Row],[Удельное сопротивление грунта, Ом·м]]))</f>
        <v/>
      </c>
      <c r="AW508" s="53"/>
      <c r="AX508" s="52"/>
      <c r="AY508" s="50"/>
      <c r="AZ508" s="61" t="str">
        <f t="shared" si="62"/>
        <v/>
      </c>
      <c r="BA508" s="61" t="str">
        <f>IFERROR(IF(AX508-AX507&lt;=0,"",AZ508/SQRT(Таблица_pr8[[#This Row],[Удельное сопротивление грунта, Ом·м]])),AZ508/SQRT(Таблица_pr8[[#This Row],[Удельное сопротивление грунта, Ом·м]]))</f>
        <v/>
      </c>
      <c r="BC508" s="53"/>
      <c r="BD508" s="52"/>
      <c r="BE508" s="50"/>
      <c r="BF508" s="61" t="str">
        <f t="shared" si="58"/>
        <v/>
      </c>
      <c r="BG508" s="61" t="str">
        <f>IFERROR(IF(BD508-AX527&lt;=0,"",BF508/SQRT(Таблица_pr9[[#This Row],[Удельное сопротивление грунта, Ом·м]])),BF508/SQRT(Таблица_pr9[[#This Row],[Удельное сопротивление грунта, Ом·м]]))</f>
        <v/>
      </c>
      <c r="BI508" s="53"/>
      <c r="BJ508" s="52"/>
      <c r="BK508" s="50"/>
      <c r="BL508" s="61" t="str">
        <f t="shared" si="63"/>
        <v/>
      </c>
      <c r="BM508" s="61" t="str">
        <f>IFERROR(IF(BJ508-BD537&lt;=0,"",BL508/SQRT(Таблица_pr10[[#This Row],[Удельное сопротивление грунта, Ом·м]])),BL508/SQRT(Таблица_pr10[[#This Row],[Удельное сопротивление грунта, Ом·м]]))</f>
        <v/>
      </c>
    </row>
    <row r="509" spans="1:65">
      <c r="A509" s="51"/>
      <c r="B509" s="52"/>
      <c r="C509" s="50"/>
      <c r="D509" s="61" t="str">
        <f t="shared" si="53"/>
        <v/>
      </c>
      <c r="E509" s="61" t="str">
        <f>IFERROR(IF(B509-B508&lt;=0,"",D509/SQRT(Таблица_pr[[#This Row],[Удельное сопротивление грунта, Ом·м]])),D509/SQRT(Таблица_pr[[#This Row],[Удельное сопротивление грунта, Ом·м]]))</f>
        <v/>
      </c>
      <c r="G509" s="189"/>
      <c r="H509" s="185"/>
      <c r="I509" s="183"/>
      <c r="J509" s="180" t="str">
        <f t="shared" si="54"/>
        <v/>
      </c>
      <c r="K509" s="61" t="str">
        <f>IFERROR(IF(H509-H508&lt;=0,"",J509/SQRT(Таблица_pr1[[#This Row],[Удельное сопротивление грунта, Ом·м]])),J509/SQRT(Таблица_pr1[[#This Row],[Удельное сопротивление грунта, Ом·м]]))</f>
        <v/>
      </c>
      <c r="M509" s="51"/>
      <c r="N509" s="52"/>
      <c r="O509" s="50"/>
      <c r="P509" s="61" t="str">
        <f t="shared" si="59"/>
        <v/>
      </c>
      <c r="Q509" s="61" t="str">
        <f>IFERROR(IF(N509-N508&lt;=0,"",P509/SQRT(Таблица_pr2[[#This Row],[Удельное сопротивление грунта, Ом·м]])),P509/SQRT(Таблица_pr2[[#This Row],[Удельное сопротивление грунта, Ом·м]]))</f>
        <v/>
      </c>
      <c r="S509" s="51"/>
      <c r="T509" s="52"/>
      <c r="U509" s="50"/>
      <c r="V509" s="61" t="str">
        <f t="shared" si="55"/>
        <v/>
      </c>
      <c r="W509" s="61" t="str">
        <f>IFERROR(IF(T509-T508&lt;=0,"",V509/SQRT(Таблица_pr3[[#This Row],[Удельное сопротивление грунта, Ом·м]])),V509/SQRT(Таблица_pr3[[#This Row],[Удельное сопротивление грунта, Ом·м]]))</f>
        <v/>
      </c>
      <c r="Y509" s="51"/>
      <c r="Z509" s="52"/>
      <c r="AA509" s="50"/>
      <c r="AB509" s="61" t="str">
        <f t="shared" si="60"/>
        <v/>
      </c>
      <c r="AC509" s="61" t="str">
        <f>IFERROR(IF(Z509-Z508&lt;=0,"",AB509/SQRT(Таблица_pr4[[#This Row],[Удельное сопротивление грунта, Ом·м]])),AB509/SQRT(Таблица_pr4[[#This Row],[Удельное сопротивление грунта, Ом·м]]))</f>
        <v/>
      </c>
      <c r="AE509" s="51"/>
      <c r="AF509" s="52"/>
      <c r="AG509" s="50"/>
      <c r="AH509" s="61" t="str">
        <f t="shared" si="56"/>
        <v/>
      </c>
      <c r="AI509" s="61" t="str">
        <f>IFERROR(IF(AF509-AF508&lt;=0,"",AH509/SQRT(Таблица_pr5[[#This Row],[Удельное сопротивление грунта, Ом·м]])),AH509/SQRT(Таблица_pr5[[#This Row],[Удельное сопротивление грунта, Ом·м]]))</f>
        <v/>
      </c>
      <c r="AK509" s="51"/>
      <c r="AL509" s="52"/>
      <c r="AM509" s="50"/>
      <c r="AN509" s="61" t="str">
        <f t="shared" si="61"/>
        <v/>
      </c>
      <c r="AO509" s="61" t="str">
        <f>IFERROR(IF(AL509-AL508&lt;=0,"",AN509/SQRT(Таблица_pr6[[#This Row],[Удельное сопротивление грунта, Ом·м]])),AN509/SQRT(Таблица_pr6[[#This Row],[Удельное сопротивление грунта, Ом·м]]))</f>
        <v/>
      </c>
      <c r="AQ509" s="51"/>
      <c r="AR509" s="52"/>
      <c r="AS509" s="50"/>
      <c r="AT509" s="61" t="str">
        <f t="shared" si="57"/>
        <v/>
      </c>
      <c r="AU509" s="61" t="str">
        <f>IFERROR(IF(AR509-AR508&lt;=0,"",AT509/SQRT(Таблица_pr7[[#This Row],[Удельное сопротивление грунта, Ом·м]])),AT509/SQRT(Таблица_pr7[[#This Row],[Удельное сопротивление грунта, Ом·м]]))</f>
        <v/>
      </c>
      <c r="AW509" s="51"/>
      <c r="AX509" s="52"/>
      <c r="AY509" s="50"/>
      <c r="AZ509" s="61" t="str">
        <f t="shared" si="62"/>
        <v/>
      </c>
      <c r="BA509" s="61" t="str">
        <f>IFERROR(IF(AX509-AX508&lt;=0,"",AZ509/SQRT(Таблица_pr8[[#This Row],[Удельное сопротивление грунта, Ом·м]])),AZ509/SQRT(Таблица_pr8[[#This Row],[Удельное сопротивление грунта, Ом·м]]))</f>
        <v/>
      </c>
      <c r="BC509" s="51"/>
      <c r="BD509" s="52"/>
      <c r="BE509" s="50"/>
      <c r="BF509" s="61" t="str">
        <f t="shared" si="58"/>
        <v/>
      </c>
      <c r="BG509" s="61" t="str">
        <f>IFERROR(IF(BD509-AX528&lt;=0,"",BF509/SQRT(Таблица_pr9[[#This Row],[Удельное сопротивление грунта, Ом·м]])),BF509/SQRT(Таблица_pr9[[#This Row],[Удельное сопротивление грунта, Ом·м]]))</f>
        <v/>
      </c>
      <c r="BI509" s="51"/>
      <c r="BJ509" s="52"/>
      <c r="BK509" s="50"/>
      <c r="BL509" s="61" t="str">
        <f t="shared" si="63"/>
        <v/>
      </c>
      <c r="BM509" s="61" t="str">
        <f>IFERROR(IF(BJ509-BD538&lt;=0,"",BL509/SQRT(Таблица_pr10[[#This Row],[Удельное сопротивление грунта, Ом·м]])),BL509/SQRT(Таблица_pr10[[#This Row],[Удельное сопротивление грунта, Ом·м]]))</f>
        <v/>
      </c>
    </row>
    <row r="510" spans="1:65">
      <c r="A510" s="53"/>
      <c r="B510" s="52"/>
      <c r="C510" s="50"/>
      <c r="D510" s="61" t="str">
        <f t="shared" si="53"/>
        <v/>
      </c>
      <c r="E510" s="61" t="str">
        <f>IFERROR(IF(B510-B509&lt;=0,"",D510/SQRT(Таблица_pr[[#This Row],[Удельное сопротивление грунта, Ом·м]])),D510/SQRT(Таблица_pr[[#This Row],[Удельное сопротивление грунта, Ом·м]]))</f>
        <v/>
      </c>
      <c r="G510" s="188"/>
      <c r="H510" s="184"/>
      <c r="I510" s="182"/>
      <c r="J510" s="181" t="str">
        <f t="shared" si="54"/>
        <v/>
      </c>
      <c r="K510" s="61" t="str">
        <f>IFERROR(IF(H510-H509&lt;=0,"",J510/SQRT(Таблица_pr1[[#This Row],[Удельное сопротивление грунта, Ом·м]])),J510/SQRT(Таблица_pr1[[#This Row],[Удельное сопротивление грунта, Ом·м]]))</f>
        <v/>
      </c>
      <c r="M510" s="53"/>
      <c r="N510" s="52"/>
      <c r="O510" s="50"/>
      <c r="P510" s="61" t="str">
        <f t="shared" si="59"/>
        <v/>
      </c>
      <c r="Q510" s="61" t="str">
        <f>IFERROR(IF(N510-N509&lt;=0,"",P510/SQRT(Таблица_pr2[[#This Row],[Удельное сопротивление грунта, Ом·м]])),P510/SQRT(Таблица_pr2[[#This Row],[Удельное сопротивление грунта, Ом·м]]))</f>
        <v/>
      </c>
      <c r="S510" s="53"/>
      <c r="T510" s="52"/>
      <c r="U510" s="50"/>
      <c r="V510" s="61" t="str">
        <f t="shared" si="55"/>
        <v/>
      </c>
      <c r="W510" s="61" t="str">
        <f>IFERROR(IF(T510-T509&lt;=0,"",V510/SQRT(Таблица_pr3[[#This Row],[Удельное сопротивление грунта, Ом·м]])),V510/SQRT(Таблица_pr3[[#This Row],[Удельное сопротивление грунта, Ом·м]]))</f>
        <v/>
      </c>
      <c r="Y510" s="53"/>
      <c r="Z510" s="52"/>
      <c r="AA510" s="50"/>
      <c r="AB510" s="61" t="str">
        <f t="shared" si="60"/>
        <v/>
      </c>
      <c r="AC510" s="61" t="str">
        <f>IFERROR(IF(Z510-Z509&lt;=0,"",AB510/SQRT(Таблица_pr4[[#This Row],[Удельное сопротивление грунта, Ом·м]])),AB510/SQRT(Таблица_pr4[[#This Row],[Удельное сопротивление грунта, Ом·м]]))</f>
        <v/>
      </c>
      <c r="AE510" s="53"/>
      <c r="AF510" s="52"/>
      <c r="AG510" s="50"/>
      <c r="AH510" s="61" t="str">
        <f t="shared" si="56"/>
        <v/>
      </c>
      <c r="AI510" s="61" t="str">
        <f>IFERROR(IF(AF510-AF509&lt;=0,"",AH510/SQRT(Таблица_pr5[[#This Row],[Удельное сопротивление грунта, Ом·м]])),AH510/SQRT(Таблица_pr5[[#This Row],[Удельное сопротивление грунта, Ом·м]]))</f>
        <v/>
      </c>
      <c r="AK510" s="53"/>
      <c r="AL510" s="52"/>
      <c r="AM510" s="50"/>
      <c r="AN510" s="61" t="str">
        <f t="shared" si="61"/>
        <v/>
      </c>
      <c r="AO510" s="61" t="str">
        <f>IFERROR(IF(AL510-AL509&lt;=0,"",AN510/SQRT(Таблица_pr6[[#This Row],[Удельное сопротивление грунта, Ом·м]])),AN510/SQRT(Таблица_pr6[[#This Row],[Удельное сопротивление грунта, Ом·м]]))</f>
        <v/>
      </c>
      <c r="AQ510" s="53"/>
      <c r="AR510" s="52"/>
      <c r="AS510" s="50"/>
      <c r="AT510" s="61" t="str">
        <f t="shared" si="57"/>
        <v/>
      </c>
      <c r="AU510" s="61" t="str">
        <f>IFERROR(IF(AR510-AR509&lt;=0,"",AT510/SQRT(Таблица_pr7[[#This Row],[Удельное сопротивление грунта, Ом·м]])),AT510/SQRT(Таблица_pr7[[#This Row],[Удельное сопротивление грунта, Ом·м]]))</f>
        <v/>
      </c>
      <c r="AW510" s="53"/>
      <c r="AX510" s="52"/>
      <c r="AY510" s="50"/>
      <c r="AZ510" s="61" t="str">
        <f t="shared" si="62"/>
        <v/>
      </c>
      <c r="BA510" s="61" t="str">
        <f>IFERROR(IF(AX510-AX509&lt;=0,"",AZ510/SQRT(Таблица_pr8[[#This Row],[Удельное сопротивление грунта, Ом·м]])),AZ510/SQRT(Таблица_pr8[[#This Row],[Удельное сопротивление грунта, Ом·м]]))</f>
        <v/>
      </c>
      <c r="BC510" s="53"/>
      <c r="BD510" s="52"/>
      <c r="BE510" s="50"/>
      <c r="BF510" s="61" t="str">
        <f t="shared" si="58"/>
        <v/>
      </c>
      <c r="BG510" s="61" t="str">
        <f>IFERROR(IF(BD510-AX529&lt;=0,"",BF510/SQRT(Таблица_pr9[[#This Row],[Удельное сопротивление грунта, Ом·м]])),BF510/SQRT(Таблица_pr9[[#This Row],[Удельное сопротивление грунта, Ом·м]]))</f>
        <v/>
      </c>
      <c r="BI510" s="53"/>
      <c r="BJ510" s="52"/>
      <c r="BK510" s="50"/>
      <c r="BL510" s="61" t="str">
        <f t="shared" si="63"/>
        <v/>
      </c>
      <c r="BM510" s="61" t="str">
        <f>IFERROR(IF(BJ510-BD539&lt;=0,"",BL510/SQRT(Таблица_pr10[[#This Row],[Удельное сопротивление грунта, Ом·м]])),BL510/SQRT(Таблица_pr10[[#This Row],[Удельное сопротивление грунта, Ом·м]]))</f>
        <v/>
      </c>
    </row>
    <row r="511" spans="1:65">
      <c r="A511" s="51"/>
      <c r="B511" s="52"/>
      <c r="C511" s="50"/>
      <c r="D511" s="61" t="str">
        <f t="shared" si="53"/>
        <v/>
      </c>
      <c r="E511" s="61" t="str">
        <f>IFERROR(IF(B511-B510&lt;=0,"",D511/SQRT(Таблица_pr[[#This Row],[Удельное сопротивление грунта, Ом·м]])),D511/SQRT(Таблица_pr[[#This Row],[Удельное сопротивление грунта, Ом·м]]))</f>
        <v/>
      </c>
      <c r="G511" s="189"/>
      <c r="H511" s="185"/>
      <c r="I511" s="183"/>
      <c r="J511" s="180" t="str">
        <f t="shared" si="54"/>
        <v/>
      </c>
      <c r="K511" s="61" t="str">
        <f>IFERROR(IF(H511-H510&lt;=0,"",J511/SQRT(Таблица_pr1[[#This Row],[Удельное сопротивление грунта, Ом·м]])),J511/SQRT(Таблица_pr1[[#This Row],[Удельное сопротивление грунта, Ом·м]]))</f>
        <v/>
      </c>
      <c r="M511" s="51"/>
      <c r="N511" s="52"/>
      <c r="O511" s="50"/>
      <c r="P511" s="61" t="str">
        <f t="shared" si="59"/>
        <v/>
      </c>
      <c r="Q511" s="61" t="str">
        <f>IFERROR(IF(N511-N510&lt;=0,"",P511/SQRT(Таблица_pr2[[#This Row],[Удельное сопротивление грунта, Ом·м]])),P511/SQRT(Таблица_pr2[[#This Row],[Удельное сопротивление грунта, Ом·м]]))</f>
        <v/>
      </c>
      <c r="S511" s="51"/>
      <c r="T511" s="52"/>
      <c r="U511" s="50"/>
      <c r="V511" s="61" t="str">
        <f t="shared" si="55"/>
        <v/>
      </c>
      <c r="W511" s="61" t="str">
        <f>IFERROR(IF(T511-T510&lt;=0,"",V511/SQRT(Таблица_pr3[[#This Row],[Удельное сопротивление грунта, Ом·м]])),V511/SQRT(Таблица_pr3[[#This Row],[Удельное сопротивление грунта, Ом·м]]))</f>
        <v/>
      </c>
      <c r="Y511" s="51"/>
      <c r="Z511" s="52"/>
      <c r="AA511" s="50"/>
      <c r="AB511" s="61" t="str">
        <f t="shared" si="60"/>
        <v/>
      </c>
      <c r="AC511" s="61" t="str">
        <f>IFERROR(IF(Z511-Z510&lt;=0,"",AB511/SQRT(Таблица_pr4[[#This Row],[Удельное сопротивление грунта, Ом·м]])),AB511/SQRT(Таблица_pr4[[#This Row],[Удельное сопротивление грунта, Ом·м]]))</f>
        <v/>
      </c>
      <c r="AE511" s="51"/>
      <c r="AF511" s="52"/>
      <c r="AG511" s="50"/>
      <c r="AH511" s="61" t="str">
        <f t="shared" si="56"/>
        <v/>
      </c>
      <c r="AI511" s="61" t="str">
        <f>IFERROR(IF(AF511-AF510&lt;=0,"",AH511/SQRT(Таблица_pr5[[#This Row],[Удельное сопротивление грунта, Ом·м]])),AH511/SQRT(Таблица_pr5[[#This Row],[Удельное сопротивление грунта, Ом·м]]))</f>
        <v/>
      </c>
      <c r="AK511" s="51"/>
      <c r="AL511" s="52"/>
      <c r="AM511" s="50"/>
      <c r="AN511" s="61" t="str">
        <f t="shared" si="61"/>
        <v/>
      </c>
      <c r="AO511" s="61" t="str">
        <f>IFERROR(IF(AL511-AL510&lt;=0,"",AN511/SQRT(Таблица_pr6[[#This Row],[Удельное сопротивление грунта, Ом·м]])),AN511/SQRT(Таблица_pr6[[#This Row],[Удельное сопротивление грунта, Ом·м]]))</f>
        <v/>
      </c>
      <c r="AQ511" s="51"/>
      <c r="AR511" s="52"/>
      <c r="AS511" s="50"/>
      <c r="AT511" s="61" t="str">
        <f t="shared" si="57"/>
        <v/>
      </c>
      <c r="AU511" s="61" t="str">
        <f>IFERROR(IF(AR511-AR510&lt;=0,"",AT511/SQRT(Таблица_pr7[[#This Row],[Удельное сопротивление грунта, Ом·м]])),AT511/SQRT(Таблица_pr7[[#This Row],[Удельное сопротивление грунта, Ом·м]]))</f>
        <v/>
      </c>
      <c r="AW511" s="51"/>
      <c r="AX511" s="52"/>
      <c r="AY511" s="50"/>
      <c r="AZ511" s="61" t="str">
        <f t="shared" si="62"/>
        <v/>
      </c>
      <c r="BA511" s="61" t="str">
        <f>IFERROR(IF(AX511-AX510&lt;=0,"",AZ511/SQRT(Таблица_pr8[[#This Row],[Удельное сопротивление грунта, Ом·м]])),AZ511/SQRT(Таблица_pr8[[#This Row],[Удельное сопротивление грунта, Ом·м]]))</f>
        <v/>
      </c>
      <c r="BC511" s="51"/>
      <c r="BD511" s="52"/>
      <c r="BE511" s="50"/>
      <c r="BF511" s="61" t="str">
        <f t="shared" si="58"/>
        <v/>
      </c>
      <c r="BG511" s="61" t="str">
        <f>IFERROR(IF(BD511-AX530&lt;=0,"",BF511/SQRT(Таблица_pr9[[#This Row],[Удельное сопротивление грунта, Ом·м]])),BF511/SQRT(Таблица_pr9[[#This Row],[Удельное сопротивление грунта, Ом·м]]))</f>
        <v/>
      </c>
      <c r="BI511" s="51"/>
      <c r="BJ511" s="52"/>
      <c r="BK511" s="50"/>
      <c r="BL511" s="61" t="str">
        <f t="shared" si="63"/>
        <v/>
      </c>
      <c r="BM511" s="61" t="str">
        <f>IFERROR(IF(BJ511-BD540&lt;=0,"",BL511/SQRT(Таблица_pr10[[#This Row],[Удельное сопротивление грунта, Ом·м]])),BL511/SQRT(Таблица_pr10[[#This Row],[Удельное сопротивление грунта, Ом·м]]))</f>
        <v/>
      </c>
    </row>
    <row r="512" spans="1:65">
      <c r="A512" s="53"/>
      <c r="B512" s="52"/>
      <c r="C512" s="50"/>
      <c r="D512" s="61" t="str">
        <f t="shared" ref="D512:D575" si="64">IFERROR(IF(B512-B511&lt;=0,"",(B512-B511)*1000),100)</f>
        <v/>
      </c>
      <c r="E512" s="61" t="str">
        <f>IFERROR(IF(B512-B511&lt;=0,"",D512/SQRT(Таблица_pr[[#This Row],[Удельное сопротивление грунта, Ом·м]])),D512/SQRT(Таблица_pr[[#This Row],[Удельное сопротивление грунта, Ом·м]]))</f>
        <v/>
      </c>
      <c r="G512" s="188"/>
      <c r="H512" s="184"/>
      <c r="I512" s="182"/>
      <c r="J512" s="181" t="str">
        <f t="shared" ref="J512:J575" si="65">IFERROR(IF(H512-H511&lt;=0,"",(H512-H511)*1000),100)</f>
        <v/>
      </c>
      <c r="K512" s="61" t="str">
        <f>IFERROR(IF(H512-H511&lt;=0,"",J512/SQRT(Таблица_pr1[[#This Row],[Удельное сопротивление грунта, Ом·м]])),J512/SQRT(Таблица_pr1[[#This Row],[Удельное сопротивление грунта, Ом·м]]))</f>
        <v/>
      </c>
      <c r="M512" s="53"/>
      <c r="N512" s="52"/>
      <c r="O512" s="50"/>
      <c r="P512" s="61" t="str">
        <f t="shared" si="59"/>
        <v/>
      </c>
      <c r="Q512" s="61" t="str">
        <f>IFERROR(IF(N512-N511&lt;=0,"",P512/SQRT(Таблица_pr2[[#This Row],[Удельное сопротивление грунта, Ом·м]])),P512/SQRT(Таблица_pr2[[#This Row],[Удельное сопротивление грунта, Ом·м]]))</f>
        <v/>
      </c>
      <c r="S512" s="53"/>
      <c r="T512" s="52"/>
      <c r="U512" s="50"/>
      <c r="V512" s="61" t="str">
        <f t="shared" ref="V512:V575" si="66">IFERROR(IF(T512-T511&lt;=0,"",(T512-T511)*1000),100)</f>
        <v/>
      </c>
      <c r="W512" s="61" t="str">
        <f>IFERROR(IF(T512-T511&lt;=0,"",V512/SQRT(Таблица_pr3[[#This Row],[Удельное сопротивление грунта, Ом·м]])),V512/SQRT(Таблица_pr3[[#This Row],[Удельное сопротивление грунта, Ом·м]]))</f>
        <v/>
      </c>
      <c r="Y512" s="53"/>
      <c r="Z512" s="52"/>
      <c r="AA512" s="50"/>
      <c r="AB512" s="61" t="str">
        <f t="shared" si="60"/>
        <v/>
      </c>
      <c r="AC512" s="61" t="str">
        <f>IFERROR(IF(Z512-Z511&lt;=0,"",AB512/SQRT(Таблица_pr4[[#This Row],[Удельное сопротивление грунта, Ом·м]])),AB512/SQRT(Таблица_pr4[[#This Row],[Удельное сопротивление грунта, Ом·м]]))</f>
        <v/>
      </c>
      <c r="AE512" s="53"/>
      <c r="AF512" s="52"/>
      <c r="AG512" s="50"/>
      <c r="AH512" s="61" t="str">
        <f t="shared" ref="AH512:AH575" si="67">IFERROR(IF(AF512-AF511&lt;=0,"",(AF512-AF511)*1000),100)</f>
        <v/>
      </c>
      <c r="AI512" s="61" t="str">
        <f>IFERROR(IF(AF512-AF511&lt;=0,"",AH512/SQRT(Таблица_pr5[[#This Row],[Удельное сопротивление грунта, Ом·м]])),AH512/SQRT(Таблица_pr5[[#This Row],[Удельное сопротивление грунта, Ом·м]]))</f>
        <v/>
      </c>
      <c r="AK512" s="53"/>
      <c r="AL512" s="52"/>
      <c r="AM512" s="50"/>
      <c r="AN512" s="61" t="str">
        <f t="shared" si="61"/>
        <v/>
      </c>
      <c r="AO512" s="61" t="str">
        <f>IFERROR(IF(AL512-AL511&lt;=0,"",AN512/SQRT(Таблица_pr6[[#This Row],[Удельное сопротивление грунта, Ом·м]])),AN512/SQRT(Таблица_pr6[[#This Row],[Удельное сопротивление грунта, Ом·м]]))</f>
        <v/>
      </c>
      <c r="AQ512" s="53"/>
      <c r="AR512" s="52"/>
      <c r="AS512" s="50"/>
      <c r="AT512" s="61" t="str">
        <f t="shared" ref="AT512:AT575" si="68">IFERROR(IF(AR512-AR511&lt;=0,"",(AR512-AR511)*1000),100)</f>
        <v/>
      </c>
      <c r="AU512" s="61" t="str">
        <f>IFERROR(IF(AR512-AR511&lt;=0,"",AT512/SQRT(Таблица_pr7[[#This Row],[Удельное сопротивление грунта, Ом·м]])),AT512/SQRT(Таблица_pr7[[#This Row],[Удельное сопротивление грунта, Ом·м]]))</f>
        <v/>
      </c>
      <c r="AW512" s="53"/>
      <c r="AX512" s="52"/>
      <c r="AY512" s="50"/>
      <c r="AZ512" s="61" t="str">
        <f t="shared" si="62"/>
        <v/>
      </c>
      <c r="BA512" s="61" t="str">
        <f>IFERROR(IF(AX512-AX511&lt;=0,"",AZ512/SQRT(Таблица_pr8[[#This Row],[Удельное сопротивление грунта, Ом·м]])),AZ512/SQRT(Таблица_pr8[[#This Row],[Удельное сопротивление грунта, Ом·м]]))</f>
        <v/>
      </c>
      <c r="BC512" s="53"/>
      <c r="BD512" s="52"/>
      <c r="BE512" s="50"/>
      <c r="BF512" s="61" t="str">
        <f t="shared" ref="BF512:BF575" si="69">IFERROR(IF(BD512-BD511&lt;=0,"",(BD512-BD511)*1000),100)</f>
        <v/>
      </c>
      <c r="BG512" s="61" t="str">
        <f>IFERROR(IF(BD512-AX531&lt;=0,"",BF512/SQRT(Таблица_pr9[[#This Row],[Удельное сопротивление грунта, Ом·м]])),BF512/SQRT(Таблица_pr9[[#This Row],[Удельное сопротивление грунта, Ом·м]]))</f>
        <v/>
      </c>
      <c r="BI512" s="53"/>
      <c r="BJ512" s="52"/>
      <c r="BK512" s="50"/>
      <c r="BL512" s="61" t="str">
        <f t="shared" si="63"/>
        <v/>
      </c>
      <c r="BM512" s="61" t="str">
        <f>IFERROR(IF(BJ512-BD541&lt;=0,"",BL512/SQRT(Таблица_pr10[[#This Row],[Удельное сопротивление грунта, Ом·м]])),BL512/SQRT(Таблица_pr10[[#This Row],[Удельное сопротивление грунта, Ом·м]]))</f>
        <v/>
      </c>
    </row>
    <row r="513" spans="1:65">
      <c r="A513" s="51"/>
      <c r="B513" s="52"/>
      <c r="C513" s="50"/>
      <c r="D513" s="61" t="str">
        <f t="shared" si="64"/>
        <v/>
      </c>
      <c r="E513" s="61" t="str">
        <f>IFERROR(IF(B513-B512&lt;=0,"",D513/SQRT(Таблица_pr[[#This Row],[Удельное сопротивление грунта, Ом·м]])),D513/SQRT(Таблица_pr[[#This Row],[Удельное сопротивление грунта, Ом·м]]))</f>
        <v/>
      </c>
      <c r="G513" s="189"/>
      <c r="H513" s="185"/>
      <c r="I513" s="183"/>
      <c r="J513" s="180" t="str">
        <f t="shared" si="65"/>
        <v/>
      </c>
      <c r="K513" s="61" t="str">
        <f>IFERROR(IF(H513-H512&lt;=0,"",J513/SQRT(Таблица_pr1[[#This Row],[Удельное сопротивление грунта, Ом·м]])),J513/SQRT(Таблица_pr1[[#This Row],[Удельное сопротивление грунта, Ом·м]]))</f>
        <v/>
      </c>
      <c r="M513" s="51"/>
      <c r="N513" s="52"/>
      <c r="O513" s="50"/>
      <c r="P513" s="61" t="str">
        <f t="shared" si="59"/>
        <v/>
      </c>
      <c r="Q513" s="61" t="str">
        <f>IFERROR(IF(N513-N512&lt;=0,"",P513/SQRT(Таблица_pr2[[#This Row],[Удельное сопротивление грунта, Ом·м]])),P513/SQRT(Таблица_pr2[[#This Row],[Удельное сопротивление грунта, Ом·м]]))</f>
        <v/>
      </c>
      <c r="S513" s="51"/>
      <c r="T513" s="52"/>
      <c r="U513" s="50"/>
      <c r="V513" s="61" t="str">
        <f t="shared" si="66"/>
        <v/>
      </c>
      <c r="W513" s="61" t="str">
        <f>IFERROR(IF(T513-T512&lt;=0,"",V513/SQRT(Таблица_pr3[[#This Row],[Удельное сопротивление грунта, Ом·м]])),V513/SQRT(Таблица_pr3[[#This Row],[Удельное сопротивление грунта, Ом·м]]))</f>
        <v/>
      </c>
      <c r="Y513" s="51"/>
      <c r="Z513" s="52"/>
      <c r="AA513" s="50"/>
      <c r="AB513" s="61" t="str">
        <f t="shared" si="60"/>
        <v/>
      </c>
      <c r="AC513" s="61" t="str">
        <f>IFERROR(IF(Z513-Z512&lt;=0,"",AB513/SQRT(Таблица_pr4[[#This Row],[Удельное сопротивление грунта, Ом·м]])),AB513/SQRT(Таблица_pr4[[#This Row],[Удельное сопротивление грунта, Ом·м]]))</f>
        <v/>
      </c>
      <c r="AE513" s="51"/>
      <c r="AF513" s="52"/>
      <c r="AG513" s="50"/>
      <c r="AH513" s="61" t="str">
        <f t="shared" si="67"/>
        <v/>
      </c>
      <c r="AI513" s="61" t="str">
        <f>IFERROR(IF(AF513-AF512&lt;=0,"",AH513/SQRT(Таблица_pr5[[#This Row],[Удельное сопротивление грунта, Ом·м]])),AH513/SQRT(Таблица_pr5[[#This Row],[Удельное сопротивление грунта, Ом·м]]))</f>
        <v/>
      </c>
      <c r="AK513" s="51"/>
      <c r="AL513" s="52"/>
      <c r="AM513" s="50"/>
      <c r="AN513" s="61" t="str">
        <f t="shared" si="61"/>
        <v/>
      </c>
      <c r="AO513" s="61" t="str">
        <f>IFERROR(IF(AL513-AL512&lt;=0,"",AN513/SQRT(Таблица_pr6[[#This Row],[Удельное сопротивление грунта, Ом·м]])),AN513/SQRT(Таблица_pr6[[#This Row],[Удельное сопротивление грунта, Ом·м]]))</f>
        <v/>
      </c>
      <c r="AQ513" s="51"/>
      <c r="AR513" s="52"/>
      <c r="AS513" s="50"/>
      <c r="AT513" s="61" t="str">
        <f t="shared" si="68"/>
        <v/>
      </c>
      <c r="AU513" s="61" t="str">
        <f>IFERROR(IF(AR513-AR512&lt;=0,"",AT513/SQRT(Таблица_pr7[[#This Row],[Удельное сопротивление грунта, Ом·м]])),AT513/SQRT(Таблица_pr7[[#This Row],[Удельное сопротивление грунта, Ом·м]]))</f>
        <v/>
      </c>
      <c r="AW513" s="51"/>
      <c r="AX513" s="52"/>
      <c r="AY513" s="50"/>
      <c r="AZ513" s="61" t="str">
        <f t="shared" si="62"/>
        <v/>
      </c>
      <c r="BA513" s="61" t="str">
        <f>IFERROR(IF(AX513-AX512&lt;=0,"",AZ513/SQRT(Таблица_pr8[[#This Row],[Удельное сопротивление грунта, Ом·м]])),AZ513/SQRT(Таблица_pr8[[#This Row],[Удельное сопротивление грунта, Ом·м]]))</f>
        <v/>
      </c>
      <c r="BC513" s="51"/>
      <c r="BD513" s="52"/>
      <c r="BE513" s="50"/>
      <c r="BF513" s="61" t="str">
        <f t="shared" si="69"/>
        <v/>
      </c>
      <c r="BG513" s="61" t="str">
        <f>IFERROR(IF(BD513-AX532&lt;=0,"",BF513/SQRT(Таблица_pr9[[#This Row],[Удельное сопротивление грунта, Ом·м]])),BF513/SQRT(Таблица_pr9[[#This Row],[Удельное сопротивление грунта, Ом·м]]))</f>
        <v/>
      </c>
      <c r="BI513" s="51"/>
      <c r="BJ513" s="52"/>
      <c r="BK513" s="50"/>
      <c r="BL513" s="61" t="str">
        <f t="shared" si="63"/>
        <v/>
      </c>
      <c r="BM513" s="61" t="str">
        <f>IFERROR(IF(BJ513-BD542&lt;=0,"",BL513/SQRT(Таблица_pr10[[#This Row],[Удельное сопротивление грунта, Ом·м]])),BL513/SQRT(Таблица_pr10[[#This Row],[Удельное сопротивление грунта, Ом·м]]))</f>
        <v/>
      </c>
    </row>
    <row r="514" spans="1:65">
      <c r="A514" s="53"/>
      <c r="B514" s="52"/>
      <c r="C514" s="50"/>
      <c r="D514" s="61" t="str">
        <f t="shared" si="64"/>
        <v/>
      </c>
      <c r="E514" s="61" t="str">
        <f>IFERROR(IF(B514-B513&lt;=0,"",D514/SQRT(Таблица_pr[[#This Row],[Удельное сопротивление грунта, Ом·м]])),D514/SQRT(Таблица_pr[[#This Row],[Удельное сопротивление грунта, Ом·м]]))</f>
        <v/>
      </c>
      <c r="G514" s="188"/>
      <c r="H514" s="184"/>
      <c r="I514" s="182"/>
      <c r="J514" s="181" t="str">
        <f t="shared" si="65"/>
        <v/>
      </c>
      <c r="K514" s="61" t="str">
        <f>IFERROR(IF(H514-H513&lt;=0,"",J514/SQRT(Таблица_pr1[[#This Row],[Удельное сопротивление грунта, Ом·м]])),J514/SQRT(Таблица_pr1[[#This Row],[Удельное сопротивление грунта, Ом·м]]))</f>
        <v/>
      </c>
      <c r="M514" s="53"/>
      <c r="N514" s="52"/>
      <c r="O514" s="50"/>
      <c r="P514" s="61" t="str">
        <f t="shared" si="59"/>
        <v/>
      </c>
      <c r="Q514" s="61" t="str">
        <f>IFERROR(IF(N514-N513&lt;=0,"",P514/SQRT(Таблица_pr2[[#This Row],[Удельное сопротивление грунта, Ом·м]])),P514/SQRT(Таблица_pr2[[#This Row],[Удельное сопротивление грунта, Ом·м]]))</f>
        <v/>
      </c>
      <c r="S514" s="53"/>
      <c r="T514" s="52"/>
      <c r="U514" s="50"/>
      <c r="V514" s="61" t="str">
        <f t="shared" si="66"/>
        <v/>
      </c>
      <c r="W514" s="61" t="str">
        <f>IFERROR(IF(T514-T513&lt;=0,"",V514/SQRT(Таблица_pr3[[#This Row],[Удельное сопротивление грунта, Ом·м]])),V514/SQRT(Таблица_pr3[[#This Row],[Удельное сопротивление грунта, Ом·м]]))</f>
        <v/>
      </c>
      <c r="Y514" s="53"/>
      <c r="Z514" s="52"/>
      <c r="AA514" s="50"/>
      <c r="AB514" s="61" t="str">
        <f t="shared" si="60"/>
        <v/>
      </c>
      <c r="AC514" s="61" t="str">
        <f>IFERROR(IF(Z514-Z513&lt;=0,"",AB514/SQRT(Таблица_pr4[[#This Row],[Удельное сопротивление грунта, Ом·м]])),AB514/SQRT(Таблица_pr4[[#This Row],[Удельное сопротивление грунта, Ом·м]]))</f>
        <v/>
      </c>
      <c r="AE514" s="53"/>
      <c r="AF514" s="52"/>
      <c r="AG514" s="50"/>
      <c r="AH514" s="61" t="str">
        <f t="shared" si="67"/>
        <v/>
      </c>
      <c r="AI514" s="61" t="str">
        <f>IFERROR(IF(AF514-AF513&lt;=0,"",AH514/SQRT(Таблица_pr5[[#This Row],[Удельное сопротивление грунта, Ом·м]])),AH514/SQRT(Таблица_pr5[[#This Row],[Удельное сопротивление грунта, Ом·м]]))</f>
        <v/>
      </c>
      <c r="AK514" s="53"/>
      <c r="AL514" s="52"/>
      <c r="AM514" s="50"/>
      <c r="AN514" s="61" t="str">
        <f t="shared" si="61"/>
        <v/>
      </c>
      <c r="AO514" s="61" t="str">
        <f>IFERROR(IF(AL514-AL513&lt;=0,"",AN514/SQRT(Таблица_pr6[[#This Row],[Удельное сопротивление грунта, Ом·м]])),AN514/SQRT(Таблица_pr6[[#This Row],[Удельное сопротивление грунта, Ом·м]]))</f>
        <v/>
      </c>
      <c r="AQ514" s="53"/>
      <c r="AR514" s="52"/>
      <c r="AS514" s="50"/>
      <c r="AT514" s="61" t="str">
        <f t="shared" si="68"/>
        <v/>
      </c>
      <c r="AU514" s="61" t="str">
        <f>IFERROR(IF(AR514-AR513&lt;=0,"",AT514/SQRT(Таблица_pr7[[#This Row],[Удельное сопротивление грунта, Ом·м]])),AT514/SQRT(Таблица_pr7[[#This Row],[Удельное сопротивление грунта, Ом·м]]))</f>
        <v/>
      </c>
      <c r="AW514" s="53"/>
      <c r="AX514" s="52"/>
      <c r="AY514" s="50"/>
      <c r="AZ514" s="61" t="str">
        <f t="shared" si="62"/>
        <v/>
      </c>
      <c r="BA514" s="61" t="str">
        <f>IFERROR(IF(AX514-AX513&lt;=0,"",AZ514/SQRT(Таблица_pr8[[#This Row],[Удельное сопротивление грунта, Ом·м]])),AZ514/SQRT(Таблица_pr8[[#This Row],[Удельное сопротивление грунта, Ом·м]]))</f>
        <v/>
      </c>
      <c r="BC514" s="53"/>
      <c r="BD514" s="52"/>
      <c r="BE514" s="50"/>
      <c r="BF514" s="61" t="str">
        <f t="shared" si="69"/>
        <v/>
      </c>
      <c r="BG514" s="61" t="str">
        <f>IFERROR(IF(BD514-AX533&lt;=0,"",BF514/SQRT(Таблица_pr9[[#This Row],[Удельное сопротивление грунта, Ом·м]])),BF514/SQRT(Таблица_pr9[[#This Row],[Удельное сопротивление грунта, Ом·м]]))</f>
        <v/>
      </c>
      <c r="BI514" s="53"/>
      <c r="BJ514" s="52"/>
      <c r="BK514" s="50"/>
      <c r="BL514" s="61" t="str">
        <f t="shared" si="63"/>
        <v/>
      </c>
      <c r="BM514" s="61" t="str">
        <f>IFERROR(IF(BJ514-BD543&lt;=0,"",BL514/SQRT(Таблица_pr10[[#This Row],[Удельное сопротивление грунта, Ом·м]])),BL514/SQRT(Таблица_pr10[[#This Row],[Удельное сопротивление грунта, Ом·м]]))</f>
        <v/>
      </c>
    </row>
    <row r="515" spans="1:65">
      <c r="A515" s="51"/>
      <c r="B515" s="52"/>
      <c r="C515" s="50"/>
      <c r="D515" s="61" t="str">
        <f t="shared" si="64"/>
        <v/>
      </c>
      <c r="E515" s="61" t="str">
        <f>IFERROR(IF(B515-B514&lt;=0,"",D515/SQRT(Таблица_pr[[#This Row],[Удельное сопротивление грунта, Ом·м]])),D515/SQRT(Таблица_pr[[#This Row],[Удельное сопротивление грунта, Ом·м]]))</f>
        <v/>
      </c>
      <c r="G515" s="189"/>
      <c r="H515" s="185"/>
      <c r="I515" s="183"/>
      <c r="J515" s="180" t="str">
        <f t="shared" si="65"/>
        <v/>
      </c>
      <c r="K515" s="61" t="str">
        <f>IFERROR(IF(H515-H514&lt;=0,"",J515/SQRT(Таблица_pr1[[#This Row],[Удельное сопротивление грунта, Ом·м]])),J515/SQRT(Таблица_pr1[[#This Row],[Удельное сопротивление грунта, Ом·м]]))</f>
        <v/>
      </c>
      <c r="M515" s="51"/>
      <c r="N515" s="52"/>
      <c r="O515" s="50"/>
      <c r="P515" s="61" t="str">
        <f t="shared" si="59"/>
        <v/>
      </c>
      <c r="Q515" s="61" t="str">
        <f>IFERROR(IF(N515-N514&lt;=0,"",P515/SQRT(Таблица_pr2[[#This Row],[Удельное сопротивление грунта, Ом·м]])),P515/SQRT(Таблица_pr2[[#This Row],[Удельное сопротивление грунта, Ом·м]]))</f>
        <v/>
      </c>
      <c r="S515" s="51"/>
      <c r="T515" s="52"/>
      <c r="U515" s="50"/>
      <c r="V515" s="61" t="str">
        <f t="shared" si="66"/>
        <v/>
      </c>
      <c r="W515" s="61" t="str">
        <f>IFERROR(IF(T515-T514&lt;=0,"",V515/SQRT(Таблица_pr3[[#This Row],[Удельное сопротивление грунта, Ом·м]])),V515/SQRT(Таблица_pr3[[#This Row],[Удельное сопротивление грунта, Ом·м]]))</f>
        <v/>
      </c>
      <c r="Y515" s="51"/>
      <c r="Z515" s="52"/>
      <c r="AA515" s="50"/>
      <c r="AB515" s="61" t="str">
        <f t="shared" si="60"/>
        <v/>
      </c>
      <c r="AC515" s="61" t="str">
        <f>IFERROR(IF(Z515-Z514&lt;=0,"",AB515/SQRT(Таблица_pr4[[#This Row],[Удельное сопротивление грунта, Ом·м]])),AB515/SQRT(Таблица_pr4[[#This Row],[Удельное сопротивление грунта, Ом·м]]))</f>
        <v/>
      </c>
      <c r="AE515" s="51"/>
      <c r="AF515" s="52"/>
      <c r="AG515" s="50"/>
      <c r="AH515" s="61" t="str">
        <f t="shared" si="67"/>
        <v/>
      </c>
      <c r="AI515" s="61" t="str">
        <f>IFERROR(IF(AF515-AF514&lt;=0,"",AH515/SQRT(Таблица_pr5[[#This Row],[Удельное сопротивление грунта, Ом·м]])),AH515/SQRT(Таблица_pr5[[#This Row],[Удельное сопротивление грунта, Ом·м]]))</f>
        <v/>
      </c>
      <c r="AK515" s="51"/>
      <c r="AL515" s="52"/>
      <c r="AM515" s="50"/>
      <c r="AN515" s="61" t="str">
        <f t="shared" si="61"/>
        <v/>
      </c>
      <c r="AO515" s="61" t="str">
        <f>IFERROR(IF(AL515-AL514&lt;=0,"",AN515/SQRT(Таблица_pr6[[#This Row],[Удельное сопротивление грунта, Ом·м]])),AN515/SQRT(Таблица_pr6[[#This Row],[Удельное сопротивление грунта, Ом·м]]))</f>
        <v/>
      </c>
      <c r="AQ515" s="51"/>
      <c r="AR515" s="52"/>
      <c r="AS515" s="50"/>
      <c r="AT515" s="61" t="str">
        <f t="shared" si="68"/>
        <v/>
      </c>
      <c r="AU515" s="61" t="str">
        <f>IFERROR(IF(AR515-AR514&lt;=0,"",AT515/SQRT(Таблица_pr7[[#This Row],[Удельное сопротивление грунта, Ом·м]])),AT515/SQRT(Таблица_pr7[[#This Row],[Удельное сопротивление грунта, Ом·м]]))</f>
        <v/>
      </c>
      <c r="AW515" s="51"/>
      <c r="AX515" s="52"/>
      <c r="AY515" s="50"/>
      <c r="AZ515" s="61" t="str">
        <f t="shared" si="62"/>
        <v/>
      </c>
      <c r="BA515" s="61" t="str">
        <f>IFERROR(IF(AX515-AX514&lt;=0,"",AZ515/SQRT(Таблица_pr8[[#This Row],[Удельное сопротивление грунта, Ом·м]])),AZ515/SQRT(Таблица_pr8[[#This Row],[Удельное сопротивление грунта, Ом·м]]))</f>
        <v/>
      </c>
      <c r="BC515" s="51"/>
      <c r="BD515" s="52"/>
      <c r="BE515" s="50"/>
      <c r="BF515" s="61" t="str">
        <f t="shared" si="69"/>
        <v/>
      </c>
      <c r="BG515" s="61" t="str">
        <f>IFERROR(IF(BD515-AX534&lt;=0,"",BF515/SQRT(Таблица_pr9[[#This Row],[Удельное сопротивление грунта, Ом·м]])),BF515/SQRT(Таблица_pr9[[#This Row],[Удельное сопротивление грунта, Ом·м]]))</f>
        <v/>
      </c>
      <c r="BI515" s="51"/>
      <c r="BJ515" s="52"/>
      <c r="BK515" s="50"/>
      <c r="BL515" s="61" t="str">
        <f t="shared" si="63"/>
        <v/>
      </c>
      <c r="BM515" s="61" t="str">
        <f>IFERROR(IF(BJ515-BD544&lt;=0,"",BL515/SQRT(Таблица_pr10[[#This Row],[Удельное сопротивление грунта, Ом·м]])),BL515/SQRT(Таблица_pr10[[#This Row],[Удельное сопротивление грунта, Ом·м]]))</f>
        <v/>
      </c>
    </row>
    <row r="516" spans="1:65">
      <c r="A516" s="53"/>
      <c r="B516" s="52"/>
      <c r="C516" s="50"/>
      <c r="D516" s="61" t="str">
        <f t="shared" si="64"/>
        <v/>
      </c>
      <c r="E516" s="61" t="str">
        <f>IFERROR(IF(B516-B515&lt;=0,"",D516/SQRT(Таблица_pr[[#This Row],[Удельное сопротивление грунта, Ом·м]])),D516/SQRT(Таблица_pr[[#This Row],[Удельное сопротивление грунта, Ом·м]]))</f>
        <v/>
      </c>
      <c r="G516" s="188"/>
      <c r="H516" s="184"/>
      <c r="I516" s="182"/>
      <c r="J516" s="181" t="str">
        <f t="shared" si="65"/>
        <v/>
      </c>
      <c r="K516" s="61" t="str">
        <f>IFERROR(IF(H516-H515&lt;=0,"",J516/SQRT(Таблица_pr1[[#This Row],[Удельное сопротивление грунта, Ом·м]])),J516/SQRT(Таблица_pr1[[#This Row],[Удельное сопротивление грунта, Ом·м]]))</f>
        <v/>
      </c>
      <c r="M516" s="53"/>
      <c r="N516" s="52"/>
      <c r="O516" s="50"/>
      <c r="P516" s="61" t="str">
        <f t="shared" si="59"/>
        <v/>
      </c>
      <c r="Q516" s="61" t="str">
        <f>IFERROR(IF(N516-N515&lt;=0,"",P516/SQRT(Таблица_pr2[[#This Row],[Удельное сопротивление грунта, Ом·м]])),P516/SQRT(Таблица_pr2[[#This Row],[Удельное сопротивление грунта, Ом·м]]))</f>
        <v/>
      </c>
      <c r="S516" s="53"/>
      <c r="T516" s="52"/>
      <c r="U516" s="50"/>
      <c r="V516" s="61" t="str">
        <f t="shared" si="66"/>
        <v/>
      </c>
      <c r="W516" s="61" t="str">
        <f>IFERROR(IF(T516-T515&lt;=0,"",V516/SQRT(Таблица_pr3[[#This Row],[Удельное сопротивление грунта, Ом·м]])),V516/SQRT(Таблица_pr3[[#This Row],[Удельное сопротивление грунта, Ом·м]]))</f>
        <v/>
      </c>
      <c r="Y516" s="53"/>
      <c r="Z516" s="52"/>
      <c r="AA516" s="50"/>
      <c r="AB516" s="61" t="str">
        <f t="shared" si="60"/>
        <v/>
      </c>
      <c r="AC516" s="61" t="str">
        <f>IFERROR(IF(Z516-Z515&lt;=0,"",AB516/SQRT(Таблица_pr4[[#This Row],[Удельное сопротивление грунта, Ом·м]])),AB516/SQRT(Таблица_pr4[[#This Row],[Удельное сопротивление грунта, Ом·м]]))</f>
        <v/>
      </c>
      <c r="AE516" s="53"/>
      <c r="AF516" s="52"/>
      <c r="AG516" s="50"/>
      <c r="AH516" s="61" t="str">
        <f t="shared" si="67"/>
        <v/>
      </c>
      <c r="AI516" s="61" t="str">
        <f>IFERROR(IF(AF516-AF515&lt;=0,"",AH516/SQRT(Таблица_pr5[[#This Row],[Удельное сопротивление грунта, Ом·м]])),AH516/SQRT(Таблица_pr5[[#This Row],[Удельное сопротивление грунта, Ом·м]]))</f>
        <v/>
      </c>
      <c r="AK516" s="53"/>
      <c r="AL516" s="52"/>
      <c r="AM516" s="50"/>
      <c r="AN516" s="61" t="str">
        <f t="shared" si="61"/>
        <v/>
      </c>
      <c r="AO516" s="61" t="str">
        <f>IFERROR(IF(AL516-AL515&lt;=0,"",AN516/SQRT(Таблица_pr6[[#This Row],[Удельное сопротивление грунта, Ом·м]])),AN516/SQRT(Таблица_pr6[[#This Row],[Удельное сопротивление грунта, Ом·м]]))</f>
        <v/>
      </c>
      <c r="AQ516" s="53"/>
      <c r="AR516" s="52"/>
      <c r="AS516" s="50"/>
      <c r="AT516" s="61" t="str">
        <f t="shared" si="68"/>
        <v/>
      </c>
      <c r="AU516" s="61" t="str">
        <f>IFERROR(IF(AR516-AR515&lt;=0,"",AT516/SQRT(Таблица_pr7[[#This Row],[Удельное сопротивление грунта, Ом·м]])),AT516/SQRT(Таблица_pr7[[#This Row],[Удельное сопротивление грунта, Ом·м]]))</f>
        <v/>
      </c>
      <c r="AW516" s="53"/>
      <c r="AX516" s="52"/>
      <c r="AY516" s="50"/>
      <c r="AZ516" s="61" t="str">
        <f t="shared" si="62"/>
        <v/>
      </c>
      <c r="BA516" s="61" t="str">
        <f>IFERROR(IF(AX516-AX515&lt;=0,"",AZ516/SQRT(Таблица_pr8[[#This Row],[Удельное сопротивление грунта, Ом·м]])),AZ516/SQRT(Таблица_pr8[[#This Row],[Удельное сопротивление грунта, Ом·м]]))</f>
        <v/>
      </c>
      <c r="BC516" s="53"/>
      <c r="BD516" s="52"/>
      <c r="BE516" s="50"/>
      <c r="BF516" s="61" t="str">
        <f t="shared" si="69"/>
        <v/>
      </c>
      <c r="BG516" s="61" t="str">
        <f>IFERROR(IF(BD516-AX535&lt;=0,"",BF516/SQRT(Таблица_pr9[[#This Row],[Удельное сопротивление грунта, Ом·м]])),BF516/SQRT(Таблица_pr9[[#This Row],[Удельное сопротивление грунта, Ом·м]]))</f>
        <v/>
      </c>
      <c r="BI516" s="53"/>
      <c r="BJ516" s="52"/>
      <c r="BK516" s="50"/>
      <c r="BL516" s="61" t="str">
        <f t="shared" si="63"/>
        <v/>
      </c>
      <c r="BM516" s="61" t="str">
        <f>IFERROR(IF(BJ516-BD545&lt;=0,"",BL516/SQRT(Таблица_pr10[[#This Row],[Удельное сопротивление грунта, Ом·м]])),BL516/SQRT(Таблица_pr10[[#This Row],[Удельное сопротивление грунта, Ом·м]]))</f>
        <v/>
      </c>
    </row>
    <row r="517" spans="1:65">
      <c r="A517" s="51"/>
      <c r="B517" s="52"/>
      <c r="C517" s="50"/>
      <c r="D517" s="61" t="str">
        <f t="shared" si="64"/>
        <v/>
      </c>
      <c r="E517" s="61" t="str">
        <f>IFERROR(IF(B517-B516&lt;=0,"",D517/SQRT(Таблица_pr[[#This Row],[Удельное сопротивление грунта, Ом·м]])),D517/SQRT(Таблица_pr[[#This Row],[Удельное сопротивление грунта, Ом·м]]))</f>
        <v/>
      </c>
      <c r="G517" s="189"/>
      <c r="H517" s="185"/>
      <c r="I517" s="183"/>
      <c r="J517" s="180" t="str">
        <f t="shared" si="65"/>
        <v/>
      </c>
      <c r="K517" s="61" t="str">
        <f>IFERROR(IF(H517-H516&lt;=0,"",J517/SQRT(Таблица_pr1[[#This Row],[Удельное сопротивление грунта, Ом·м]])),J517/SQRT(Таблица_pr1[[#This Row],[Удельное сопротивление грунта, Ом·м]]))</f>
        <v/>
      </c>
      <c r="M517" s="51"/>
      <c r="N517" s="52"/>
      <c r="O517" s="50"/>
      <c r="P517" s="61" t="str">
        <f t="shared" si="59"/>
        <v/>
      </c>
      <c r="Q517" s="61" t="str">
        <f>IFERROR(IF(N517-N516&lt;=0,"",P517/SQRT(Таблица_pr2[[#This Row],[Удельное сопротивление грунта, Ом·м]])),P517/SQRT(Таблица_pr2[[#This Row],[Удельное сопротивление грунта, Ом·м]]))</f>
        <v/>
      </c>
      <c r="S517" s="51"/>
      <c r="T517" s="52"/>
      <c r="U517" s="50"/>
      <c r="V517" s="61" t="str">
        <f t="shared" si="66"/>
        <v/>
      </c>
      <c r="W517" s="61" t="str">
        <f>IFERROR(IF(T517-T516&lt;=0,"",V517/SQRT(Таблица_pr3[[#This Row],[Удельное сопротивление грунта, Ом·м]])),V517/SQRT(Таблица_pr3[[#This Row],[Удельное сопротивление грунта, Ом·м]]))</f>
        <v/>
      </c>
      <c r="Y517" s="51"/>
      <c r="Z517" s="52"/>
      <c r="AA517" s="50"/>
      <c r="AB517" s="61" t="str">
        <f t="shared" si="60"/>
        <v/>
      </c>
      <c r="AC517" s="61" t="str">
        <f>IFERROR(IF(Z517-Z516&lt;=0,"",AB517/SQRT(Таблица_pr4[[#This Row],[Удельное сопротивление грунта, Ом·м]])),AB517/SQRT(Таблица_pr4[[#This Row],[Удельное сопротивление грунта, Ом·м]]))</f>
        <v/>
      </c>
      <c r="AE517" s="51"/>
      <c r="AF517" s="52"/>
      <c r="AG517" s="50"/>
      <c r="AH517" s="61" t="str">
        <f t="shared" si="67"/>
        <v/>
      </c>
      <c r="AI517" s="61" t="str">
        <f>IFERROR(IF(AF517-AF516&lt;=0,"",AH517/SQRT(Таблица_pr5[[#This Row],[Удельное сопротивление грунта, Ом·м]])),AH517/SQRT(Таблица_pr5[[#This Row],[Удельное сопротивление грунта, Ом·м]]))</f>
        <v/>
      </c>
      <c r="AK517" s="51"/>
      <c r="AL517" s="52"/>
      <c r="AM517" s="50"/>
      <c r="AN517" s="61" t="str">
        <f t="shared" si="61"/>
        <v/>
      </c>
      <c r="AO517" s="61" t="str">
        <f>IFERROR(IF(AL517-AL516&lt;=0,"",AN517/SQRT(Таблица_pr6[[#This Row],[Удельное сопротивление грунта, Ом·м]])),AN517/SQRT(Таблица_pr6[[#This Row],[Удельное сопротивление грунта, Ом·м]]))</f>
        <v/>
      </c>
      <c r="AQ517" s="51"/>
      <c r="AR517" s="52"/>
      <c r="AS517" s="50"/>
      <c r="AT517" s="61" t="str">
        <f t="shared" si="68"/>
        <v/>
      </c>
      <c r="AU517" s="61" t="str">
        <f>IFERROR(IF(AR517-AR516&lt;=0,"",AT517/SQRT(Таблица_pr7[[#This Row],[Удельное сопротивление грунта, Ом·м]])),AT517/SQRT(Таблица_pr7[[#This Row],[Удельное сопротивление грунта, Ом·м]]))</f>
        <v/>
      </c>
      <c r="AW517" s="51"/>
      <c r="AX517" s="52"/>
      <c r="AY517" s="50"/>
      <c r="AZ517" s="61" t="str">
        <f t="shared" si="62"/>
        <v/>
      </c>
      <c r="BA517" s="61" t="str">
        <f>IFERROR(IF(AX517-AX516&lt;=0,"",AZ517/SQRT(Таблица_pr8[[#This Row],[Удельное сопротивление грунта, Ом·м]])),AZ517/SQRT(Таблица_pr8[[#This Row],[Удельное сопротивление грунта, Ом·м]]))</f>
        <v/>
      </c>
      <c r="BC517" s="51"/>
      <c r="BD517" s="52"/>
      <c r="BE517" s="50"/>
      <c r="BF517" s="61" t="str">
        <f t="shared" si="69"/>
        <v/>
      </c>
      <c r="BG517" s="61" t="str">
        <f>IFERROR(IF(BD517-AX536&lt;=0,"",BF517/SQRT(Таблица_pr9[[#This Row],[Удельное сопротивление грунта, Ом·м]])),BF517/SQRT(Таблица_pr9[[#This Row],[Удельное сопротивление грунта, Ом·м]]))</f>
        <v/>
      </c>
      <c r="BI517" s="51"/>
      <c r="BJ517" s="52"/>
      <c r="BK517" s="50"/>
      <c r="BL517" s="61" t="str">
        <f t="shared" si="63"/>
        <v/>
      </c>
      <c r="BM517" s="61" t="str">
        <f>IFERROR(IF(BJ517-BD546&lt;=0,"",BL517/SQRT(Таблица_pr10[[#This Row],[Удельное сопротивление грунта, Ом·м]])),BL517/SQRT(Таблица_pr10[[#This Row],[Удельное сопротивление грунта, Ом·м]]))</f>
        <v/>
      </c>
    </row>
    <row r="518" spans="1:65">
      <c r="A518" s="53"/>
      <c r="B518" s="52"/>
      <c r="C518" s="50"/>
      <c r="D518" s="61" t="str">
        <f t="shared" si="64"/>
        <v/>
      </c>
      <c r="E518" s="61" t="str">
        <f>IFERROR(IF(B518-B517&lt;=0,"",D518/SQRT(Таблица_pr[[#This Row],[Удельное сопротивление грунта, Ом·м]])),D518/SQRT(Таблица_pr[[#This Row],[Удельное сопротивление грунта, Ом·м]]))</f>
        <v/>
      </c>
      <c r="G518" s="188"/>
      <c r="H518" s="184"/>
      <c r="I518" s="182"/>
      <c r="J518" s="181" t="str">
        <f t="shared" si="65"/>
        <v/>
      </c>
      <c r="K518" s="61" t="str">
        <f>IFERROR(IF(H518-H517&lt;=0,"",J518/SQRT(Таблица_pr1[[#This Row],[Удельное сопротивление грунта, Ом·м]])),J518/SQRT(Таблица_pr1[[#This Row],[Удельное сопротивление грунта, Ом·м]]))</f>
        <v/>
      </c>
      <c r="M518" s="53"/>
      <c r="N518" s="52"/>
      <c r="O518" s="50"/>
      <c r="P518" s="61" t="str">
        <f t="shared" ref="P518:P581" si="70">IFERROR(IF(N518-N517&lt;=0,"",(N518-N517)*1000),100)</f>
        <v/>
      </c>
      <c r="Q518" s="61" t="str">
        <f>IFERROR(IF(N518-N517&lt;=0,"",P518/SQRT(Таблица_pr2[[#This Row],[Удельное сопротивление грунта, Ом·м]])),P518/SQRT(Таблица_pr2[[#This Row],[Удельное сопротивление грунта, Ом·м]]))</f>
        <v/>
      </c>
      <c r="S518" s="53"/>
      <c r="T518" s="52"/>
      <c r="U518" s="50"/>
      <c r="V518" s="61" t="str">
        <f t="shared" si="66"/>
        <v/>
      </c>
      <c r="W518" s="61" t="str">
        <f>IFERROR(IF(T518-T517&lt;=0,"",V518/SQRT(Таблица_pr3[[#This Row],[Удельное сопротивление грунта, Ом·м]])),V518/SQRT(Таблица_pr3[[#This Row],[Удельное сопротивление грунта, Ом·м]]))</f>
        <v/>
      </c>
      <c r="Y518" s="53"/>
      <c r="Z518" s="52"/>
      <c r="AA518" s="50"/>
      <c r="AB518" s="61" t="str">
        <f t="shared" si="60"/>
        <v/>
      </c>
      <c r="AC518" s="61" t="str">
        <f>IFERROR(IF(Z518-Z517&lt;=0,"",AB518/SQRT(Таблица_pr4[[#This Row],[Удельное сопротивление грунта, Ом·м]])),AB518/SQRT(Таблица_pr4[[#This Row],[Удельное сопротивление грунта, Ом·м]]))</f>
        <v/>
      </c>
      <c r="AE518" s="53"/>
      <c r="AF518" s="52"/>
      <c r="AG518" s="50"/>
      <c r="AH518" s="61" t="str">
        <f t="shared" si="67"/>
        <v/>
      </c>
      <c r="AI518" s="61" t="str">
        <f>IFERROR(IF(AF518-AF517&lt;=0,"",AH518/SQRT(Таблица_pr5[[#This Row],[Удельное сопротивление грунта, Ом·м]])),AH518/SQRT(Таблица_pr5[[#This Row],[Удельное сопротивление грунта, Ом·м]]))</f>
        <v/>
      </c>
      <c r="AK518" s="53"/>
      <c r="AL518" s="52"/>
      <c r="AM518" s="50"/>
      <c r="AN518" s="61" t="str">
        <f t="shared" si="61"/>
        <v/>
      </c>
      <c r="AO518" s="61" t="str">
        <f>IFERROR(IF(AL518-AL517&lt;=0,"",AN518/SQRT(Таблица_pr6[[#This Row],[Удельное сопротивление грунта, Ом·м]])),AN518/SQRT(Таблица_pr6[[#This Row],[Удельное сопротивление грунта, Ом·м]]))</f>
        <v/>
      </c>
      <c r="AQ518" s="53"/>
      <c r="AR518" s="52"/>
      <c r="AS518" s="50"/>
      <c r="AT518" s="61" t="str">
        <f t="shared" si="68"/>
        <v/>
      </c>
      <c r="AU518" s="61" t="str">
        <f>IFERROR(IF(AR518-AR517&lt;=0,"",AT518/SQRT(Таблица_pr7[[#This Row],[Удельное сопротивление грунта, Ом·м]])),AT518/SQRT(Таблица_pr7[[#This Row],[Удельное сопротивление грунта, Ом·м]]))</f>
        <v/>
      </c>
      <c r="AW518" s="53"/>
      <c r="AX518" s="52"/>
      <c r="AY518" s="50"/>
      <c r="AZ518" s="61" t="str">
        <f t="shared" si="62"/>
        <v/>
      </c>
      <c r="BA518" s="61" t="str">
        <f>IFERROR(IF(AX518-AX517&lt;=0,"",AZ518/SQRT(Таблица_pr8[[#This Row],[Удельное сопротивление грунта, Ом·м]])),AZ518/SQRT(Таблица_pr8[[#This Row],[Удельное сопротивление грунта, Ом·м]]))</f>
        <v/>
      </c>
      <c r="BC518" s="53"/>
      <c r="BD518" s="52"/>
      <c r="BE518" s="50"/>
      <c r="BF518" s="61" t="str">
        <f t="shared" si="69"/>
        <v/>
      </c>
      <c r="BG518" s="61" t="str">
        <f>IFERROR(IF(BD518-AX537&lt;=0,"",BF518/SQRT(Таблица_pr9[[#This Row],[Удельное сопротивление грунта, Ом·м]])),BF518/SQRT(Таблица_pr9[[#This Row],[Удельное сопротивление грунта, Ом·м]]))</f>
        <v/>
      </c>
      <c r="BI518" s="53"/>
      <c r="BJ518" s="52"/>
      <c r="BK518" s="50"/>
      <c r="BL518" s="61" t="str">
        <f t="shared" si="63"/>
        <v/>
      </c>
      <c r="BM518" s="61" t="str">
        <f>IFERROR(IF(BJ518-BD547&lt;=0,"",BL518/SQRT(Таблица_pr10[[#This Row],[Удельное сопротивление грунта, Ом·м]])),BL518/SQRT(Таблица_pr10[[#This Row],[Удельное сопротивление грунта, Ом·м]]))</f>
        <v/>
      </c>
    </row>
    <row r="519" spans="1:65">
      <c r="A519" s="51"/>
      <c r="B519" s="52"/>
      <c r="C519" s="50"/>
      <c r="D519" s="61" t="str">
        <f t="shared" si="64"/>
        <v/>
      </c>
      <c r="E519" s="61" t="str">
        <f>IFERROR(IF(B519-B518&lt;=0,"",D519/SQRT(Таблица_pr[[#This Row],[Удельное сопротивление грунта, Ом·м]])),D519/SQRT(Таблица_pr[[#This Row],[Удельное сопротивление грунта, Ом·м]]))</f>
        <v/>
      </c>
      <c r="G519" s="189"/>
      <c r="H519" s="185"/>
      <c r="I519" s="183"/>
      <c r="J519" s="180" t="str">
        <f t="shared" si="65"/>
        <v/>
      </c>
      <c r="K519" s="61" t="str">
        <f>IFERROR(IF(H519-H518&lt;=0,"",J519/SQRT(Таблица_pr1[[#This Row],[Удельное сопротивление грунта, Ом·м]])),J519/SQRT(Таблица_pr1[[#This Row],[Удельное сопротивление грунта, Ом·м]]))</f>
        <v/>
      </c>
      <c r="M519" s="51"/>
      <c r="N519" s="52"/>
      <c r="O519" s="50"/>
      <c r="P519" s="61" t="str">
        <f t="shared" si="70"/>
        <v/>
      </c>
      <c r="Q519" s="61" t="str">
        <f>IFERROR(IF(N519-N518&lt;=0,"",P519/SQRT(Таблица_pr2[[#This Row],[Удельное сопротивление грунта, Ом·м]])),P519/SQRT(Таблица_pr2[[#This Row],[Удельное сопротивление грунта, Ом·м]]))</f>
        <v/>
      </c>
      <c r="S519" s="51"/>
      <c r="T519" s="52"/>
      <c r="U519" s="50"/>
      <c r="V519" s="61" t="str">
        <f t="shared" si="66"/>
        <v/>
      </c>
      <c r="W519" s="61" t="str">
        <f>IFERROR(IF(T519-T518&lt;=0,"",V519/SQRT(Таблица_pr3[[#This Row],[Удельное сопротивление грунта, Ом·м]])),V519/SQRT(Таблица_pr3[[#This Row],[Удельное сопротивление грунта, Ом·м]]))</f>
        <v/>
      </c>
      <c r="Y519" s="51"/>
      <c r="Z519" s="52"/>
      <c r="AA519" s="50"/>
      <c r="AB519" s="61" t="str">
        <f t="shared" ref="AB519:AB582" si="71">IFERROR(IF(Z519-Z518&lt;=0,"",(Z519-Z518)*1000),100)</f>
        <v/>
      </c>
      <c r="AC519" s="61" t="str">
        <f>IFERROR(IF(Z519-Z518&lt;=0,"",AB519/SQRT(Таблица_pr4[[#This Row],[Удельное сопротивление грунта, Ом·м]])),AB519/SQRT(Таблица_pr4[[#This Row],[Удельное сопротивление грунта, Ом·м]]))</f>
        <v/>
      </c>
      <c r="AE519" s="51"/>
      <c r="AF519" s="52"/>
      <c r="AG519" s="50"/>
      <c r="AH519" s="61" t="str">
        <f t="shared" si="67"/>
        <v/>
      </c>
      <c r="AI519" s="61" t="str">
        <f>IFERROR(IF(AF519-AF518&lt;=0,"",AH519/SQRT(Таблица_pr5[[#This Row],[Удельное сопротивление грунта, Ом·м]])),AH519/SQRT(Таблица_pr5[[#This Row],[Удельное сопротивление грунта, Ом·м]]))</f>
        <v/>
      </c>
      <c r="AK519" s="51"/>
      <c r="AL519" s="52"/>
      <c r="AM519" s="50"/>
      <c r="AN519" s="61" t="str">
        <f t="shared" ref="AN519:AN582" si="72">IFERROR(IF(AL519-AL518&lt;=0,"",(AL519-AL518)*1000),100)</f>
        <v/>
      </c>
      <c r="AO519" s="61" t="str">
        <f>IFERROR(IF(AL519-AL518&lt;=0,"",AN519/SQRT(Таблица_pr6[[#This Row],[Удельное сопротивление грунта, Ом·м]])),AN519/SQRT(Таблица_pr6[[#This Row],[Удельное сопротивление грунта, Ом·м]]))</f>
        <v/>
      </c>
      <c r="AQ519" s="51"/>
      <c r="AR519" s="52"/>
      <c r="AS519" s="50"/>
      <c r="AT519" s="61" t="str">
        <f t="shared" si="68"/>
        <v/>
      </c>
      <c r="AU519" s="61" t="str">
        <f>IFERROR(IF(AR519-AR518&lt;=0,"",AT519/SQRT(Таблица_pr7[[#This Row],[Удельное сопротивление грунта, Ом·м]])),AT519/SQRT(Таблица_pr7[[#This Row],[Удельное сопротивление грунта, Ом·м]]))</f>
        <v/>
      </c>
      <c r="AW519" s="51"/>
      <c r="AX519" s="52"/>
      <c r="AY519" s="50"/>
      <c r="AZ519" s="61" t="str">
        <f t="shared" ref="AZ519:AZ582" si="73">IFERROR(IF(AX519-AX518&lt;=0,"",(AX519-AX518)*1000),100)</f>
        <v/>
      </c>
      <c r="BA519" s="61" t="str">
        <f>IFERROR(IF(AX519-AX518&lt;=0,"",AZ519/SQRT(Таблица_pr8[[#This Row],[Удельное сопротивление грунта, Ом·м]])),AZ519/SQRT(Таблица_pr8[[#This Row],[Удельное сопротивление грунта, Ом·м]]))</f>
        <v/>
      </c>
      <c r="BC519" s="51"/>
      <c r="BD519" s="52"/>
      <c r="BE519" s="50"/>
      <c r="BF519" s="61" t="str">
        <f t="shared" si="69"/>
        <v/>
      </c>
      <c r="BG519" s="61" t="str">
        <f>IFERROR(IF(BD519-AX538&lt;=0,"",BF519/SQRT(Таблица_pr9[[#This Row],[Удельное сопротивление грунта, Ом·м]])),BF519/SQRT(Таблица_pr9[[#This Row],[Удельное сопротивление грунта, Ом·м]]))</f>
        <v/>
      </c>
      <c r="BI519" s="51"/>
      <c r="BJ519" s="52"/>
      <c r="BK519" s="50"/>
      <c r="BL519" s="61" t="str">
        <f t="shared" ref="BL519:BL582" si="74">IFERROR(IF(BJ519-BJ518&lt;=0,"",(BJ519-BJ518)*1000),100)</f>
        <v/>
      </c>
      <c r="BM519" s="61" t="str">
        <f>IFERROR(IF(BJ519-BD548&lt;=0,"",BL519/SQRT(Таблица_pr10[[#This Row],[Удельное сопротивление грунта, Ом·м]])),BL519/SQRT(Таблица_pr10[[#This Row],[Удельное сопротивление грунта, Ом·м]]))</f>
        <v/>
      </c>
    </row>
    <row r="520" spans="1:65">
      <c r="A520" s="53"/>
      <c r="B520" s="52"/>
      <c r="C520" s="50"/>
      <c r="D520" s="61" t="str">
        <f t="shared" si="64"/>
        <v/>
      </c>
      <c r="E520" s="61" t="str">
        <f>IFERROR(IF(B520-B519&lt;=0,"",D520/SQRT(Таблица_pr[[#This Row],[Удельное сопротивление грунта, Ом·м]])),D520/SQRT(Таблица_pr[[#This Row],[Удельное сопротивление грунта, Ом·м]]))</f>
        <v/>
      </c>
      <c r="G520" s="188"/>
      <c r="H520" s="184"/>
      <c r="I520" s="182"/>
      <c r="J520" s="181" t="str">
        <f t="shared" si="65"/>
        <v/>
      </c>
      <c r="K520" s="61" t="str">
        <f>IFERROR(IF(H520-H519&lt;=0,"",J520/SQRT(Таблица_pr1[[#This Row],[Удельное сопротивление грунта, Ом·м]])),J520/SQRT(Таблица_pr1[[#This Row],[Удельное сопротивление грунта, Ом·м]]))</f>
        <v/>
      </c>
      <c r="M520" s="53"/>
      <c r="N520" s="52"/>
      <c r="O520" s="50"/>
      <c r="P520" s="61" t="str">
        <f t="shared" si="70"/>
        <v/>
      </c>
      <c r="Q520" s="61" t="str">
        <f>IFERROR(IF(N520-N519&lt;=0,"",P520/SQRT(Таблица_pr2[[#This Row],[Удельное сопротивление грунта, Ом·м]])),P520/SQRT(Таблица_pr2[[#This Row],[Удельное сопротивление грунта, Ом·м]]))</f>
        <v/>
      </c>
      <c r="S520" s="53"/>
      <c r="T520" s="52"/>
      <c r="U520" s="50"/>
      <c r="V520" s="61" t="str">
        <f t="shared" si="66"/>
        <v/>
      </c>
      <c r="W520" s="61" t="str">
        <f>IFERROR(IF(T520-T519&lt;=0,"",V520/SQRT(Таблица_pr3[[#This Row],[Удельное сопротивление грунта, Ом·м]])),V520/SQRT(Таблица_pr3[[#This Row],[Удельное сопротивление грунта, Ом·м]]))</f>
        <v/>
      </c>
      <c r="Y520" s="53"/>
      <c r="Z520" s="52"/>
      <c r="AA520" s="50"/>
      <c r="AB520" s="61" t="str">
        <f t="shared" si="71"/>
        <v/>
      </c>
      <c r="AC520" s="61" t="str">
        <f>IFERROR(IF(Z520-Z519&lt;=0,"",AB520/SQRT(Таблица_pr4[[#This Row],[Удельное сопротивление грунта, Ом·м]])),AB520/SQRT(Таблица_pr4[[#This Row],[Удельное сопротивление грунта, Ом·м]]))</f>
        <v/>
      </c>
      <c r="AE520" s="53"/>
      <c r="AF520" s="52"/>
      <c r="AG520" s="50"/>
      <c r="AH520" s="61" t="str">
        <f t="shared" si="67"/>
        <v/>
      </c>
      <c r="AI520" s="61" t="str">
        <f>IFERROR(IF(AF520-AF519&lt;=0,"",AH520/SQRT(Таблица_pr5[[#This Row],[Удельное сопротивление грунта, Ом·м]])),AH520/SQRT(Таблица_pr5[[#This Row],[Удельное сопротивление грунта, Ом·м]]))</f>
        <v/>
      </c>
      <c r="AK520" s="53"/>
      <c r="AL520" s="52"/>
      <c r="AM520" s="50"/>
      <c r="AN520" s="61" t="str">
        <f t="shared" si="72"/>
        <v/>
      </c>
      <c r="AO520" s="61" t="str">
        <f>IFERROR(IF(AL520-AL519&lt;=0,"",AN520/SQRT(Таблица_pr6[[#This Row],[Удельное сопротивление грунта, Ом·м]])),AN520/SQRT(Таблица_pr6[[#This Row],[Удельное сопротивление грунта, Ом·м]]))</f>
        <v/>
      </c>
      <c r="AQ520" s="53"/>
      <c r="AR520" s="52"/>
      <c r="AS520" s="50"/>
      <c r="AT520" s="61" t="str">
        <f t="shared" si="68"/>
        <v/>
      </c>
      <c r="AU520" s="61" t="str">
        <f>IFERROR(IF(AR520-AR519&lt;=0,"",AT520/SQRT(Таблица_pr7[[#This Row],[Удельное сопротивление грунта, Ом·м]])),AT520/SQRT(Таблица_pr7[[#This Row],[Удельное сопротивление грунта, Ом·м]]))</f>
        <v/>
      </c>
      <c r="AW520" s="53"/>
      <c r="AX520" s="52"/>
      <c r="AY520" s="50"/>
      <c r="AZ520" s="61" t="str">
        <f t="shared" si="73"/>
        <v/>
      </c>
      <c r="BA520" s="61" t="str">
        <f>IFERROR(IF(AX520-AX519&lt;=0,"",AZ520/SQRT(Таблица_pr8[[#This Row],[Удельное сопротивление грунта, Ом·м]])),AZ520/SQRT(Таблица_pr8[[#This Row],[Удельное сопротивление грунта, Ом·м]]))</f>
        <v/>
      </c>
      <c r="BC520" s="53"/>
      <c r="BD520" s="52"/>
      <c r="BE520" s="50"/>
      <c r="BF520" s="61" t="str">
        <f t="shared" si="69"/>
        <v/>
      </c>
      <c r="BG520" s="61" t="str">
        <f>IFERROR(IF(BD520-AX539&lt;=0,"",BF520/SQRT(Таблица_pr9[[#This Row],[Удельное сопротивление грунта, Ом·м]])),BF520/SQRT(Таблица_pr9[[#This Row],[Удельное сопротивление грунта, Ом·м]]))</f>
        <v/>
      </c>
      <c r="BI520" s="53"/>
      <c r="BJ520" s="52"/>
      <c r="BK520" s="50"/>
      <c r="BL520" s="61" t="str">
        <f t="shared" si="74"/>
        <v/>
      </c>
      <c r="BM520" s="61" t="str">
        <f>IFERROR(IF(BJ520-BD549&lt;=0,"",BL520/SQRT(Таблица_pr10[[#This Row],[Удельное сопротивление грунта, Ом·м]])),BL520/SQRT(Таблица_pr10[[#This Row],[Удельное сопротивление грунта, Ом·м]]))</f>
        <v/>
      </c>
    </row>
    <row r="521" spans="1:65">
      <c r="A521" s="51"/>
      <c r="B521" s="52"/>
      <c r="C521" s="50"/>
      <c r="D521" s="61" t="str">
        <f t="shared" si="64"/>
        <v/>
      </c>
      <c r="E521" s="61" t="str">
        <f>IFERROR(IF(B521-B520&lt;=0,"",D521/SQRT(Таблица_pr[[#This Row],[Удельное сопротивление грунта, Ом·м]])),D521/SQRT(Таблица_pr[[#This Row],[Удельное сопротивление грунта, Ом·м]]))</f>
        <v/>
      </c>
      <c r="G521" s="189"/>
      <c r="H521" s="185"/>
      <c r="I521" s="183"/>
      <c r="J521" s="180" t="str">
        <f t="shared" si="65"/>
        <v/>
      </c>
      <c r="K521" s="61" t="str">
        <f>IFERROR(IF(H521-H520&lt;=0,"",J521/SQRT(Таблица_pr1[[#This Row],[Удельное сопротивление грунта, Ом·м]])),J521/SQRT(Таблица_pr1[[#This Row],[Удельное сопротивление грунта, Ом·м]]))</f>
        <v/>
      </c>
      <c r="M521" s="51"/>
      <c r="N521" s="52"/>
      <c r="O521" s="50"/>
      <c r="P521" s="61" t="str">
        <f t="shared" si="70"/>
        <v/>
      </c>
      <c r="Q521" s="61" t="str">
        <f>IFERROR(IF(N521-N520&lt;=0,"",P521/SQRT(Таблица_pr2[[#This Row],[Удельное сопротивление грунта, Ом·м]])),P521/SQRT(Таблица_pr2[[#This Row],[Удельное сопротивление грунта, Ом·м]]))</f>
        <v/>
      </c>
      <c r="S521" s="51"/>
      <c r="T521" s="52"/>
      <c r="U521" s="50"/>
      <c r="V521" s="61" t="str">
        <f t="shared" si="66"/>
        <v/>
      </c>
      <c r="W521" s="61" t="str">
        <f>IFERROR(IF(T521-T520&lt;=0,"",V521/SQRT(Таблица_pr3[[#This Row],[Удельное сопротивление грунта, Ом·м]])),V521/SQRT(Таблица_pr3[[#This Row],[Удельное сопротивление грунта, Ом·м]]))</f>
        <v/>
      </c>
      <c r="Y521" s="51"/>
      <c r="Z521" s="52"/>
      <c r="AA521" s="50"/>
      <c r="AB521" s="61" t="str">
        <f t="shared" si="71"/>
        <v/>
      </c>
      <c r="AC521" s="61" t="str">
        <f>IFERROR(IF(Z521-Z520&lt;=0,"",AB521/SQRT(Таблица_pr4[[#This Row],[Удельное сопротивление грунта, Ом·м]])),AB521/SQRT(Таблица_pr4[[#This Row],[Удельное сопротивление грунта, Ом·м]]))</f>
        <v/>
      </c>
      <c r="AE521" s="51"/>
      <c r="AF521" s="52"/>
      <c r="AG521" s="50"/>
      <c r="AH521" s="61" t="str">
        <f t="shared" si="67"/>
        <v/>
      </c>
      <c r="AI521" s="61" t="str">
        <f>IFERROR(IF(AF521-AF520&lt;=0,"",AH521/SQRT(Таблица_pr5[[#This Row],[Удельное сопротивление грунта, Ом·м]])),AH521/SQRT(Таблица_pr5[[#This Row],[Удельное сопротивление грунта, Ом·м]]))</f>
        <v/>
      </c>
      <c r="AK521" s="51"/>
      <c r="AL521" s="52"/>
      <c r="AM521" s="50"/>
      <c r="AN521" s="61" t="str">
        <f t="shared" si="72"/>
        <v/>
      </c>
      <c r="AO521" s="61" t="str">
        <f>IFERROR(IF(AL521-AL520&lt;=0,"",AN521/SQRT(Таблица_pr6[[#This Row],[Удельное сопротивление грунта, Ом·м]])),AN521/SQRT(Таблица_pr6[[#This Row],[Удельное сопротивление грунта, Ом·м]]))</f>
        <v/>
      </c>
      <c r="AQ521" s="51"/>
      <c r="AR521" s="52"/>
      <c r="AS521" s="50"/>
      <c r="AT521" s="61" t="str">
        <f t="shared" si="68"/>
        <v/>
      </c>
      <c r="AU521" s="61" t="str">
        <f>IFERROR(IF(AR521-AR520&lt;=0,"",AT521/SQRT(Таблица_pr7[[#This Row],[Удельное сопротивление грунта, Ом·м]])),AT521/SQRT(Таблица_pr7[[#This Row],[Удельное сопротивление грунта, Ом·м]]))</f>
        <v/>
      </c>
      <c r="AW521" s="51"/>
      <c r="AX521" s="52"/>
      <c r="AY521" s="50"/>
      <c r="AZ521" s="61" t="str">
        <f t="shared" si="73"/>
        <v/>
      </c>
      <c r="BA521" s="61" t="str">
        <f>IFERROR(IF(AX521-AX520&lt;=0,"",AZ521/SQRT(Таблица_pr8[[#This Row],[Удельное сопротивление грунта, Ом·м]])),AZ521/SQRT(Таблица_pr8[[#This Row],[Удельное сопротивление грунта, Ом·м]]))</f>
        <v/>
      </c>
      <c r="BC521" s="51"/>
      <c r="BD521" s="52"/>
      <c r="BE521" s="50"/>
      <c r="BF521" s="61" t="str">
        <f t="shared" si="69"/>
        <v/>
      </c>
      <c r="BG521" s="61" t="str">
        <f>IFERROR(IF(BD521-AX540&lt;=0,"",BF521/SQRT(Таблица_pr9[[#This Row],[Удельное сопротивление грунта, Ом·м]])),BF521/SQRT(Таблица_pr9[[#This Row],[Удельное сопротивление грунта, Ом·м]]))</f>
        <v/>
      </c>
      <c r="BI521" s="51"/>
      <c r="BJ521" s="52"/>
      <c r="BK521" s="50"/>
      <c r="BL521" s="61" t="str">
        <f t="shared" si="74"/>
        <v/>
      </c>
      <c r="BM521" s="61" t="str">
        <f>IFERROR(IF(BJ521-BD550&lt;=0,"",BL521/SQRT(Таблица_pr10[[#This Row],[Удельное сопротивление грунта, Ом·м]])),BL521/SQRT(Таблица_pr10[[#This Row],[Удельное сопротивление грунта, Ом·м]]))</f>
        <v/>
      </c>
    </row>
    <row r="522" spans="1:65">
      <c r="A522" s="53"/>
      <c r="B522" s="52"/>
      <c r="C522" s="50"/>
      <c r="D522" s="61" t="str">
        <f t="shared" si="64"/>
        <v/>
      </c>
      <c r="E522" s="61" t="str">
        <f>IFERROR(IF(B522-B521&lt;=0,"",D522/SQRT(Таблица_pr[[#This Row],[Удельное сопротивление грунта, Ом·м]])),D522/SQRT(Таблица_pr[[#This Row],[Удельное сопротивление грунта, Ом·м]]))</f>
        <v/>
      </c>
      <c r="G522" s="188"/>
      <c r="H522" s="184"/>
      <c r="I522" s="182"/>
      <c r="J522" s="181" t="str">
        <f t="shared" si="65"/>
        <v/>
      </c>
      <c r="K522" s="61" t="str">
        <f>IFERROR(IF(H522-H521&lt;=0,"",J522/SQRT(Таблица_pr1[[#This Row],[Удельное сопротивление грунта, Ом·м]])),J522/SQRT(Таблица_pr1[[#This Row],[Удельное сопротивление грунта, Ом·м]]))</f>
        <v/>
      </c>
      <c r="M522" s="53"/>
      <c r="N522" s="52"/>
      <c r="O522" s="50"/>
      <c r="P522" s="61" t="str">
        <f t="shared" si="70"/>
        <v/>
      </c>
      <c r="Q522" s="61" t="str">
        <f>IFERROR(IF(N522-N521&lt;=0,"",P522/SQRT(Таблица_pr2[[#This Row],[Удельное сопротивление грунта, Ом·м]])),P522/SQRT(Таблица_pr2[[#This Row],[Удельное сопротивление грунта, Ом·м]]))</f>
        <v/>
      </c>
      <c r="S522" s="53"/>
      <c r="T522" s="52"/>
      <c r="U522" s="50"/>
      <c r="V522" s="61" t="str">
        <f t="shared" si="66"/>
        <v/>
      </c>
      <c r="W522" s="61" t="str">
        <f>IFERROR(IF(T522-T521&lt;=0,"",V522/SQRT(Таблица_pr3[[#This Row],[Удельное сопротивление грунта, Ом·м]])),V522/SQRT(Таблица_pr3[[#This Row],[Удельное сопротивление грунта, Ом·м]]))</f>
        <v/>
      </c>
      <c r="Y522" s="53"/>
      <c r="Z522" s="52"/>
      <c r="AA522" s="50"/>
      <c r="AB522" s="61" t="str">
        <f t="shared" si="71"/>
        <v/>
      </c>
      <c r="AC522" s="61" t="str">
        <f>IFERROR(IF(Z522-Z521&lt;=0,"",AB522/SQRT(Таблица_pr4[[#This Row],[Удельное сопротивление грунта, Ом·м]])),AB522/SQRT(Таблица_pr4[[#This Row],[Удельное сопротивление грунта, Ом·м]]))</f>
        <v/>
      </c>
      <c r="AE522" s="53"/>
      <c r="AF522" s="52"/>
      <c r="AG522" s="50"/>
      <c r="AH522" s="61" t="str">
        <f t="shared" si="67"/>
        <v/>
      </c>
      <c r="AI522" s="61" t="str">
        <f>IFERROR(IF(AF522-AF521&lt;=0,"",AH522/SQRT(Таблица_pr5[[#This Row],[Удельное сопротивление грунта, Ом·м]])),AH522/SQRT(Таблица_pr5[[#This Row],[Удельное сопротивление грунта, Ом·м]]))</f>
        <v/>
      </c>
      <c r="AK522" s="53"/>
      <c r="AL522" s="52"/>
      <c r="AM522" s="50"/>
      <c r="AN522" s="61" t="str">
        <f t="shared" si="72"/>
        <v/>
      </c>
      <c r="AO522" s="61" t="str">
        <f>IFERROR(IF(AL522-AL521&lt;=0,"",AN522/SQRT(Таблица_pr6[[#This Row],[Удельное сопротивление грунта, Ом·м]])),AN522/SQRT(Таблица_pr6[[#This Row],[Удельное сопротивление грунта, Ом·м]]))</f>
        <v/>
      </c>
      <c r="AQ522" s="53"/>
      <c r="AR522" s="52"/>
      <c r="AS522" s="50"/>
      <c r="AT522" s="61" t="str">
        <f t="shared" si="68"/>
        <v/>
      </c>
      <c r="AU522" s="61" t="str">
        <f>IFERROR(IF(AR522-AR521&lt;=0,"",AT522/SQRT(Таблица_pr7[[#This Row],[Удельное сопротивление грунта, Ом·м]])),AT522/SQRT(Таблица_pr7[[#This Row],[Удельное сопротивление грунта, Ом·м]]))</f>
        <v/>
      </c>
      <c r="AW522" s="53"/>
      <c r="AX522" s="52"/>
      <c r="AY522" s="50"/>
      <c r="AZ522" s="61" t="str">
        <f t="shared" si="73"/>
        <v/>
      </c>
      <c r="BA522" s="61" t="str">
        <f>IFERROR(IF(AX522-AX521&lt;=0,"",AZ522/SQRT(Таблица_pr8[[#This Row],[Удельное сопротивление грунта, Ом·м]])),AZ522/SQRT(Таблица_pr8[[#This Row],[Удельное сопротивление грунта, Ом·м]]))</f>
        <v/>
      </c>
      <c r="BC522" s="53"/>
      <c r="BD522" s="52"/>
      <c r="BE522" s="50"/>
      <c r="BF522" s="61" t="str">
        <f t="shared" si="69"/>
        <v/>
      </c>
      <c r="BG522" s="61" t="str">
        <f>IFERROR(IF(BD522-AX541&lt;=0,"",BF522/SQRT(Таблица_pr9[[#This Row],[Удельное сопротивление грунта, Ом·м]])),BF522/SQRT(Таблица_pr9[[#This Row],[Удельное сопротивление грунта, Ом·м]]))</f>
        <v/>
      </c>
      <c r="BI522" s="53"/>
      <c r="BJ522" s="52"/>
      <c r="BK522" s="50"/>
      <c r="BL522" s="61" t="str">
        <f t="shared" si="74"/>
        <v/>
      </c>
      <c r="BM522" s="61" t="str">
        <f>IFERROR(IF(BJ522-BD551&lt;=0,"",BL522/SQRT(Таблица_pr10[[#This Row],[Удельное сопротивление грунта, Ом·м]])),BL522/SQRT(Таблица_pr10[[#This Row],[Удельное сопротивление грунта, Ом·м]]))</f>
        <v/>
      </c>
    </row>
    <row r="523" spans="1:65">
      <c r="A523" s="51"/>
      <c r="B523" s="52"/>
      <c r="C523" s="50"/>
      <c r="D523" s="61" t="str">
        <f t="shared" si="64"/>
        <v/>
      </c>
      <c r="E523" s="61" t="str">
        <f>IFERROR(IF(B523-B522&lt;=0,"",D523/SQRT(Таблица_pr[[#This Row],[Удельное сопротивление грунта, Ом·м]])),D523/SQRT(Таблица_pr[[#This Row],[Удельное сопротивление грунта, Ом·м]]))</f>
        <v/>
      </c>
      <c r="G523" s="189"/>
      <c r="H523" s="185"/>
      <c r="I523" s="183"/>
      <c r="J523" s="180" t="str">
        <f t="shared" si="65"/>
        <v/>
      </c>
      <c r="K523" s="61" t="str">
        <f>IFERROR(IF(H523-H522&lt;=0,"",J523/SQRT(Таблица_pr1[[#This Row],[Удельное сопротивление грунта, Ом·м]])),J523/SQRT(Таблица_pr1[[#This Row],[Удельное сопротивление грунта, Ом·м]]))</f>
        <v/>
      </c>
      <c r="M523" s="51"/>
      <c r="N523" s="52"/>
      <c r="O523" s="50"/>
      <c r="P523" s="61" t="str">
        <f t="shared" si="70"/>
        <v/>
      </c>
      <c r="Q523" s="61" t="str">
        <f>IFERROR(IF(N523-N522&lt;=0,"",P523/SQRT(Таблица_pr2[[#This Row],[Удельное сопротивление грунта, Ом·м]])),P523/SQRT(Таблица_pr2[[#This Row],[Удельное сопротивление грунта, Ом·м]]))</f>
        <v/>
      </c>
      <c r="S523" s="51"/>
      <c r="T523" s="52"/>
      <c r="U523" s="50"/>
      <c r="V523" s="61" t="str">
        <f t="shared" si="66"/>
        <v/>
      </c>
      <c r="W523" s="61" t="str">
        <f>IFERROR(IF(T523-T522&lt;=0,"",V523/SQRT(Таблица_pr3[[#This Row],[Удельное сопротивление грунта, Ом·м]])),V523/SQRT(Таблица_pr3[[#This Row],[Удельное сопротивление грунта, Ом·м]]))</f>
        <v/>
      </c>
      <c r="Y523" s="51"/>
      <c r="Z523" s="52"/>
      <c r="AA523" s="50"/>
      <c r="AB523" s="61" t="str">
        <f t="shared" si="71"/>
        <v/>
      </c>
      <c r="AC523" s="61" t="str">
        <f>IFERROR(IF(Z523-Z522&lt;=0,"",AB523/SQRT(Таблица_pr4[[#This Row],[Удельное сопротивление грунта, Ом·м]])),AB523/SQRT(Таблица_pr4[[#This Row],[Удельное сопротивление грунта, Ом·м]]))</f>
        <v/>
      </c>
      <c r="AE523" s="51"/>
      <c r="AF523" s="52"/>
      <c r="AG523" s="50"/>
      <c r="AH523" s="61" t="str">
        <f t="shared" si="67"/>
        <v/>
      </c>
      <c r="AI523" s="61" t="str">
        <f>IFERROR(IF(AF523-AF522&lt;=0,"",AH523/SQRT(Таблица_pr5[[#This Row],[Удельное сопротивление грунта, Ом·м]])),AH523/SQRT(Таблица_pr5[[#This Row],[Удельное сопротивление грунта, Ом·м]]))</f>
        <v/>
      </c>
      <c r="AK523" s="51"/>
      <c r="AL523" s="52"/>
      <c r="AM523" s="50"/>
      <c r="AN523" s="61" t="str">
        <f t="shared" si="72"/>
        <v/>
      </c>
      <c r="AO523" s="61" t="str">
        <f>IFERROR(IF(AL523-AL522&lt;=0,"",AN523/SQRT(Таблица_pr6[[#This Row],[Удельное сопротивление грунта, Ом·м]])),AN523/SQRT(Таблица_pr6[[#This Row],[Удельное сопротивление грунта, Ом·м]]))</f>
        <v/>
      </c>
      <c r="AQ523" s="51"/>
      <c r="AR523" s="52"/>
      <c r="AS523" s="50"/>
      <c r="AT523" s="61" t="str">
        <f t="shared" si="68"/>
        <v/>
      </c>
      <c r="AU523" s="61" t="str">
        <f>IFERROR(IF(AR523-AR522&lt;=0,"",AT523/SQRT(Таблица_pr7[[#This Row],[Удельное сопротивление грунта, Ом·м]])),AT523/SQRT(Таблица_pr7[[#This Row],[Удельное сопротивление грунта, Ом·м]]))</f>
        <v/>
      </c>
      <c r="AW523" s="51"/>
      <c r="AX523" s="52"/>
      <c r="AY523" s="50"/>
      <c r="AZ523" s="61" t="str">
        <f t="shared" si="73"/>
        <v/>
      </c>
      <c r="BA523" s="61" t="str">
        <f>IFERROR(IF(AX523-AX522&lt;=0,"",AZ523/SQRT(Таблица_pr8[[#This Row],[Удельное сопротивление грунта, Ом·м]])),AZ523/SQRT(Таблица_pr8[[#This Row],[Удельное сопротивление грунта, Ом·м]]))</f>
        <v/>
      </c>
      <c r="BC523" s="51"/>
      <c r="BD523" s="52"/>
      <c r="BE523" s="50"/>
      <c r="BF523" s="61" t="str">
        <f t="shared" si="69"/>
        <v/>
      </c>
      <c r="BG523" s="61" t="str">
        <f>IFERROR(IF(BD523-AX542&lt;=0,"",BF523/SQRT(Таблица_pr9[[#This Row],[Удельное сопротивление грунта, Ом·м]])),BF523/SQRT(Таблица_pr9[[#This Row],[Удельное сопротивление грунта, Ом·м]]))</f>
        <v/>
      </c>
      <c r="BI523" s="51"/>
      <c r="BJ523" s="52"/>
      <c r="BK523" s="50"/>
      <c r="BL523" s="61" t="str">
        <f t="shared" si="74"/>
        <v/>
      </c>
      <c r="BM523" s="61" t="str">
        <f>IFERROR(IF(BJ523-BD552&lt;=0,"",BL523/SQRT(Таблица_pr10[[#This Row],[Удельное сопротивление грунта, Ом·м]])),BL523/SQRT(Таблица_pr10[[#This Row],[Удельное сопротивление грунта, Ом·м]]))</f>
        <v/>
      </c>
    </row>
    <row r="524" spans="1:65">
      <c r="A524" s="53"/>
      <c r="B524" s="52"/>
      <c r="C524" s="50"/>
      <c r="D524" s="61" t="str">
        <f t="shared" si="64"/>
        <v/>
      </c>
      <c r="E524" s="61" t="str">
        <f>IFERROR(IF(B524-B523&lt;=0,"",D524/SQRT(Таблица_pr[[#This Row],[Удельное сопротивление грунта, Ом·м]])),D524/SQRT(Таблица_pr[[#This Row],[Удельное сопротивление грунта, Ом·м]]))</f>
        <v/>
      </c>
      <c r="G524" s="188"/>
      <c r="H524" s="184"/>
      <c r="I524" s="182"/>
      <c r="J524" s="181" t="str">
        <f t="shared" si="65"/>
        <v/>
      </c>
      <c r="K524" s="61" t="str">
        <f>IFERROR(IF(H524-H523&lt;=0,"",J524/SQRT(Таблица_pr1[[#This Row],[Удельное сопротивление грунта, Ом·м]])),J524/SQRT(Таблица_pr1[[#This Row],[Удельное сопротивление грунта, Ом·м]]))</f>
        <v/>
      </c>
      <c r="M524" s="53"/>
      <c r="N524" s="52"/>
      <c r="O524" s="50"/>
      <c r="P524" s="61" t="str">
        <f t="shared" si="70"/>
        <v/>
      </c>
      <c r="Q524" s="61" t="str">
        <f>IFERROR(IF(N524-N523&lt;=0,"",P524/SQRT(Таблица_pr2[[#This Row],[Удельное сопротивление грунта, Ом·м]])),P524/SQRT(Таблица_pr2[[#This Row],[Удельное сопротивление грунта, Ом·м]]))</f>
        <v/>
      </c>
      <c r="S524" s="53"/>
      <c r="T524" s="52"/>
      <c r="U524" s="50"/>
      <c r="V524" s="61" t="str">
        <f t="shared" si="66"/>
        <v/>
      </c>
      <c r="W524" s="61" t="str">
        <f>IFERROR(IF(T524-T523&lt;=0,"",V524/SQRT(Таблица_pr3[[#This Row],[Удельное сопротивление грунта, Ом·м]])),V524/SQRT(Таблица_pr3[[#This Row],[Удельное сопротивление грунта, Ом·м]]))</f>
        <v/>
      </c>
      <c r="Y524" s="53"/>
      <c r="Z524" s="52"/>
      <c r="AA524" s="50"/>
      <c r="AB524" s="61" t="str">
        <f t="shared" si="71"/>
        <v/>
      </c>
      <c r="AC524" s="61" t="str">
        <f>IFERROR(IF(Z524-Z523&lt;=0,"",AB524/SQRT(Таблица_pr4[[#This Row],[Удельное сопротивление грунта, Ом·м]])),AB524/SQRT(Таблица_pr4[[#This Row],[Удельное сопротивление грунта, Ом·м]]))</f>
        <v/>
      </c>
      <c r="AE524" s="53"/>
      <c r="AF524" s="52"/>
      <c r="AG524" s="50"/>
      <c r="AH524" s="61" t="str">
        <f t="shared" si="67"/>
        <v/>
      </c>
      <c r="AI524" s="61" t="str">
        <f>IFERROR(IF(AF524-AF523&lt;=0,"",AH524/SQRT(Таблица_pr5[[#This Row],[Удельное сопротивление грунта, Ом·м]])),AH524/SQRT(Таблица_pr5[[#This Row],[Удельное сопротивление грунта, Ом·м]]))</f>
        <v/>
      </c>
      <c r="AK524" s="53"/>
      <c r="AL524" s="52"/>
      <c r="AM524" s="50"/>
      <c r="AN524" s="61" t="str">
        <f t="shared" si="72"/>
        <v/>
      </c>
      <c r="AO524" s="61" t="str">
        <f>IFERROR(IF(AL524-AL523&lt;=0,"",AN524/SQRT(Таблица_pr6[[#This Row],[Удельное сопротивление грунта, Ом·м]])),AN524/SQRT(Таблица_pr6[[#This Row],[Удельное сопротивление грунта, Ом·м]]))</f>
        <v/>
      </c>
      <c r="AQ524" s="53"/>
      <c r="AR524" s="52"/>
      <c r="AS524" s="50"/>
      <c r="AT524" s="61" t="str">
        <f t="shared" si="68"/>
        <v/>
      </c>
      <c r="AU524" s="61" t="str">
        <f>IFERROR(IF(AR524-AR523&lt;=0,"",AT524/SQRT(Таблица_pr7[[#This Row],[Удельное сопротивление грунта, Ом·м]])),AT524/SQRT(Таблица_pr7[[#This Row],[Удельное сопротивление грунта, Ом·м]]))</f>
        <v/>
      </c>
      <c r="AW524" s="53"/>
      <c r="AX524" s="52"/>
      <c r="AY524" s="50"/>
      <c r="AZ524" s="61" t="str">
        <f t="shared" si="73"/>
        <v/>
      </c>
      <c r="BA524" s="61" t="str">
        <f>IFERROR(IF(AX524-AX523&lt;=0,"",AZ524/SQRT(Таблица_pr8[[#This Row],[Удельное сопротивление грунта, Ом·м]])),AZ524/SQRT(Таблица_pr8[[#This Row],[Удельное сопротивление грунта, Ом·м]]))</f>
        <v/>
      </c>
      <c r="BC524" s="53"/>
      <c r="BD524" s="52"/>
      <c r="BE524" s="50"/>
      <c r="BF524" s="61" t="str">
        <f t="shared" si="69"/>
        <v/>
      </c>
      <c r="BG524" s="61" t="str">
        <f>IFERROR(IF(BD524-AX543&lt;=0,"",BF524/SQRT(Таблица_pr9[[#This Row],[Удельное сопротивление грунта, Ом·м]])),BF524/SQRT(Таблица_pr9[[#This Row],[Удельное сопротивление грунта, Ом·м]]))</f>
        <v/>
      </c>
      <c r="BI524" s="53"/>
      <c r="BJ524" s="52"/>
      <c r="BK524" s="50"/>
      <c r="BL524" s="61" t="str">
        <f t="shared" si="74"/>
        <v/>
      </c>
      <c r="BM524" s="61" t="str">
        <f>IFERROR(IF(BJ524-BD553&lt;=0,"",BL524/SQRT(Таблица_pr10[[#This Row],[Удельное сопротивление грунта, Ом·м]])),BL524/SQRT(Таблица_pr10[[#This Row],[Удельное сопротивление грунта, Ом·м]]))</f>
        <v/>
      </c>
    </row>
    <row r="525" spans="1:65">
      <c r="A525" s="51"/>
      <c r="B525" s="52"/>
      <c r="C525" s="50"/>
      <c r="D525" s="61" t="str">
        <f t="shared" si="64"/>
        <v/>
      </c>
      <c r="E525" s="61" t="str">
        <f>IFERROR(IF(B525-B524&lt;=0,"",D525/SQRT(Таблица_pr[[#This Row],[Удельное сопротивление грунта, Ом·м]])),D525/SQRT(Таблица_pr[[#This Row],[Удельное сопротивление грунта, Ом·м]]))</f>
        <v/>
      </c>
      <c r="G525" s="189"/>
      <c r="H525" s="185"/>
      <c r="I525" s="183"/>
      <c r="J525" s="180" t="str">
        <f t="shared" si="65"/>
        <v/>
      </c>
      <c r="K525" s="61" t="str">
        <f>IFERROR(IF(H525-H524&lt;=0,"",J525/SQRT(Таблица_pr1[[#This Row],[Удельное сопротивление грунта, Ом·м]])),J525/SQRT(Таблица_pr1[[#This Row],[Удельное сопротивление грунта, Ом·м]]))</f>
        <v/>
      </c>
      <c r="M525" s="51"/>
      <c r="N525" s="52"/>
      <c r="O525" s="50"/>
      <c r="P525" s="61" t="str">
        <f t="shared" si="70"/>
        <v/>
      </c>
      <c r="Q525" s="61" t="str">
        <f>IFERROR(IF(N525-N524&lt;=0,"",P525/SQRT(Таблица_pr2[[#This Row],[Удельное сопротивление грунта, Ом·м]])),P525/SQRT(Таблица_pr2[[#This Row],[Удельное сопротивление грунта, Ом·м]]))</f>
        <v/>
      </c>
      <c r="S525" s="51"/>
      <c r="T525" s="52"/>
      <c r="U525" s="50"/>
      <c r="V525" s="61" t="str">
        <f t="shared" si="66"/>
        <v/>
      </c>
      <c r="W525" s="61" t="str">
        <f>IFERROR(IF(T525-T524&lt;=0,"",V525/SQRT(Таблица_pr3[[#This Row],[Удельное сопротивление грунта, Ом·м]])),V525/SQRT(Таблица_pr3[[#This Row],[Удельное сопротивление грунта, Ом·м]]))</f>
        <v/>
      </c>
      <c r="Y525" s="51"/>
      <c r="Z525" s="52"/>
      <c r="AA525" s="50"/>
      <c r="AB525" s="61" t="str">
        <f t="shared" si="71"/>
        <v/>
      </c>
      <c r="AC525" s="61" t="str">
        <f>IFERROR(IF(Z525-Z524&lt;=0,"",AB525/SQRT(Таблица_pr4[[#This Row],[Удельное сопротивление грунта, Ом·м]])),AB525/SQRT(Таблица_pr4[[#This Row],[Удельное сопротивление грунта, Ом·м]]))</f>
        <v/>
      </c>
      <c r="AE525" s="51"/>
      <c r="AF525" s="52"/>
      <c r="AG525" s="50"/>
      <c r="AH525" s="61" t="str">
        <f t="shared" si="67"/>
        <v/>
      </c>
      <c r="AI525" s="61" t="str">
        <f>IFERROR(IF(AF525-AF524&lt;=0,"",AH525/SQRT(Таблица_pr5[[#This Row],[Удельное сопротивление грунта, Ом·м]])),AH525/SQRT(Таблица_pr5[[#This Row],[Удельное сопротивление грунта, Ом·м]]))</f>
        <v/>
      </c>
      <c r="AK525" s="51"/>
      <c r="AL525" s="52"/>
      <c r="AM525" s="50"/>
      <c r="AN525" s="61" t="str">
        <f t="shared" si="72"/>
        <v/>
      </c>
      <c r="AO525" s="61" t="str">
        <f>IFERROR(IF(AL525-AL524&lt;=0,"",AN525/SQRT(Таблица_pr6[[#This Row],[Удельное сопротивление грунта, Ом·м]])),AN525/SQRT(Таблица_pr6[[#This Row],[Удельное сопротивление грунта, Ом·м]]))</f>
        <v/>
      </c>
      <c r="AQ525" s="51"/>
      <c r="AR525" s="52"/>
      <c r="AS525" s="50"/>
      <c r="AT525" s="61" t="str">
        <f t="shared" si="68"/>
        <v/>
      </c>
      <c r="AU525" s="61" t="str">
        <f>IFERROR(IF(AR525-AR524&lt;=0,"",AT525/SQRT(Таблица_pr7[[#This Row],[Удельное сопротивление грунта, Ом·м]])),AT525/SQRT(Таблица_pr7[[#This Row],[Удельное сопротивление грунта, Ом·м]]))</f>
        <v/>
      </c>
      <c r="AW525" s="51"/>
      <c r="AX525" s="52"/>
      <c r="AY525" s="50"/>
      <c r="AZ525" s="61" t="str">
        <f t="shared" si="73"/>
        <v/>
      </c>
      <c r="BA525" s="61" t="str">
        <f>IFERROR(IF(AX525-AX524&lt;=0,"",AZ525/SQRT(Таблица_pr8[[#This Row],[Удельное сопротивление грунта, Ом·м]])),AZ525/SQRT(Таблица_pr8[[#This Row],[Удельное сопротивление грунта, Ом·м]]))</f>
        <v/>
      </c>
      <c r="BC525" s="51"/>
      <c r="BD525" s="52"/>
      <c r="BE525" s="50"/>
      <c r="BF525" s="61" t="str">
        <f t="shared" si="69"/>
        <v/>
      </c>
      <c r="BG525" s="61" t="str">
        <f>IFERROR(IF(BD525-AX544&lt;=0,"",BF525/SQRT(Таблица_pr9[[#This Row],[Удельное сопротивление грунта, Ом·м]])),BF525/SQRT(Таблица_pr9[[#This Row],[Удельное сопротивление грунта, Ом·м]]))</f>
        <v/>
      </c>
      <c r="BI525" s="51"/>
      <c r="BJ525" s="52"/>
      <c r="BK525" s="50"/>
      <c r="BL525" s="61" t="str">
        <f t="shared" si="74"/>
        <v/>
      </c>
      <c r="BM525" s="61" t="str">
        <f>IFERROR(IF(BJ525-BD554&lt;=0,"",BL525/SQRT(Таблица_pr10[[#This Row],[Удельное сопротивление грунта, Ом·м]])),BL525/SQRT(Таблица_pr10[[#This Row],[Удельное сопротивление грунта, Ом·м]]))</f>
        <v/>
      </c>
    </row>
    <row r="526" spans="1:65">
      <c r="A526" s="53"/>
      <c r="B526" s="52"/>
      <c r="C526" s="50"/>
      <c r="D526" s="61" t="str">
        <f t="shared" si="64"/>
        <v/>
      </c>
      <c r="E526" s="61" t="str">
        <f>IFERROR(IF(B526-B525&lt;=0,"",D526/SQRT(Таблица_pr[[#This Row],[Удельное сопротивление грунта, Ом·м]])),D526/SQRT(Таблица_pr[[#This Row],[Удельное сопротивление грунта, Ом·м]]))</f>
        <v/>
      </c>
      <c r="G526" s="188"/>
      <c r="H526" s="184"/>
      <c r="I526" s="182"/>
      <c r="J526" s="181" t="str">
        <f t="shared" si="65"/>
        <v/>
      </c>
      <c r="K526" s="61" t="str">
        <f>IFERROR(IF(H526-H525&lt;=0,"",J526/SQRT(Таблица_pr1[[#This Row],[Удельное сопротивление грунта, Ом·м]])),J526/SQRT(Таблица_pr1[[#This Row],[Удельное сопротивление грунта, Ом·м]]))</f>
        <v/>
      </c>
      <c r="M526" s="53"/>
      <c r="N526" s="52"/>
      <c r="O526" s="50"/>
      <c r="P526" s="61" t="str">
        <f t="shared" si="70"/>
        <v/>
      </c>
      <c r="Q526" s="61" t="str">
        <f>IFERROR(IF(N526-N525&lt;=0,"",P526/SQRT(Таблица_pr2[[#This Row],[Удельное сопротивление грунта, Ом·м]])),P526/SQRT(Таблица_pr2[[#This Row],[Удельное сопротивление грунта, Ом·м]]))</f>
        <v/>
      </c>
      <c r="S526" s="53"/>
      <c r="T526" s="52"/>
      <c r="U526" s="50"/>
      <c r="V526" s="61" t="str">
        <f t="shared" si="66"/>
        <v/>
      </c>
      <c r="W526" s="61" t="str">
        <f>IFERROR(IF(T526-T525&lt;=0,"",V526/SQRT(Таблица_pr3[[#This Row],[Удельное сопротивление грунта, Ом·м]])),V526/SQRT(Таблица_pr3[[#This Row],[Удельное сопротивление грунта, Ом·м]]))</f>
        <v/>
      </c>
      <c r="Y526" s="53"/>
      <c r="Z526" s="52"/>
      <c r="AA526" s="50"/>
      <c r="AB526" s="61" t="str">
        <f t="shared" si="71"/>
        <v/>
      </c>
      <c r="AC526" s="61" t="str">
        <f>IFERROR(IF(Z526-Z525&lt;=0,"",AB526/SQRT(Таблица_pr4[[#This Row],[Удельное сопротивление грунта, Ом·м]])),AB526/SQRT(Таблица_pr4[[#This Row],[Удельное сопротивление грунта, Ом·м]]))</f>
        <v/>
      </c>
      <c r="AE526" s="53"/>
      <c r="AF526" s="52"/>
      <c r="AG526" s="50"/>
      <c r="AH526" s="61" t="str">
        <f t="shared" si="67"/>
        <v/>
      </c>
      <c r="AI526" s="61" t="str">
        <f>IFERROR(IF(AF526-AF525&lt;=0,"",AH526/SQRT(Таблица_pr5[[#This Row],[Удельное сопротивление грунта, Ом·м]])),AH526/SQRT(Таблица_pr5[[#This Row],[Удельное сопротивление грунта, Ом·м]]))</f>
        <v/>
      </c>
      <c r="AK526" s="53"/>
      <c r="AL526" s="52"/>
      <c r="AM526" s="50"/>
      <c r="AN526" s="61" t="str">
        <f t="shared" si="72"/>
        <v/>
      </c>
      <c r="AO526" s="61" t="str">
        <f>IFERROR(IF(AL526-AL525&lt;=0,"",AN526/SQRT(Таблица_pr6[[#This Row],[Удельное сопротивление грунта, Ом·м]])),AN526/SQRT(Таблица_pr6[[#This Row],[Удельное сопротивление грунта, Ом·м]]))</f>
        <v/>
      </c>
      <c r="AQ526" s="53"/>
      <c r="AR526" s="52"/>
      <c r="AS526" s="50"/>
      <c r="AT526" s="61" t="str">
        <f t="shared" si="68"/>
        <v/>
      </c>
      <c r="AU526" s="61" t="str">
        <f>IFERROR(IF(AR526-AR525&lt;=0,"",AT526/SQRT(Таблица_pr7[[#This Row],[Удельное сопротивление грунта, Ом·м]])),AT526/SQRT(Таблица_pr7[[#This Row],[Удельное сопротивление грунта, Ом·м]]))</f>
        <v/>
      </c>
      <c r="AW526" s="53"/>
      <c r="AX526" s="52"/>
      <c r="AY526" s="50"/>
      <c r="AZ526" s="61" t="str">
        <f t="shared" si="73"/>
        <v/>
      </c>
      <c r="BA526" s="61" t="str">
        <f>IFERROR(IF(AX526-AX525&lt;=0,"",AZ526/SQRT(Таблица_pr8[[#This Row],[Удельное сопротивление грунта, Ом·м]])),AZ526/SQRT(Таблица_pr8[[#This Row],[Удельное сопротивление грунта, Ом·м]]))</f>
        <v/>
      </c>
      <c r="BC526" s="53"/>
      <c r="BD526" s="52"/>
      <c r="BE526" s="50"/>
      <c r="BF526" s="61" t="str">
        <f t="shared" si="69"/>
        <v/>
      </c>
      <c r="BG526" s="61" t="str">
        <f>IFERROR(IF(BD526-AX545&lt;=0,"",BF526/SQRT(Таблица_pr9[[#This Row],[Удельное сопротивление грунта, Ом·м]])),BF526/SQRT(Таблица_pr9[[#This Row],[Удельное сопротивление грунта, Ом·м]]))</f>
        <v/>
      </c>
      <c r="BI526" s="53"/>
      <c r="BJ526" s="52"/>
      <c r="BK526" s="50"/>
      <c r="BL526" s="61" t="str">
        <f t="shared" si="74"/>
        <v/>
      </c>
      <c r="BM526" s="61" t="str">
        <f>IFERROR(IF(BJ526-BD555&lt;=0,"",BL526/SQRT(Таблица_pr10[[#This Row],[Удельное сопротивление грунта, Ом·м]])),BL526/SQRT(Таблица_pr10[[#This Row],[Удельное сопротивление грунта, Ом·м]]))</f>
        <v/>
      </c>
    </row>
    <row r="527" spans="1:65">
      <c r="A527" s="51"/>
      <c r="B527" s="52"/>
      <c r="C527" s="50"/>
      <c r="D527" s="61" t="str">
        <f t="shared" si="64"/>
        <v/>
      </c>
      <c r="E527" s="61" t="str">
        <f>IFERROR(IF(B527-B526&lt;=0,"",D527/SQRT(Таблица_pr[[#This Row],[Удельное сопротивление грунта, Ом·м]])),D527/SQRT(Таблица_pr[[#This Row],[Удельное сопротивление грунта, Ом·м]]))</f>
        <v/>
      </c>
      <c r="G527" s="189"/>
      <c r="H527" s="185"/>
      <c r="I527" s="183"/>
      <c r="J527" s="180" t="str">
        <f t="shared" si="65"/>
        <v/>
      </c>
      <c r="K527" s="61" t="str">
        <f>IFERROR(IF(H527-H526&lt;=0,"",J527/SQRT(Таблица_pr1[[#This Row],[Удельное сопротивление грунта, Ом·м]])),J527/SQRT(Таблица_pr1[[#This Row],[Удельное сопротивление грунта, Ом·м]]))</f>
        <v/>
      </c>
      <c r="M527" s="51"/>
      <c r="N527" s="52"/>
      <c r="O527" s="50"/>
      <c r="P527" s="61" t="str">
        <f t="shared" si="70"/>
        <v/>
      </c>
      <c r="Q527" s="61" t="str">
        <f>IFERROR(IF(N527-N526&lt;=0,"",P527/SQRT(Таблица_pr2[[#This Row],[Удельное сопротивление грунта, Ом·м]])),P527/SQRT(Таблица_pr2[[#This Row],[Удельное сопротивление грунта, Ом·м]]))</f>
        <v/>
      </c>
      <c r="S527" s="51"/>
      <c r="T527" s="52"/>
      <c r="U527" s="50"/>
      <c r="V527" s="61" t="str">
        <f t="shared" si="66"/>
        <v/>
      </c>
      <c r="W527" s="61" t="str">
        <f>IFERROR(IF(T527-T526&lt;=0,"",V527/SQRT(Таблица_pr3[[#This Row],[Удельное сопротивление грунта, Ом·м]])),V527/SQRT(Таблица_pr3[[#This Row],[Удельное сопротивление грунта, Ом·м]]))</f>
        <v/>
      </c>
      <c r="Y527" s="51"/>
      <c r="Z527" s="52"/>
      <c r="AA527" s="50"/>
      <c r="AB527" s="61" t="str">
        <f t="shared" si="71"/>
        <v/>
      </c>
      <c r="AC527" s="61" t="str">
        <f>IFERROR(IF(Z527-Z526&lt;=0,"",AB527/SQRT(Таблица_pr4[[#This Row],[Удельное сопротивление грунта, Ом·м]])),AB527/SQRT(Таблица_pr4[[#This Row],[Удельное сопротивление грунта, Ом·м]]))</f>
        <v/>
      </c>
      <c r="AE527" s="51"/>
      <c r="AF527" s="52"/>
      <c r="AG527" s="50"/>
      <c r="AH527" s="61" t="str">
        <f t="shared" si="67"/>
        <v/>
      </c>
      <c r="AI527" s="61" t="str">
        <f>IFERROR(IF(AF527-AF526&lt;=0,"",AH527/SQRT(Таблица_pr5[[#This Row],[Удельное сопротивление грунта, Ом·м]])),AH527/SQRT(Таблица_pr5[[#This Row],[Удельное сопротивление грунта, Ом·м]]))</f>
        <v/>
      </c>
      <c r="AK527" s="51"/>
      <c r="AL527" s="52"/>
      <c r="AM527" s="50"/>
      <c r="AN527" s="61" t="str">
        <f t="shared" si="72"/>
        <v/>
      </c>
      <c r="AO527" s="61" t="str">
        <f>IFERROR(IF(AL527-AL526&lt;=0,"",AN527/SQRT(Таблица_pr6[[#This Row],[Удельное сопротивление грунта, Ом·м]])),AN527/SQRT(Таблица_pr6[[#This Row],[Удельное сопротивление грунта, Ом·м]]))</f>
        <v/>
      </c>
      <c r="AQ527" s="51"/>
      <c r="AR527" s="52"/>
      <c r="AS527" s="50"/>
      <c r="AT527" s="61" t="str">
        <f t="shared" si="68"/>
        <v/>
      </c>
      <c r="AU527" s="61" t="str">
        <f>IFERROR(IF(AR527-AR526&lt;=0,"",AT527/SQRT(Таблица_pr7[[#This Row],[Удельное сопротивление грунта, Ом·м]])),AT527/SQRT(Таблица_pr7[[#This Row],[Удельное сопротивление грунта, Ом·м]]))</f>
        <v/>
      </c>
      <c r="AW527" s="51"/>
      <c r="AX527" s="52"/>
      <c r="AY527" s="50"/>
      <c r="AZ527" s="61" t="str">
        <f t="shared" si="73"/>
        <v/>
      </c>
      <c r="BA527" s="61" t="str">
        <f>IFERROR(IF(AX527-AX526&lt;=0,"",AZ527/SQRT(Таблица_pr8[[#This Row],[Удельное сопротивление грунта, Ом·м]])),AZ527/SQRT(Таблица_pr8[[#This Row],[Удельное сопротивление грунта, Ом·м]]))</f>
        <v/>
      </c>
      <c r="BC527" s="51"/>
      <c r="BD527" s="52"/>
      <c r="BE527" s="50"/>
      <c r="BF527" s="61" t="str">
        <f t="shared" si="69"/>
        <v/>
      </c>
      <c r="BG527" s="61" t="str">
        <f>IFERROR(IF(BD527-AX546&lt;=0,"",BF527/SQRT(Таблица_pr9[[#This Row],[Удельное сопротивление грунта, Ом·м]])),BF527/SQRT(Таблица_pr9[[#This Row],[Удельное сопротивление грунта, Ом·м]]))</f>
        <v/>
      </c>
      <c r="BI527" s="51"/>
      <c r="BJ527" s="52"/>
      <c r="BK527" s="50"/>
      <c r="BL527" s="61" t="str">
        <f t="shared" si="74"/>
        <v/>
      </c>
      <c r="BM527" s="61" t="str">
        <f>IFERROR(IF(BJ527-BD556&lt;=0,"",BL527/SQRT(Таблица_pr10[[#This Row],[Удельное сопротивление грунта, Ом·м]])),BL527/SQRT(Таблица_pr10[[#This Row],[Удельное сопротивление грунта, Ом·м]]))</f>
        <v/>
      </c>
    </row>
    <row r="528" spans="1:65">
      <c r="A528" s="53"/>
      <c r="B528" s="52"/>
      <c r="C528" s="50"/>
      <c r="D528" s="61" t="str">
        <f t="shared" si="64"/>
        <v/>
      </c>
      <c r="E528" s="61" t="str">
        <f>IFERROR(IF(B528-B527&lt;=0,"",D528/SQRT(Таблица_pr[[#This Row],[Удельное сопротивление грунта, Ом·м]])),D528/SQRT(Таблица_pr[[#This Row],[Удельное сопротивление грунта, Ом·м]]))</f>
        <v/>
      </c>
      <c r="G528" s="188"/>
      <c r="H528" s="184"/>
      <c r="I528" s="182"/>
      <c r="J528" s="181" t="str">
        <f t="shared" si="65"/>
        <v/>
      </c>
      <c r="K528" s="61" t="str">
        <f>IFERROR(IF(H528-H527&lt;=0,"",J528/SQRT(Таблица_pr1[[#This Row],[Удельное сопротивление грунта, Ом·м]])),J528/SQRT(Таблица_pr1[[#This Row],[Удельное сопротивление грунта, Ом·м]]))</f>
        <v/>
      </c>
      <c r="M528" s="53"/>
      <c r="N528" s="52"/>
      <c r="O528" s="50"/>
      <c r="P528" s="61" t="str">
        <f t="shared" si="70"/>
        <v/>
      </c>
      <c r="Q528" s="61" t="str">
        <f>IFERROR(IF(N528-N527&lt;=0,"",P528/SQRT(Таблица_pr2[[#This Row],[Удельное сопротивление грунта, Ом·м]])),P528/SQRT(Таблица_pr2[[#This Row],[Удельное сопротивление грунта, Ом·м]]))</f>
        <v/>
      </c>
      <c r="S528" s="53"/>
      <c r="T528" s="52"/>
      <c r="U528" s="50"/>
      <c r="V528" s="61" t="str">
        <f t="shared" si="66"/>
        <v/>
      </c>
      <c r="W528" s="61" t="str">
        <f>IFERROR(IF(T528-T527&lt;=0,"",V528/SQRT(Таблица_pr3[[#This Row],[Удельное сопротивление грунта, Ом·м]])),V528/SQRT(Таблица_pr3[[#This Row],[Удельное сопротивление грунта, Ом·м]]))</f>
        <v/>
      </c>
      <c r="Y528" s="53"/>
      <c r="Z528" s="52"/>
      <c r="AA528" s="50"/>
      <c r="AB528" s="61" t="str">
        <f t="shared" si="71"/>
        <v/>
      </c>
      <c r="AC528" s="61" t="str">
        <f>IFERROR(IF(Z528-Z527&lt;=0,"",AB528/SQRT(Таблица_pr4[[#This Row],[Удельное сопротивление грунта, Ом·м]])),AB528/SQRT(Таблица_pr4[[#This Row],[Удельное сопротивление грунта, Ом·м]]))</f>
        <v/>
      </c>
      <c r="AE528" s="53"/>
      <c r="AF528" s="52"/>
      <c r="AG528" s="50"/>
      <c r="AH528" s="61" t="str">
        <f t="shared" si="67"/>
        <v/>
      </c>
      <c r="AI528" s="61" t="str">
        <f>IFERROR(IF(AF528-AF527&lt;=0,"",AH528/SQRT(Таблица_pr5[[#This Row],[Удельное сопротивление грунта, Ом·м]])),AH528/SQRT(Таблица_pr5[[#This Row],[Удельное сопротивление грунта, Ом·м]]))</f>
        <v/>
      </c>
      <c r="AK528" s="53"/>
      <c r="AL528" s="52"/>
      <c r="AM528" s="50"/>
      <c r="AN528" s="61" t="str">
        <f t="shared" si="72"/>
        <v/>
      </c>
      <c r="AO528" s="61" t="str">
        <f>IFERROR(IF(AL528-AL527&lt;=0,"",AN528/SQRT(Таблица_pr6[[#This Row],[Удельное сопротивление грунта, Ом·м]])),AN528/SQRT(Таблица_pr6[[#This Row],[Удельное сопротивление грунта, Ом·м]]))</f>
        <v/>
      </c>
      <c r="AQ528" s="53"/>
      <c r="AR528" s="52"/>
      <c r="AS528" s="50"/>
      <c r="AT528" s="61" t="str">
        <f t="shared" si="68"/>
        <v/>
      </c>
      <c r="AU528" s="61" t="str">
        <f>IFERROR(IF(AR528-AR527&lt;=0,"",AT528/SQRT(Таблица_pr7[[#This Row],[Удельное сопротивление грунта, Ом·м]])),AT528/SQRT(Таблица_pr7[[#This Row],[Удельное сопротивление грунта, Ом·м]]))</f>
        <v/>
      </c>
      <c r="AW528" s="53"/>
      <c r="AX528" s="52"/>
      <c r="AY528" s="50"/>
      <c r="AZ528" s="61" t="str">
        <f t="shared" si="73"/>
        <v/>
      </c>
      <c r="BA528" s="61" t="str">
        <f>IFERROR(IF(AX528-AX527&lt;=0,"",AZ528/SQRT(Таблица_pr8[[#This Row],[Удельное сопротивление грунта, Ом·м]])),AZ528/SQRT(Таблица_pr8[[#This Row],[Удельное сопротивление грунта, Ом·м]]))</f>
        <v/>
      </c>
      <c r="BC528" s="53"/>
      <c r="BD528" s="52"/>
      <c r="BE528" s="50"/>
      <c r="BF528" s="61" t="str">
        <f t="shared" si="69"/>
        <v/>
      </c>
      <c r="BG528" s="61" t="str">
        <f>IFERROR(IF(BD528-AX547&lt;=0,"",BF528/SQRT(Таблица_pr9[[#This Row],[Удельное сопротивление грунта, Ом·м]])),BF528/SQRT(Таблица_pr9[[#This Row],[Удельное сопротивление грунта, Ом·м]]))</f>
        <v/>
      </c>
      <c r="BI528" s="53"/>
      <c r="BJ528" s="52"/>
      <c r="BK528" s="50"/>
      <c r="BL528" s="61" t="str">
        <f t="shared" si="74"/>
        <v/>
      </c>
      <c r="BM528" s="61" t="str">
        <f>IFERROR(IF(BJ528-BD557&lt;=0,"",BL528/SQRT(Таблица_pr10[[#This Row],[Удельное сопротивление грунта, Ом·м]])),BL528/SQRT(Таблица_pr10[[#This Row],[Удельное сопротивление грунта, Ом·м]]))</f>
        <v/>
      </c>
    </row>
    <row r="529" spans="1:65">
      <c r="A529" s="51"/>
      <c r="B529" s="52"/>
      <c r="C529" s="50"/>
      <c r="D529" s="61" t="str">
        <f t="shared" si="64"/>
        <v/>
      </c>
      <c r="E529" s="61" t="str">
        <f>IFERROR(IF(B529-B528&lt;=0,"",D529/SQRT(Таблица_pr[[#This Row],[Удельное сопротивление грунта, Ом·м]])),D529/SQRT(Таблица_pr[[#This Row],[Удельное сопротивление грунта, Ом·м]]))</f>
        <v/>
      </c>
      <c r="G529" s="189"/>
      <c r="H529" s="185"/>
      <c r="I529" s="183"/>
      <c r="J529" s="180" t="str">
        <f t="shared" si="65"/>
        <v/>
      </c>
      <c r="K529" s="61" t="str">
        <f>IFERROR(IF(H529-H528&lt;=0,"",J529/SQRT(Таблица_pr1[[#This Row],[Удельное сопротивление грунта, Ом·м]])),J529/SQRT(Таблица_pr1[[#This Row],[Удельное сопротивление грунта, Ом·м]]))</f>
        <v/>
      </c>
      <c r="M529" s="51"/>
      <c r="N529" s="52"/>
      <c r="O529" s="50"/>
      <c r="P529" s="61" t="str">
        <f t="shared" si="70"/>
        <v/>
      </c>
      <c r="Q529" s="61" t="str">
        <f>IFERROR(IF(N529-N528&lt;=0,"",P529/SQRT(Таблица_pr2[[#This Row],[Удельное сопротивление грунта, Ом·м]])),P529/SQRT(Таблица_pr2[[#This Row],[Удельное сопротивление грунта, Ом·м]]))</f>
        <v/>
      </c>
      <c r="S529" s="51"/>
      <c r="T529" s="52"/>
      <c r="U529" s="50"/>
      <c r="V529" s="61" t="str">
        <f t="shared" si="66"/>
        <v/>
      </c>
      <c r="W529" s="61" t="str">
        <f>IFERROR(IF(T529-T528&lt;=0,"",V529/SQRT(Таблица_pr3[[#This Row],[Удельное сопротивление грунта, Ом·м]])),V529/SQRT(Таблица_pr3[[#This Row],[Удельное сопротивление грунта, Ом·м]]))</f>
        <v/>
      </c>
      <c r="Y529" s="51"/>
      <c r="Z529" s="52"/>
      <c r="AA529" s="50"/>
      <c r="AB529" s="61" t="str">
        <f t="shared" si="71"/>
        <v/>
      </c>
      <c r="AC529" s="61" t="str">
        <f>IFERROR(IF(Z529-Z528&lt;=0,"",AB529/SQRT(Таблица_pr4[[#This Row],[Удельное сопротивление грунта, Ом·м]])),AB529/SQRT(Таблица_pr4[[#This Row],[Удельное сопротивление грунта, Ом·м]]))</f>
        <v/>
      </c>
      <c r="AE529" s="51"/>
      <c r="AF529" s="52"/>
      <c r="AG529" s="50"/>
      <c r="AH529" s="61" t="str">
        <f t="shared" si="67"/>
        <v/>
      </c>
      <c r="AI529" s="61" t="str">
        <f>IFERROR(IF(AF529-AF528&lt;=0,"",AH529/SQRT(Таблица_pr5[[#This Row],[Удельное сопротивление грунта, Ом·м]])),AH529/SQRT(Таблица_pr5[[#This Row],[Удельное сопротивление грунта, Ом·м]]))</f>
        <v/>
      </c>
      <c r="AK529" s="51"/>
      <c r="AL529" s="52"/>
      <c r="AM529" s="50"/>
      <c r="AN529" s="61" t="str">
        <f t="shared" si="72"/>
        <v/>
      </c>
      <c r="AO529" s="61" t="str">
        <f>IFERROR(IF(AL529-AL528&lt;=0,"",AN529/SQRT(Таблица_pr6[[#This Row],[Удельное сопротивление грунта, Ом·м]])),AN529/SQRT(Таблица_pr6[[#This Row],[Удельное сопротивление грунта, Ом·м]]))</f>
        <v/>
      </c>
      <c r="AQ529" s="51"/>
      <c r="AR529" s="52"/>
      <c r="AS529" s="50"/>
      <c r="AT529" s="61" t="str">
        <f t="shared" si="68"/>
        <v/>
      </c>
      <c r="AU529" s="61" t="str">
        <f>IFERROR(IF(AR529-AR528&lt;=0,"",AT529/SQRT(Таблица_pr7[[#This Row],[Удельное сопротивление грунта, Ом·м]])),AT529/SQRT(Таблица_pr7[[#This Row],[Удельное сопротивление грунта, Ом·м]]))</f>
        <v/>
      </c>
      <c r="AW529" s="51"/>
      <c r="AX529" s="52"/>
      <c r="AY529" s="50"/>
      <c r="AZ529" s="61" t="str">
        <f t="shared" si="73"/>
        <v/>
      </c>
      <c r="BA529" s="61" t="str">
        <f>IFERROR(IF(AX529-AX528&lt;=0,"",AZ529/SQRT(Таблица_pr8[[#This Row],[Удельное сопротивление грунта, Ом·м]])),AZ529/SQRT(Таблица_pr8[[#This Row],[Удельное сопротивление грунта, Ом·м]]))</f>
        <v/>
      </c>
      <c r="BC529" s="51"/>
      <c r="BD529" s="52"/>
      <c r="BE529" s="50"/>
      <c r="BF529" s="61" t="str">
        <f t="shared" si="69"/>
        <v/>
      </c>
      <c r="BG529" s="61" t="str">
        <f>IFERROR(IF(BD529-AX548&lt;=0,"",BF529/SQRT(Таблица_pr9[[#This Row],[Удельное сопротивление грунта, Ом·м]])),BF529/SQRT(Таблица_pr9[[#This Row],[Удельное сопротивление грунта, Ом·м]]))</f>
        <v/>
      </c>
      <c r="BI529" s="51"/>
      <c r="BJ529" s="52"/>
      <c r="BK529" s="50"/>
      <c r="BL529" s="61" t="str">
        <f t="shared" si="74"/>
        <v/>
      </c>
      <c r="BM529" s="61" t="str">
        <f>IFERROR(IF(BJ529-BD558&lt;=0,"",BL529/SQRT(Таблица_pr10[[#This Row],[Удельное сопротивление грунта, Ом·м]])),BL529/SQRT(Таблица_pr10[[#This Row],[Удельное сопротивление грунта, Ом·м]]))</f>
        <v/>
      </c>
    </row>
    <row r="530" spans="1:65">
      <c r="A530" s="53"/>
      <c r="B530" s="52"/>
      <c r="C530" s="50"/>
      <c r="D530" s="61" t="str">
        <f t="shared" si="64"/>
        <v/>
      </c>
      <c r="E530" s="61" t="str">
        <f>IFERROR(IF(B530-B529&lt;=0,"",D530/SQRT(Таблица_pr[[#This Row],[Удельное сопротивление грунта, Ом·м]])),D530/SQRT(Таблица_pr[[#This Row],[Удельное сопротивление грунта, Ом·м]]))</f>
        <v/>
      </c>
      <c r="G530" s="188"/>
      <c r="H530" s="184"/>
      <c r="I530" s="182"/>
      <c r="J530" s="181" t="str">
        <f t="shared" si="65"/>
        <v/>
      </c>
      <c r="K530" s="61" t="str">
        <f>IFERROR(IF(H530-H529&lt;=0,"",J530/SQRT(Таблица_pr1[[#This Row],[Удельное сопротивление грунта, Ом·м]])),J530/SQRT(Таблица_pr1[[#This Row],[Удельное сопротивление грунта, Ом·м]]))</f>
        <v/>
      </c>
      <c r="M530" s="53"/>
      <c r="N530" s="52"/>
      <c r="O530" s="50"/>
      <c r="P530" s="61" t="str">
        <f t="shared" si="70"/>
        <v/>
      </c>
      <c r="Q530" s="61" t="str">
        <f>IFERROR(IF(N530-N529&lt;=0,"",P530/SQRT(Таблица_pr2[[#This Row],[Удельное сопротивление грунта, Ом·м]])),P530/SQRT(Таблица_pr2[[#This Row],[Удельное сопротивление грунта, Ом·м]]))</f>
        <v/>
      </c>
      <c r="S530" s="53"/>
      <c r="T530" s="52"/>
      <c r="U530" s="50"/>
      <c r="V530" s="61" t="str">
        <f t="shared" si="66"/>
        <v/>
      </c>
      <c r="W530" s="61" t="str">
        <f>IFERROR(IF(T530-T529&lt;=0,"",V530/SQRT(Таблица_pr3[[#This Row],[Удельное сопротивление грунта, Ом·м]])),V530/SQRT(Таблица_pr3[[#This Row],[Удельное сопротивление грунта, Ом·м]]))</f>
        <v/>
      </c>
      <c r="Y530" s="53"/>
      <c r="Z530" s="52"/>
      <c r="AA530" s="50"/>
      <c r="AB530" s="61" t="str">
        <f t="shared" si="71"/>
        <v/>
      </c>
      <c r="AC530" s="61" t="str">
        <f>IFERROR(IF(Z530-Z529&lt;=0,"",AB530/SQRT(Таблица_pr4[[#This Row],[Удельное сопротивление грунта, Ом·м]])),AB530/SQRT(Таблица_pr4[[#This Row],[Удельное сопротивление грунта, Ом·м]]))</f>
        <v/>
      </c>
      <c r="AE530" s="53"/>
      <c r="AF530" s="52"/>
      <c r="AG530" s="50"/>
      <c r="AH530" s="61" t="str">
        <f t="shared" si="67"/>
        <v/>
      </c>
      <c r="AI530" s="61" t="str">
        <f>IFERROR(IF(AF530-AF529&lt;=0,"",AH530/SQRT(Таблица_pr5[[#This Row],[Удельное сопротивление грунта, Ом·м]])),AH530/SQRT(Таблица_pr5[[#This Row],[Удельное сопротивление грунта, Ом·м]]))</f>
        <v/>
      </c>
      <c r="AK530" s="53"/>
      <c r="AL530" s="52"/>
      <c r="AM530" s="50"/>
      <c r="AN530" s="61" t="str">
        <f t="shared" si="72"/>
        <v/>
      </c>
      <c r="AO530" s="61" t="str">
        <f>IFERROR(IF(AL530-AL529&lt;=0,"",AN530/SQRT(Таблица_pr6[[#This Row],[Удельное сопротивление грунта, Ом·м]])),AN530/SQRT(Таблица_pr6[[#This Row],[Удельное сопротивление грунта, Ом·м]]))</f>
        <v/>
      </c>
      <c r="AQ530" s="53"/>
      <c r="AR530" s="52"/>
      <c r="AS530" s="50"/>
      <c r="AT530" s="61" t="str">
        <f t="shared" si="68"/>
        <v/>
      </c>
      <c r="AU530" s="61" t="str">
        <f>IFERROR(IF(AR530-AR529&lt;=0,"",AT530/SQRT(Таблица_pr7[[#This Row],[Удельное сопротивление грунта, Ом·м]])),AT530/SQRT(Таблица_pr7[[#This Row],[Удельное сопротивление грунта, Ом·м]]))</f>
        <v/>
      </c>
      <c r="AW530" s="53"/>
      <c r="AX530" s="52"/>
      <c r="AY530" s="50"/>
      <c r="AZ530" s="61" t="str">
        <f t="shared" si="73"/>
        <v/>
      </c>
      <c r="BA530" s="61" t="str">
        <f>IFERROR(IF(AX530-AX529&lt;=0,"",AZ530/SQRT(Таблица_pr8[[#This Row],[Удельное сопротивление грунта, Ом·м]])),AZ530/SQRT(Таблица_pr8[[#This Row],[Удельное сопротивление грунта, Ом·м]]))</f>
        <v/>
      </c>
      <c r="BC530" s="53"/>
      <c r="BD530" s="52"/>
      <c r="BE530" s="50"/>
      <c r="BF530" s="61" t="str">
        <f t="shared" si="69"/>
        <v/>
      </c>
      <c r="BG530" s="61" t="str">
        <f>IFERROR(IF(BD530-AX549&lt;=0,"",BF530/SQRT(Таблица_pr9[[#This Row],[Удельное сопротивление грунта, Ом·м]])),BF530/SQRT(Таблица_pr9[[#This Row],[Удельное сопротивление грунта, Ом·м]]))</f>
        <v/>
      </c>
      <c r="BI530" s="53"/>
      <c r="BJ530" s="52"/>
      <c r="BK530" s="50"/>
      <c r="BL530" s="61" t="str">
        <f t="shared" si="74"/>
        <v/>
      </c>
      <c r="BM530" s="61" t="str">
        <f>IFERROR(IF(BJ530-BD559&lt;=0,"",BL530/SQRT(Таблица_pr10[[#This Row],[Удельное сопротивление грунта, Ом·м]])),BL530/SQRT(Таблица_pr10[[#This Row],[Удельное сопротивление грунта, Ом·м]]))</f>
        <v/>
      </c>
    </row>
    <row r="531" spans="1:65">
      <c r="A531" s="51"/>
      <c r="B531" s="52"/>
      <c r="C531" s="50"/>
      <c r="D531" s="61" t="str">
        <f t="shared" si="64"/>
        <v/>
      </c>
      <c r="E531" s="61" t="str">
        <f>IFERROR(IF(B531-B530&lt;=0,"",D531/SQRT(Таблица_pr[[#This Row],[Удельное сопротивление грунта, Ом·м]])),D531/SQRT(Таблица_pr[[#This Row],[Удельное сопротивление грунта, Ом·м]]))</f>
        <v/>
      </c>
      <c r="G531" s="189"/>
      <c r="H531" s="185"/>
      <c r="I531" s="183"/>
      <c r="J531" s="180" t="str">
        <f t="shared" si="65"/>
        <v/>
      </c>
      <c r="K531" s="61" t="str">
        <f>IFERROR(IF(H531-H530&lt;=0,"",J531/SQRT(Таблица_pr1[[#This Row],[Удельное сопротивление грунта, Ом·м]])),J531/SQRT(Таблица_pr1[[#This Row],[Удельное сопротивление грунта, Ом·м]]))</f>
        <v/>
      </c>
      <c r="M531" s="51"/>
      <c r="N531" s="52"/>
      <c r="O531" s="50"/>
      <c r="P531" s="61" t="str">
        <f t="shared" si="70"/>
        <v/>
      </c>
      <c r="Q531" s="61" t="str">
        <f>IFERROR(IF(N531-N530&lt;=0,"",P531/SQRT(Таблица_pr2[[#This Row],[Удельное сопротивление грунта, Ом·м]])),P531/SQRT(Таблица_pr2[[#This Row],[Удельное сопротивление грунта, Ом·м]]))</f>
        <v/>
      </c>
      <c r="S531" s="51"/>
      <c r="T531" s="52"/>
      <c r="U531" s="50"/>
      <c r="V531" s="61" t="str">
        <f t="shared" si="66"/>
        <v/>
      </c>
      <c r="W531" s="61" t="str">
        <f>IFERROR(IF(T531-T530&lt;=0,"",V531/SQRT(Таблица_pr3[[#This Row],[Удельное сопротивление грунта, Ом·м]])),V531/SQRT(Таблица_pr3[[#This Row],[Удельное сопротивление грунта, Ом·м]]))</f>
        <v/>
      </c>
      <c r="Y531" s="51"/>
      <c r="Z531" s="52"/>
      <c r="AA531" s="50"/>
      <c r="AB531" s="61" t="str">
        <f t="shared" si="71"/>
        <v/>
      </c>
      <c r="AC531" s="61" t="str">
        <f>IFERROR(IF(Z531-Z530&lt;=0,"",AB531/SQRT(Таблица_pr4[[#This Row],[Удельное сопротивление грунта, Ом·м]])),AB531/SQRT(Таблица_pr4[[#This Row],[Удельное сопротивление грунта, Ом·м]]))</f>
        <v/>
      </c>
      <c r="AE531" s="51"/>
      <c r="AF531" s="52"/>
      <c r="AG531" s="50"/>
      <c r="AH531" s="61" t="str">
        <f t="shared" si="67"/>
        <v/>
      </c>
      <c r="AI531" s="61" t="str">
        <f>IFERROR(IF(AF531-AF530&lt;=0,"",AH531/SQRT(Таблица_pr5[[#This Row],[Удельное сопротивление грунта, Ом·м]])),AH531/SQRT(Таблица_pr5[[#This Row],[Удельное сопротивление грунта, Ом·м]]))</f>
        <v/>
      </c>
      <c r="AK531" s="51"/>
      <c r="AL531" s="52"/>
      <c r="AM531" s="50"/>
      <c r="AN531" s="61" t="str">
        <f t="shared" si="72"/>
        <v/>
      </c>
      <c r="AO531" s="61" t="str">
        <f>IFERROR(IF(AL531-AL530&lt;=0,"",AN531/SQRT(Таблица_pr6[[#This Row],[Удельное сопротивление грунта, Ом·м]])),AN531/SQRT(Таблица_pr6[[#This Row],[Удельное сопротивление грунта, Ом·м]]))</f>
        <v/>
      </c>
      <c r="AQ531" s="51"/>
      <c r="AR531" s="52"/>
      <c r="AS531" s="50"/>
      <c r="AT531" s="61" t="str">
        <f t="shared" si="68"/>
        <v/>
      </c>
      <c r="AU531" s="61" t="str">
        <f>IFERROR(IF(AR531-AR530&lt;=0,"",AT531/SQRT(Таблица_pr7[[#This Row],[Удельное сопротивление грунта, Ом·м]])),AT531/SQRT(Таблица_pr7[[#This Row],[Удельное сопротивление грунта, Ом·м]]))</f>
        <v/>
      </c>
      <c r="AW531" s="51"/>
      <c r="AX531" s="52"/>
      <c r="AY531" s="50"/>
      <c r="AZ531" s="61" t="str">
        <f t="shared" si="73"/>
        <v/>
      </c>
      <c r="BA531" s="61" t="str">
        <f>IFERROR(IF(AX531-AX530&lt;=0,"",AZ531/SQRT(Таблица_pr8[[#This Row],[Удельное сопротивление грунта, Ом·м]])),AZ531/SQRT(Таблица_pr8[[#This Row],[Удельное сопротивление грунта, Ом·м]]))</f>
        <v/>
      </c>
      <c r="BC531" s="51"/>
      <c r="BD531" s="52"/>
      <c r="BE531" s="50"/>
      <c r="BF531" s="61" t="str">
        <f t="shared" si="69"/>
        <v/>
      </c>
      <c r="BG531" s="61" t="str">
        <f>IFERROR(IF(BD531-AX550&lt;=0,"",BF531/SQRT(Таблица_pr9[[#This Row],[Удельное сопротивление грунта, Ом·м]])),BF531/SQRT(Таблица_pr9[[#This Row],[Удельное сопротивление грунта, Ом·м]]))</f>
        <v/>
      </c>
      <c r="BI531" s="51"/>
      <c r="BJ531" s="52"/>
      <c r="BK531" s="50"/>
      <c r="BL531" s="61" t="str">
        <f t="shared" si="74"/>
        <v/>
      </c>
      <c r="BM531" s="61" t="str">
        <f>IFERROR(IF(BJ531-BD560&lt;=0,"",BL531/SQRT(Таблица_pr10[[#This Row],[Удельное сопротивление грунта, Ом·м]])),BL531/SQRT(Таблица_pr10[[#This Row],[Удельное сопротивление грунта, Ом·м]]))</f>
        <v/>
      </c>
    </row>
    <row r="532" spans="1:65">
      <c r="A532" s="53"/>
      <c r="B532" s="52"/>
      <c r="C532" s="50"/>
      <c r="D532" s="61" t="str">
        <f t="shared" si="64"/>
        <v/>
      </c>
      <c r="E532" s="61" t="str">
        <f>IFERROR(IF(B532-B531&lt;=0,"",D532/SQRT(Таблица_pr[[#This Row],[Удельное сопротивление грунта, Ом·м]])),D532/SQRT(Таблица_pr[[#This Row],[Удельное сопротивление грунта, Ом·м]]))</f>
        <v/>
      </c>
      <c r="G532" s="188"/>
      <c r="H532" s="184"/>
      <c r="I532" s="182"/>
      <c r="J532" s="181" t="str">
        <f t="shared" si="65"/>
        <v/>
      </c>
      <c r="K532" s="61" t="str">
        <f>IFERROR(IF(H532-H531&lt;=0,"",J532/SQRT(Таблица_pr1[[#This Row],[Удельное сопротивление грунта, Ом·м]])),J532/SQRT(Таблица_pr1[[#This Row],[Удельное сопротивление грунта, Ом·м]]))</f>
        <v/>
      </c>
      <c r="M532" s="53"/>
      <c r="N532" s="52"/>
      <c r="O532" s="50"/>
      <c r="P532" s="61" t="str">
        <f t="shared" si="70"/>
        <v/>
      </c>
      <c r="Q532" s="61" t="str">
        <f>IFERROR(IF(N532-N531&lt;=0,"",P532/SQRT(Таблица_pr2[[#This Row],[Удельное сопротивление грунта, Ом·м]])),P532/SQRT(Таблица_pr2[[#This Row],[Удельное сопротивление грунта, Ом·м]]))</f>
        <v/>
      </c>
      <c r="S532" s="53"/>
      <c r="T532" s="52"/>
      <c r="U532" s="50"/>
      <c r="V532" s="61" t="str">
        <f t="shared" si="66"/>
        <v/>
      </c>
      <c r="W532" s="61" t="str">
        <f>IFERROR(IF(T532-T531&lt;=0,"",V532/SQRT(Таблица_pr3[[#This Row],[Удельное сопротивление грунта, Ом·м]])),V532/SQRT(Таблица_pr3[[#This Row],[Удельное сопротивление грунта, Ом·м]]))</f>
        <v/>
      </c>
      <c r="Y532" s="53"/>
      <c r="Z532" s="52"/>
      <c r="AA532" s="50"/>
      <c r="AB532" s="61" t="str">
        <f t="shared" si="71"/>
        <v/>
      </c>
      <c r="AC532" s="61" t="str">
        <f>IFERROR(IF(Z532-Z531&lt;=0,"",AB532/SQRT(Таблица_pr4[[#This Row],[Удельное сопротивление грунта, Ом·м]])),AB532/SQRT(Таблица_pr4[[#This Row],[Удельное сопротивление грунта, Ом·м]]))</f>
        <v/>
      </c>
      <c r="AE532" s="53"/>
      <c r="AF532" s="52"/>
      <c r="AG532" s="50"/>
      <c r="AH532" s="61" t="str">
        <f t="shared" si="67"/>
        <v/>
      </c>
      <c r="AI532" s="61" t="str">
        <f>IFERROR(IF(AF532-AF531&lt;=0,"",AH532/SQRT(Таблица_pr5[[#This Row],[Удельное сопротивление грунта, Ом·м]])),AH532/SQRT(Таблица_pr5[[#This Row],[Удельное сопротивление грунта, Ом·м]]))</f>
        <v/>
      </c>
      <c r="AK532" s="53"/>
      <c r="AL532" s="52"/>
      <c r="AM532" s="50"/>
      <c r="AN532" s="61" t="str">
        <f t="shared" si="72"/>
        <v/>
      </c>
      <c r="AO532" s="61" t="str">
        <f>IFERROR(IF(AL532-AL531&lt;=0,"",AN532/SQRT(Таблица_pr6[[#This Row],[Удельное сопротивление грунта, Ом·м]])),AN532/SQRT(Таблица_pr6[[#This Row],[Удельное сопротивление грунта, Ом·м]]))</f>
        <v/>
      </c>
      <c r="AQ532" s="53"/>
      <c r="AR532" s="52"/>
      <c r="AS532" s="50"/>
      <c r="AT532" s="61" t="str">
        <f t="shared" si="68"/>
        <v/>
      </c>
      <c r="AU532" s="61" t="str">
        <f>IFERROR(IF(AR532-AR531&lt;=0,"",AT532/SQRT(Таблица_pr7[[#This Row],[Удельное сопротивление грунта, Ом·м]])),AT532/SQRT(Таблица_pr7[[#This Row],[Удельное сопротивление грунта, Ом·м]]))</f>
        <v/>
      </c>
      <c r="AW532" s="53"/>
      <c r="AX532" s="52"/>
      <c r="AY532" s="50"/>
      <c r="AZ532" s="61" t="str">
        <f t="shared" si="73"/>
        <v/>
      </c>
      <c r="BA532" s="61" t="str">
        <f>IFERROR(IF(AX532-AX531&lt;=0,"",AZ532/SQRT(Таблица_pr8[[#This Row],[Удельное сопротивление грунта, Ом·м]])),AZ532/SQRT(Таблица_pr8[[#This Row],[Удельное сопротивление грунта, Ом·м]]))</f>
        <v/>
      </c>
      <c r="BC532" s="53"/>
      <c r="BD532" s="52"/>
      <c r="BE532" s="50"/>
      <c r="BF532" s="61" t="str">
        <f t="shared" si="69"/>
        <v/>
      </c>
      <c r="BG532" s="61" t="str">
        <f>IFERROR(IF(BD532-AX551&lt;=0,"",BF532/SQRT(Таблица_pr9[[#This Row],[Удельное сопротивление грунта, Ом·м]])),BF532/SQRT(Таблица_pr9[[#This Row],[Удельное сопротивление грунта, Ом·м]]))</f>
        <v/>
      </c>
      <c r="BI532" s="53"/>
      <c r="BJ532" s="52"/>
      <c r="BK532" s="50"/>
      <c r="BL532" s="61" t="str">
        <f t="shared" si="74"/>
        <v/>
      </c>
      <c r="BM532" s="61" t="str">
        <f>IFERROR(IF(BJ532-BD561&lt;=0,"",BL532/SQRT(Таблица_pr10[[#This Row],[Удельное сопротивление грунта, Ом·м]])),BL532/SQRT(Таблица_pr10[[#This Row],[Удельное сопротивление грунта, Ом·м]]))</f>
        <v/>
      </c>
    </row>
    <row r="533" spans="1:65">
      <c r="A533" s="51"/>
      <c r="B533" s="52"/>
      <c r="C533" s="50"/>
      <c r="D533" s="61" t="str">
        <f t="shared" si="64"/>
        <v/>
      </c>
      <c r="E533" s="61" t="str">
        <f>IFERROR(IF(B533-B532&lt;=0,"",D533/SQRT(Таблица_pr[[#This Row],[Удельное сопротивление грунта, Ом·м]])),D533/SQRT(Таблица_pr[[#This Row],[Удельное сопротивление грунта, Ом·м]]))</f>
        <v/>
      </c>
      <c r="G533" s="189"/>
      <c r="H533" s="185"/>
      <c r="I533" s="183"/>
      <c r="J533" s="180" t="str">
        <f t="shared" si="65"/>
        <v/>
      </c>
      <c r="K533" s="61" t="str">
        <f>IFERROR(IF(H533-H532&lt;=0,"",J533/SQRT(Таблица_pr1[[#This Row],[Удельное сопротивление грунта, Ом·м]])),J533/SQRT(Таблица_pr1[[#This Row],[Удельное сопротивление грунта, Ом·м]]))</f>
        <v/>
      </c>
      <c r="M533" s="51"/>
      <c r="N533" s="52"/>
      <c r="O533" s="50"/>
      <c r="P533" s="61" t="str">
        <f t="shared" si="70"/>
        <v/>
      </c>
      <c r="Q533" s="61" t="str">
        <f>IFERROR(IF(N533-N532&lt;=0,"",P533/SQRT(Таблица_pr2[[#This Row],[Удельное сопротивление грунта, Ом·м]])),P533/SQRT(Таблица_pr2[[#This Row],[Удельное сопротивление грунта, Ом·м]]))</f>
        <v/>
      </c>
      <c r="S533" s="51"/>
      <c r="T533" s="52"/>
      <c r="U533" s="50"/>
      <c r="V533" s="61" t="str">
        <f t="shared" si="66"/>
        <v/>
      </c>
      <c r="W533" s="61" t="str">
        <f>IFERROR(IF(T533-T532&lt;=0,"",V533/SQRT(Таблица_pr3[[#This Row],[Удельное сопротивление грунта, Ом·м]])),V533/SQRT(Таблица_pr3[[#This Row],[Удельное сопротивление грунта, Ом·м]]))</f>
        <v/>
      </c>
      <c r="Y533" s="51"/>
      <c r="Z533" s="52"/>
      <c r="AA533" s="50"/>
      <c r="AB533" s="61" t="str">
        <f t="shared" si="71"/>
        <v/>
      </c>
      <c r="AC533" s="61" t="str">
        <f>IFERROR(IF(Z533-Z532&lt;=0,"",AB533/SQRT(Таблица_pr4[[#This Row],[Удельное сопротивление грунта, Ом·м]])),AB533/SQRT(Таблица_pr4[[#This Row],[Удельное сопротивление грунта, Ом·м]]))</f>
        <v/>
      </c>
      <c r="AE533" s="51"/>
      <c r="AF533" s="52"/>
      <c r="AG533" s="50"/>
      <c r="AH533" s="61" t="str">
        <f t="shared" si="67"/>
        <v/>
      </c>
      <c r="AI533" s="61" t="str">
        <f>IFERROR(IF(AF533-AF532&lt;=0,"",AH533/SQRT(Таблица_pr5[[#This Row],[Удельное сопротивление грунта, Ом·м]])),AH533/SQRT(Таблица_pr5[[#This Row],[Удельное сопротивление грунта, Ом·м]]))</f>
        <v/>
      </c>
      <c r="AK533" s="51"/>
      <c r="AL533" s="52"/>
      <c r="AM533" s="50"/>
      <c r="AN533" s="61" t="str">
        <f t="shared" si="72"/>
        <v/>
      </c>
      <c r="AO533" s="61" t="str">
        <f>IFERROR(IF(AL533-AL532&lt;=0,"",AN533/SQRT(Таблица_pr6[[#This Row],[Удельное сопротивление грунта, Ом·м]])),AN533/SQRT(Таблица_pr6[[#This Row],[Удельное сопротивление грунта, Ом·м]]))</f>
        <v/>
      </c>
      <c r="AQ533" s="51"/>
      <c r="AR533" s="52"/>
      <c r="AS533" s="50"/>
      <c r="AT533" s="61" t="str">
        <f t="shared" si="68"/>
        <v/>
      </c>
      <c r="AU533" s="61" t="str">
        <f>IFERROR(IF(AR533-AR532&lt;=0,"",AT533/SQRT(Таблица_pr7[[#This Row],[Удельное сопротивление грунта, Ом·м]])),AT533/SQRT(Таблица_pr7[[#This Row],[Удельное сопротивление грунта, Ом·м]]))</f>
        <v/>
      </c>
      <c r="AW533" s="51"/>
      <c r="AX533" s="52"/>
      <c r="AY533" s="50"/>
      <c r="AZ533" s="61" t="str">
        <f t="shared" si="73"/>
        <v/>
      </c>
      <c r="BA533" s="61" t="str">
        <f>IFERROR(IF(AX533-AX532&lt;=0,"",AZ533/SQRT(Таблица_pr8[[#This Row],[Удельное сопротивление грунта, Ом·м]])),AZ533/SQRT(Таблица_pr8[[#This Row],[Удельное сопротивление грунта, Ом·м]]))</f>
        <v/>
      </c>
      <c r="BC533" s="51"/>
      <c r="BD533" s="52"/>
      <c r="BE533" s="50"/>
      <c r="BF533" s="61" t="str">
        <f t="shared" si="69"/>
        <v/>
      </c>
      <c r="BG533" s="61" t="str">
        <f>IFERROR(IF(BD533-AX552&lt;=0,"",BF533/SQRT(Таблица_pr9[[#This Row],[Удельное сопротивление грунта, Ом·м]])),BF533/SQRT(Таблица_pr9[[#This Row],[Удельное сопротивление грунта, Ом·м]]))</f>
        <v/>
      </c>
      <c r="BI533" s="51"/>
      <c r="BJ533" s="52"/>
      <c r="BK533" s="50"/>
      <c r="BL533" s="61" t="str">
        <f t="shared" si="74"/>
        <v/>
      </c>
      <c r="BM533" s="61" t="str">
        <f>IFERROR(IF(BJ533-BD562&lt;=0,"",BL533/SQRT(Таблица_pr10[[#This Row],[Удельное сопротивление грунта, Ом·м]])),BL533/SQRT(Таблица_pr10[[#This Row],[Удельное сопротивление грунта, Ом·м]]))</f>
        <v/>
      </c>
    </row>
    <row r="534" spans="1:65">
      <c r="A534" s="53"/>
      <c r="B534" s="52"/>
      <c r="C534" s="50"/>
      <c r="D534" s="61" t="str">
        <f t="shared" si="64"/>
        <v/>
      </c>
      <c r="E534" s="61" t="str">
        <f>IFERROR(IF(B534-B533&lt;=0,"",D534/SQRT(Таблица_pr[[#This Row],[Удельное сопротивление грунта, Ом·м]])),D534/SQRT(Таблица_pr[[#This Row],[Удельное сопротивление грунта, Ом·м]]))</f>
        <v/>
      </c>
      <c r="G534" s="188"/>
      <c r="H534" s="184"/>
      <c r="I534" s="182"/>
      <c r="J534" s="181" t="str">
        <f t="shared" si="65"/>
        <v/>
      </c>
      <c r="K534" s="61" t="str">
        <f>IFERROR(IF(H534-H533&lt;=0,"",J534/SQRT(Таблица_pr1[[#This Row],[Удельное сопротивление грунта, Ом·м]])),J534/SQRT(Таблица_pr1[[#This Row],[Удельное сопротивление грунта, Ом·м]]))</f>
        <v/>
      </c>
      <c r="M534" s="53"/>
      <c r="N534" s="52"/>
      <c r="O534" s="50"/>
      <c r="P534" s="61" t="str">
        <f t="shared" si="70"/>
        <v/>
      </c>
      <c r="Q534" s="61" t="str">
        <f>IFERROR(IF(N534-N533&lt;=0,"",P534/SQRT(Таблица_pr2[[#This Row],[Удельное сопротивление грунта, Ом·м]])),P534/SQRT(Таблица_pr2[[#This Row],[Удельное сопротивление грунта, Ом·м]]))</f>
        <v/>
      </c>
      <c r="S534" s="53"/>
      <c r="T534" s="52"/>
      <c r="U534" s="50"/>
      <c r="V534" s="61" t="str">
        <f t="shared" si="66"/>
        <v/>
      </c>
      <c r="W534" s="61" t="str">
        <f>IFERROR(IF(T534-T533&lt;=0,"",V534/SQRT(Таблица_pr3[[#This Row],[Удельное сопротивление грунта, Ом·м]])),V534/SQRT(Таблица_pr3[[#This Row],[Удельное сопротивление грунта, Ом·м]]))</f>
        <v/>
      </c>
      <c r="Y534" s="53"/>
      <c r="Z534" s="52"/>
      <c r="AA534" s="50"/>
      <c r="AB534" s="61" t="str">
        <f t="shared" si="71"/>
        <v/>
      </c>
      <c r="AC534" s="61" t="str">
        <f>IFERROR(IF(Z534-Z533&lt;=0,"",AB534/SQRT(Таблица_pr4[[#This Row],[Удельное сопротивление грунта, Ом·м]])),AB534/SQRT(Таблица_pr4[[#This Row],[Удельное сопротивление грунта, Ом·м]]))</f>
        <v/>
      </c>
      <c r="AE534" s="53"/>
      <c r="AF534" s="52"/>
      <c r="AG534" s="50"/>
      <c r="AH534" s="61" t="str">
        <f t="shared" si="67"/>
        <v/>
      </c>
      <c r="AI534" s="61" t="str">
        <f>IFERROR(IF(AF534-AF533&lt;=0,"",AH534/SQRT(Таблица_pr5[[#This Row],[Удельное сопротивление грунта, Ом·м]])),AH534/SQRT(Таблица_pr5[[#This Row],[Удельное сопротивление грунта, Ом·м]]))</f>
        <v/>
      </c>
      <c r="AK534" s="53"/>
      <c r="AL534" s="52"/>
      <c r="AM534" s="50"/>
      <c r="AN534" s="61" t="str">
        <f t="shared" si="72"/>
        <v/>
      </c>
      <c r="AO534" s="61" t="str">
        <f>IFERROR(IF(AL534-AL533&lt;=0,"",AN534/SQRT(Таблица_pr6[[#This Row],[Удельное сопротивление грунта, Ом·м]])),AN534/SQRT(Таблица_pr6[[#This Row],[Удельное сопротивление грунта, Ом·м]]))</f>
        <v/>
      </c>
      <c r="AQ534" s="53"/>
      <c r="AR534" s="52"/>
      <c r="AS534" s="50"/>
      <c r="AT534" s="61" t="str">
        <f t="shared" si="68"/>
        <v/>
      </c>
      <c r="AU534" s="61" t="str">
        <f>IFERROR(IF(AR534-AR533&lt;=0,"",AT534/SQRT(Таблица_pr7[[#This Row],[Удельное сопротивление грунта, Ом·м]])),AT534/SQRT(Таблица_pr7[[#This Row],[Удельное сопротивление грунта, Ом·м]]))</f>
        <v/>
      </c>
      <c r="AW534" s="53"/>
      <c r="AX534" s="52"/>
      <c r="AY534" s="50"/>
      <c r="AZ534" s="61" t="str">
        <f t="shared" si="73"/>
        <v/>
      </c>
      <c r="BA534" s="61" t="str">
        <f>IFERROR(IF(AX534-AX533&lt;=0,"",AZ534/SQRT(Таблица_pr8[[#This Row],[Удельное сопротивление грунта, Ом·м]])),AZ534/SQRT(Таблица_pr8[[#This Row],[Удельное сопротивление грунта, Ом·м]]))</f>
        <v/>
      </c>
      <c r="BC534" s="53"/>
      <c r="BD534" s="52"/>
      <c r="BE534" s="50"/>
      <c r="BF534" s="61" t="str">
        <f t="shared" si="69"/>
        <v/>
      </c>
      <c r="BG534" s="61" t="str">
        <f>IFERROR(IF(BD534-AX553&lt;=0,"",BF534/SQRT(Таблица_pr9[[#This Row],[Удельное сопротивление грунта, Ом·м]])),BF534/SQRT(Таблица_pr9[[#This Row],[Удельное сопротивление грунта, Ом·м]]))</f>
        <v/>
      </c>
      <c r="BI534" s="53"/>
      <c r="BJ534" s="52"/>
      <c r="BK534" s="50"/>
      <c r="BL534" s="61" t="str">
        <f t="shared" si="74"/>
        <v/>
      </c>
      <c r="BM534" s="61" t="str">
        <f>IFERROR(IF(BJ534-BD563&lt;=0,"",BL534/SQRT(Таблица_pr10[[#This Row],[Удельное сопротивление грунта, Ом·м]])),BL534/SQRT(Таблица_pr10[[#This Row],[Удельное сопротивление грунта, Ом·м]]))</f>
        <v/>
      </c>
    </row>
    <row r="535" spans="1:65">
      <c r="A535" s="51"/>
      <c r="B535" s="52"/>
      <c r="C535" s="50"/>
      <c r="D535" s="61" t="str">
        <f t="shared" si="64"/>
        <v/>
      </c>
      <c r="E535" s="61" t="str">
        <f>IFERROR(IF(B535-B534&lt;=0,"",D535/SQRT(Таблица_pr[[#This Row],[Удельное сопротивление грунта, Ом·м]])),D535/SQRT(Таблица_pr[[#This Row],[Удельное сопротивление грунта, Ом·м]]))</f>
        <v/>
      </c>
      <c r="G535" s="189"/>
      <c r="H535" s="185"/>
      <c r="I535" s="183"/>
      <c r="J535" s="180" t="str">
        <f t="shared" si="65"/>
        <v/>
      </c>
      <c r="K535" s="61" t="str">
        <f>IFERROR(IF(H535-H534&lt;=0,"",J535/SQRT(Таблица_pr1[[#This Row],[Удельное сопротивление грунта, Ом·м]])),J535/SQRT(Таблица_pr1[[#This Row],[Удельное сопротивление грунта, Ом·м]]))</f>
        <v/>
      </c>
      <c r="M535" s="51"/>
      <c r="N535" s="52"/>
      <c r="O535" s="50"/>
      <c r="P535" s="61" t="str">
        <f t="shared" si="70"/>
        <v/>
      </c>
      <c r="Q535" s="61" t="str">
        <f>IFERROR(IF(N535-N534&lt;=0,"",P535/SQRT(Таблица_pr2[[#This Row],[Удельное сопротивление грунта, Ом·м]])),P535/SQRT(Таблица_pr2[[#This Row],[Удельное сопротивление грунта, Ом·м]]))</f>
        <v/>
      </c>
      <c r="S535" s="51"/>
      <c r="T535" s="52"/>
      <c r="U535" s="50"/>
      <c r="V535" s="61" t="str">
        <f t="shared" si="66"/>
        <v/>
      </c>
      <c r="W535" s="61" t="str">
        <f>IFERROR(IF(T535-T534&lt;=0,"",V535/SQRT(Таблица_pr3[[#This Row],[Удельное сопротивление грунта, Ом·м]])),V535/SQRT(Таблица_pr3[[#This Row],[Удельное сопротивление грунта, Ом·м]]))</f>
        <v/>
      </c>
      <c r="Y535" s="51"/>
      <c r="Z535" s="52"/>
      <c r="AA535" s="50"/>
      <c r="AB535" s="61" t="str">
        <f t="shared" si="71"/>
        <v/>
      </c>
      <c r="AC535" s="61" t="str">
        <f>IFERROR(IF(Z535-Z534&lt;=0,"",AB535/SQRT(Таблица_pr4[[#This Row],[Удельное сопротивление грунта, Ом·м]])),AB535/SQRT(Таблица_pr4[[#This Row],[Удельное сопротивление грунта, Ом·м]]))</f>
        <v/>
      </c>
      <c r="AE535" s="51"/>
      <c r="AF535" s="52"/>
      <c r="AG535" s="50"/>
      <c r="AH535" s="61" t="str">
        <f t="shared" si="67"/>
        <v/>
      </c>
      <c r="AI535" s="61" t="str">
        <f>IFERROR(IF(AF535-AF534&lt;=0,"",AH535/SQRT(Таблица_pr5[[#This Row],[Удельное сопротивление грунта, Ом·м]])),AH535/SQRT(Таблица_pr5[[#This Row],[Удельное сопротивление грунта, Ом·м]]))</f>
        <v/>
      </c>
      <c r="AK535" s="51"/>
      <c r="AL535" s="52"/>
      <c r="AM535" s="50"/>
      <c r="AN535" s="61" t="str">
        <f t="shared" si="72"/>
        <v/>
      </c>
      <c r="AO535" s="61" t="str">
        <f>IFERROR(IF(AL535-AL534&lt;=0,"",AN535/SQRT(Таблица_pr6[[#This Row],[Удельное сопротивление грунта, Ом·м]])),AN535/SQRT(Таблица_pr6[[#This Row],[Удельное сопротивление грунта, Ом·м]]))</f>
        <v/>
      </c>
      <c r="AQ535" s="51"/>
      <c r="AR535" s="52"/>
      <c r="AS535" s="50"/>
      <c r="AT535" s="61" t="str">
        <f t="shared" si="68"/>
        <v/>
      </c>
      <c r="AU535" s="61" t="str">
        <f>IFERROR(IF(AR535-AR534&lt;=0,"",AT535/SQRT(Таблица_pr7[[#This Row],[Удельное сопротивление грунта, Ом·м]])),AT535/SQRT(Таблица_pr7[[#This Row],[Удельное сопротивление грунта, Ом·м]]))</f>
        <v/>
      </c>
      <c r="AW535" s="51"/>
      <c r="AX535" s="52"/>
      <c r="AY535" s="50"/>
      <c r="AZ535" s="61" t="str">
        <f t="shared" si="73"/>
        <v/>
      </c>
      <c r="BA535" s="61" t="str">
        <f>IFERROR(IF(AX535-AX534&lt;=0,"",AZ535/SQRT(Таблица_pr8[[#This Row],[Удельное сопротивление грунта, Ом·м]])),AZ535/SQRT(Таблица_pr8[[#This Row],[Удельное сопротивление грунта, Ом·м]]))</f>
        <v/>
      </c>
      <c r="BC535" s="51"/>
      <c r="BD535" s="52"/>
      <c r="BE535" s="50"/>
      <c r="BF535" s="61" t="str">
        <f t="shared" si="69"/>
        <v/>
      </c>
      <c r="BG535" s="61" t="str">
        <f>IFERROR(IF(BD535-AX554&lt;=0,"",BF535/SQRT(Таблица_pr9[[#This Row],[Удельное сопротивление грунта, Ом·м]])),BF535/SQRT(Таблица_pr9[[#This Row],[Удельное сопротивление грунта, Ом·м]]))</f>
        <v/>
      </c>
      <c r="BI535" s="51"/>
      <c r="BJ535" s="52"/>
      <c r="BK535" s="50"/>
      <c r="BL535" s="61" t="str">
        <f t="shared" si="74"/>
        <v/>
      </c>
      <c r="BM535" s="61" t="str">
        <f>IFERROR(IF(BJ535-BD564&lt;=0,"",BL535/SQRT(Таблица_pr10[[#This Row],[Удельное сопротивление грунта, Ом·м]])),BL535/SQRT(Таблица_pr10[[#This Row],[Удельное сопротивление грунта, Ом·м]]))</f>
        <v/>
      </c>
    </row>
    <row r="536" spans="1:65">
      <c r="A536" s="53"/>
      <c r="B536" s="52"/>
      <c r="C536" s="50"/>
      <c r="D536" s="61" t="str">
        <f t="shared" si="64"/>
        <v/>
      </c>
      <c r="E536" s="61" t="str">
        <f>IFERROR(IF(B536-B535&lt;=0,"",D536/SQRT(Таблица_pr[[#This Row],[Удельное сопротивление грунта, Ом·м]])),D536/SQRT(Таблица_pr[[#This Row],[Удельное сопротивление грунта, Ом·м]]))</f>
        <v/>
      </c>
      <c r="G536" s="188"/>
      <c r="H536" s="184"/>
      <c r="I536" s="182"/>
      <c r="J536" s="181" t="str">
        <f t="shared" si="65"/>
        <v/>
      </c>
      <c r="K536" s="61" t="str">
        <f>IFERROR(IF(H536-H535&lt;=0,"",J536/SQRT(Таблица_pr1[[#This Row],[Удельное сопротивление грунта, Ом·м]])),J536/SQRT(Таблица_pr1[[#This Row],[Удельное сопротивление грунта, Ом·м]]))</f>
        <v/>
      </c>
      <c r="M536" s="53"/>
      <c r="N536" s="52"/>
      <c r="O536" s="50"/>
      <c r="P536" s="61" t="str">
        <f t="shared" si="70"/>
        <v/>
      </c>
      <c r="Q536" s="61" t="str">
        <f>IFERROR(IF(N536-N535&lt;=0,"",P536/SQRT(Таблица_pr2[[#This Row],[Удельное сопротивление грунта, Ом·м]])),P536/SQRT(Таблица_pr2[[#This Row],[Удельное сопротивление грунта, Ом·м]]))</f>
        <v/>
      </c>
      <c r="S536" s="53"/>
      <c r="T536" s="52"/>
      <c r="U536" s="50"/>
      <c r="V536" s="61" t="str">
        <f t="shared" si="66"/>
        <v/>
      </c>
      <c r="W536" s="61" t="str">
        <f>IFERROR(IF(T536-T535&lt;=0,"",V536/SQRT(Таблица_pr3[[#This Row],[Удельное сопротивление грунта, Ом·м]])),V536/SQRT(Таблица_pr3[[#This Row],[Удельное сопротивление грунта, Ом·м]]))</f>
        <v/>
      </c>
      <c r="Y536" s="53"/>
      <c r="Z536" s="52"/>
      <c r="AA536" s="50"/>
      <c r="AB536" s="61" t="str">
        <f t="shared" si="71"/>
        <v/>
      </c>
      <c r="AC536" s="61" t="str">
        <f>IFERROR(IF(Z536-Z535&lt;=0,"",AB536/SQRT(Таблица_pr4[[#This Row],[Удельное сопротивление грунта, Ом·м]])),AB536/SQRT(Таблица_pr4[[#This Row],[Удельное сопротивление грунта, Ом·м]]))</f>
        <v/>
      </c>
      <c r="AE536" s="53"/>
      <c r="AF536" s="52"/>
      <c r="AG536" s="50"/>
      <c r="AH536" s="61" t="str">
        <f t="shared" si="67"/>
        <v/>
      </c>
      <c r="AI536" s="61" t="str">
        <f>IFERROR(IF(AF536-AF535&lt;=0,"",AH536/SQRT(Таблица_pr5[[#This Row],[Удельное сопротивление грунта, Ом·м]])),AH536/SQRT(Таблица_pr5[[#This Row],[Удельное сопротивление грунта, Ом·м]]))</f>
        <v/>
      </c>
      <c r="AK536" s="53"/>
      <c r="AL536" s="52"/>
      <c r="AM536" s="50"/>
      <c r="AN536" s="61" t="str">
        <f t="shared" si="72"/>
        <v/>
      </c>
      <c r="AO536" s="61" t="str">
        <f>IFERROR(IF(AL536-AL535&lt;=0,"",AN536/SQRT(Таблица_pr6[[#This Row],[Удельное сопротивление грунта, Ом·м]])),AN536/SQRT(Таблица_pr6[[#This Row],[Удельное сопротивление грунта, Ом·м]]))</f>
        <v/>
      </c>
      <c r="AQ536" s="53"/>
      <c r="AR536" s="52"/>
      <c r="AS536" s="50"/>
      <c r="AT536" s="61" t="str">
        <f t="shared" si="68"/>
        <v/>
      </c>
      <c r="AU536" s="61" t="str">
        <f>IFERROR(IF(AR536-AR535&lt;=0,"",AT536/SQRT(Таблица_pr7[[#This Row],[Удельное сопротивление грунта, Ом·м]])),AT536/SQRT(Таблица_pr7[[#This Row],[Удельное сопротивление грунта, Ом·м]]))</f>
        <v/>
      </c>
      <c r="AW536" s="53"/>
      <c r="AX536" s="52"/>
      <c r="AY536" s="50"/>
      <c r="AZ536" s="61" t="str">
        <f t="shared" si="73"/>
        <v/>
      </c>
      <c r="BA536" s="61" t="str">
        <f>IFERROR(IF(AX536-AX535&lt;=0,"",AZ536/SQRT(Таблица_pr8[[#This Row],[Удельное сопротивление грунта, Ом·м]])),AZ536/SQRT(Таблица_pr8[[#This Row],[Удельное сопротивление грунта, Ом·м]]))</f>
        <v/>
      </c>
      <c r="BC536" s="53"/>
      <c r="BD536" s="52"/>
      <c r="BE536" s="50"/>
      <c r="BF536" s="61" t="str">
        <f t="shared" si="69"/>
        <v/>
      </c>
      <c r="BG536" s="61" t="str">
        <f>IFERROR(IF(BD536-AX555&lt;=0,"",BF536/SQRT(Таблица_pr9[[#This Row],[Удельное сопротивление грунта, Ом·м]])),BF536/SQRT(Таблица_pr9[[#This Row],[Удельное сопротивление грунта, Ом·м]]))</f>
        <v/>
      </c>
      <c r="BI536" s="53"/>
      <c r="BJ536" s="52"/>
      <c r="BK536" s="50"/>
      <c r="BL536" s="61" t="str">
        <f t="shared" si="74"/>
        <v/>
      </c>
      <c r="BM536" s="61" t="str">
        <f>IFERROR(IF(BJ536-BD565&lt;=0,"",BL536/SQRT(Таблица_pr10[[#This Row],[Удельное сопротивление грунта, Ом·м]])),BL536/SQRT(Таблица_pr10[[#This Row],[Удельное сопротивление грунта, Ом·м]]))</f>
        <v/>
      </c>
    </row>
    <row r="537" spans="1:65">
      <c r="A537" s="51"/>
      <c r="B537" s="52"/>
      <c r="C537" s="50"/>
      <c r="D537" s="61" t="str">
        <f t="shared" si="64"/>
        <v/>
      </c>
      <c r="E537" s="61" t="str">
        <f>IFERROR(IF(B537-B536&lt;=0,"",D537/SQRT(Таблица_pr[[#This Row],[Удельное сопротивление грунта, Ом·м]])),D537/SQRT(Таблица_pr[[#This Row],[Удельное сопротивление грунта, Ом·м]]))</f>
        <v/>
      </c>
      <c r="G537" s="189"/>
      <c r="H537" s="185"/>
      <c r="I537" s="183"/>
      <c r="J537" s="180" t="str">
        <f t="shared" si="65"/>
        <v/>
      </c>
      <c r="K537" s="61" t="str">
        <f>IFERROR(IF(H537-H536&lt;=0,"",J537/SQRT(Таблица_pr1[[#This Row],[Удельное сопротивление грунта, Ом·м]])),J537/SQRT(Таблица_pr1[[#This Row],[Удельное сопротивление грунта, Ом·м]]))</f>
        <v/>
      </c>
      <c r="M537" s="51"/>
      <c r="N537" s="52"/>
      <c r="O537" s="50"/>
      <c r="P537" s="61" t="str">
        <f t="shared" si="70"/>
        <v/>
      </c>
      <c r="Q537" s="61" t="str">
        <f>IFERROR(IF(N537-N536&lt;=0,"",P537/SQRT(Таблица_pr2[[#This Row],[Удельное сопротивление грунта, Ом·м]])),P537/SQRT(Таблица_pr2[[#This Row],[Удельное сопротивление грунта, Ом·м]]))</f>
        <v/>
      </c>
      <c r="S537" s="51"/>
      <c r="T537" s="52"/>
      <c r="U537" s="50"/>
      <c r="V537" s="61" t="str">
        <f t="shared" si="66"/>
        <v/>
      </c>
      <c r="W537" s="61" t="str">
        <f>IFERROR(IF(T537-T536&lt;=0,"",V537/SQRT(Таблица_pr3[[#This Row],[Удельное сопротивление грунта, Ом·м]])),V537/SQRT(Таблица_pr3[[#This Row],[Удельное сопротивление грунта, Ом·м]]))</f>
        <v/>
      </c>
      <c r="Y537" s="51"/>
      <c r="Z537" s="52"/>
      <c r="AA537" s="50"/>
      <c r="AB537" s="61" t="str">
        <f t="shared" si="71"/>
        <v/>
      </c>
      <c r="AC537" s="61" t="str">
        <f>IFERROR(IF(Z537-Z536&lt;=0,"",AB537/SQRT(Таблица_pr4[[#This Row],[Удельное сопротивление грунта, Ом·м]])),AB537/SQRT(Таблица_pr4[[#This Row],[Удельное сопротивление грунта, Ом·м]]))</f>
        <v/>
      </c>
      <c r="AE537" s="51"/>
      <c r="AF537" s="52"/>
      <c r="AG537" s="50"/>
      <c r="AH537" s="61" t="str">
        <f t="shared" si="67"/>
        <v/>
      </c>
      <c r="AI537" s="61" t="str">
        <f>IFERROR(IF(AF537-AF536&lt;=0,"",AH537/SQRT(Таблица_pr5[[#This Row],[Удельное сопротивление грунта, Ом·м]])),AH537/SQRT(Таблица_pr5[[#This Row],[Удельное сопротивление грунта, Ом·м]]))</f>
        <v/>
      </c>
      <c r="AK537" s="51"/>
      <c r="AL537" s="52"/>
      <c r="AM537" s="50"/>
      <c r="AN537" s="61" t="str">
        <f t="shared" si="72"/>
        <v/>
      </c>
      <c r="AO537" s="61" t="str">
        <f>IFERROR(IF(AL537-AL536&lt;=0,"",AN537/SQRT(Таблица_pr6[[#This Row],[Удельное сопротивление грунта, Ом·м]])),AN537/SQRT(Таблица_pr6[[#This Row],[Удельное сопротивление грунта, Ом·м]]))</f>
        <v/>
      </c>
      <c r="AQ537" s="51"/>
      <c r="AR537" s="52"/>
      <c r="AS537" s="50"/>
      <c r="AT537" s="61" t="str">
        <f t="shared" si="68"/>
        <v/>
      </c>
      <c r="AU537" s="61" t="str">
        <f>IFERROR(IF(AR537-AR536&lt;=0,"",AT537/SQRT(Таблица_pr7[[#This Row],[Удельное сопротивление грунта, Ом·м]])),AT537/SQRT(Таблица_pr7[[#This Row],[Удельное сопротивление грунта, Ом·м]]))</f>
        <v/>
      </c>
      <c r="AW537" s="51"/>
      <c r="AX537" s="52"/>
      <c r="AY537" s="50"/>
      <c r="AZ537" s="61" t="str">
        <f t="shared" si="73"/>
        <v/>
      </c>
      <c r="BA537" s="61" t="str">
        <f>IFERROR(IF(AX537-AX536&lt;=0,"",AZ537/SQRT(Таблица_pr8[[#This Row],[Удельное сопротивление грунта, Ом·м]])),AZ537/SQRT(Таблица_pr8[[#This Row],[Удельное сопротивление грунта, Ом·м]]))</f>
        <v/>
      </c>
      <c r="BC537" s="51"/>
      <c r="BD537" s="52"/>
      <c r="BE537" s="50"/>
      <c r="BF537" s="61" t="str">
        <f t="shared" si="69"/>
        <v/>
      </c>
      <c r="BG537" s="61" t="str">
        <f>IFERROR(IF(BD537-AX556&lt;=0,"",BF537/SQRT(Таблица_pr9[[#This Row],[Удельное сопротивление грунта, Ом·м]])),BF537/SQRT(Таблица_pr9[[#This Row],[Удельное сопротивление грунта, Ом·м]]))</f>
        <v/>
      </c>
      <c r="BI537" s="51"/>
      <c r="BJ537" s="52"/>
      <c r="BK537" s="50"/>
      <c r="BL537" s="61" t="str">
        <f t="shared" si="74"/>
        <v/>
      </c>
      <c r="BM537" s="61" t="str">
        <f>IFERROR(IF(BJ537-BD566&lt;=0,"",BL537/SQRT(Таблица_pr10[[#This Row],[Удельное сопротивление грунта, Ом·м]])),BL537/SQRT(Таблица_pr10[[#This Row],[Удельное сопротивление грунта, Ом·м]]))</f>
        <v/>
      </c>
    </row>
    <row r="538" spans="1:65">
      <c r="A538" s="53"/>
      <c r="B538" s="52"/>
      <c r="C538" s="50"/>
      <c r="D538" s="61" t="str">
        <f t="shared" si="64"/>
        <v/>
      </c>
      <c r="E538" s="61" t="str">
        <f>IFERROR(IF(B538-B537&lt;=0,"",D538/SQRT(Таблица_pr[[#This Row],[Удельное сопротивление грунта, Ом·м]])),D538/SQRT(Таблица_pr[[#This Row],[Удельное сопротивление грунта, Ом·м]]))</f>
        <v/>
      </c>
      <c r="G538" s="188"/>
      <c r="H538" s="184"/>
      <c r="I538" s="182"/>
      <c r="J538" s="181" t="str">
        <f t="shared" si="65"/>
        <v/>
      </c>
      <c r="K538" s="61" t="str">
        <f>IFERROR(IF(H538-H537&lt;=0,"",J538/SQRT(Таблица_pr1[[#This Row],[Удельное сопротивление грунта, Ом·м]])),J538/SQRT(Таблица_pr1[[#This Row],[Удельное сопротивление грунта, Ом·м]]))</f>
        <v/>
      </c>
      <c r="M538" s="53"/>
      <c r="N538" s="52"/>
      <c r="O538" s="50"/>
      <c r="P538" s="61" t="str">
        <f t="shared" si="70"/>
        <v/>
      </c>
      <c r="Q538" s="61" t="str">
        <f>IFERROR(IF(N538-N537&lt;=0,"",P538/SQRT(Таблица_pr2[[#This Row],[Удельное сопротивление грунта, Ом·м]])),P538/SQRT(Таблица_pr2[[#This Row],[Удельное сопротивление грунта, Ом·м]]))</f>
        <v/>
      </c>
      <c r="S538" s="53"/>
      <c r="T538" s="52"/>
      <c r="U538" s="50"/>
      <c r="V538" s="61" t="str">
        <f t="shared" si="66"/>
        <v/>
      </c>
      <c r="W538" s="61" t="str">
        <f>IFERROR(IF(T538-T537&lt;=0,"",V538/SQRT(Таблица_pr3[[#This Row],[Удельное сопротивление грунта, Ом·м]])),V538/SQRT(Таблица_pr3[[#This Row],[Удельное сопротивление грунта, Ом·м]]))</f>
        <v/>
      </c>
      <c r="Y538" s="53"/>
      <c r="Z538" s="52"/>
      <c r="AA538" s="50"/>
      <c r="AB538" s="61" t="str">
        <f t="shared" si="71"/>
        <v/>
      </c>
      <c r="AC538" s="61" t="str">
        <f>IFERROR(IF(Z538-Z537&lt;=0,"",AB538/SQRT(Таблица_pr4[[#This Row],[Удельное сопротивление грунта, Ом·м]])),AB538/SQRT(Таблица_pr4[[#This Row],[Удельное сопротивление грунта, Ом·м]]))</f>
        <v/>
      </c>
      <c r="AE538" s="53"/>
      <c r="AF538" s="52"/>
      <c r="AG538" s="50"/>
      <c r="AH538" s="61" t="str">
        <f t="shared" si="67"/>
        <v/>
      </c>
      <c r="AI538" s="61" t="str">
        <f>IFERROR(IF(AF538-AF537&lt;=0,"",AH538/SQRT(Таблица_pr5[[#This Row],[Удельное сопротивление грунта, Ом·м]])),AH538/SQRT(Таблица_pr5[[#This Row],[Удельное сопротивление грунта, Ом·м]]))</f>
        <v/>
      </c>
      <c r="AK538" s="53"/>
      <c r="AL538" s="52"/>
      <c r="AM538" s="50"/>
      <c r="AN538" s="61" t="str">
        <f t="shared" si="72"/>
        <v/>
      </c>
      <c r="AO538" s="61" t="str">
        <f>IFERROR(IF(AL538-AL537&lt;=0,"",AN538/SQRT(Таблица_pr6[[#This Row],[Удельное сопротивление грунта, Ом·м]])),AN538/SQRT(Таблица_pr6[[#This Row],[Удельное сопротивление грунта, Ом·м]]))</f>
        <v/>
      </c>
      <c r="AQ538" s="53"/>
      <c r="AR538" s="52"/>
      <c r="AS538" s="50"/>
      <c r="AT538" s="61" t="str">
        <f t="shared" si="68"/>
        <v/>
      </c>
      <c r="AU538" s="61" t="str">
        <f>IFERROR(IF(AR538-AR537&lt;=0,"",AT538/SQRT(Таблица_pr7[[#This Row],[Удельное сопротивление грунта, Ом·м]])),AT538/SQRT(Таблица_pr7[[#This Row],[Удельное сопротивление грунта, Ом·м]]))</f>
        <v/>
      </c>
      <c r="AW538" s="53"/>
      <c r="AX538" s="52"/>
      <c r="AY538" s="50"/>
      <c r="AZ538" s="61" t="str">
        <f t="shared" si="73"/>
        <v/>
      </c>
      <c r="BA538" s="61" t="str">
        <f>IFERROR(IF(AX538-AX537&lt;=0,"",AZ538/SQRT(Таблица_pr8[[#This Row],[Удельное сопротивление грунта, Ом·м]])),AZ538/SQRT(Таблица_pr8[[#This Row],[Удельное сопротивление грунта, Ом·м]]))</f>
        <v/>
      </c>
      <c r="BC538" s="53"/>
      <c r="BD538" s="52"/>
      <c r="BE538" s="50"/>
      <c r="BF538" s="61" t="str">
        <f t="shared" si="69"/>
        <v/>
      </c>
      <c r="BG538" s="61" t="str">
        <f>IFERROR(IF(BD538-AX557&lt;=0,"",BF538/SQRT(Таблица_pr9[[#This Row],[Удельное сопротивление грунта, Ом·м]])),BF538/SQRT(Таблица_pr9[[#This Row],[Удельное сопротивление грунта, Ом·м]]))</f>
        <v/>
      </c>
      <c r="BI538" s="53"/>
      <c r="BJ538" s="52"/>
      <c r="BK538" s="50"/>
      <c r="BL538" s="61" t="str">
        <f t="shared" si="74"/>
        <v/>
      </c>
      <c r="BM538" s="61" t="str">
        <f>IFERROR(IF(BJ538-BD567&lt;=0,"",BL538/SQRT(Таблица_pr10[[#This Row],[Удельное сопротивление грунта, Ом·м]])),BL538/SQRT(Таблица_pr10[[#This Row],[Удельное сопротивление грунта, Ом·м]]))</f>
        <v/>
      </c>
    </row>
    <row r="539" spans="1:65">
      <c r="A539" s="51"/>
      <c r="B539" s="52"/>
      <c r="C539" s="50"/>
      <c r="D539" s="61" t="str">
        <f t="shared" si="64"/>
        <v/>
      </c>
      <c r="E539" s="61" t="str">
        <f>IFERROR(IF(B539-B538&lt;=0,"",D539/SQRT(Таблица_pr[[#This Row],[Удельное сопротивление грунта, Ом·м]])),D539/SQRT(Таблица_pr[[#This Row],[Удельное сопротивление грунта, Ом·м]]))</f>
        <v/>
      </c>
      <c r="G539" s="189"/>
      <c r="H539" s="185"/>
      <c r="I539" s="183"/>
      <c r="J539" s="180" t="str">
        <f t="shared" si="65"/>
        <v/>
      </c>
      <c r="K539" s="61" t="str">
        <f>IFERROR(IF(H539-H538&lt;=0,"",J539/SQRT(Таблица_pr1[[#This Row],[Удельное сопротивление грунта, Ом·м]])),J539/SQRT(Таблица_pr1[[#This Row],[Удельное сопротивление грунта, Ом·м]]))</f>
        <v/>
      </c>
      <c r="M539" s="51"/>
      <c r="N539" s="52"/>
      <c r="O539" s="50"/>
      <c r="P539" s="61" t="str">
        <f t="shared" si="70"/>
        <v/>
      </c>
      <c r="Q539" s="61" t="str">
        <f>IFERROR(IF(N539-N538&lt;=0,"",P539/SQRT(Таблица_pr2[[#This Row],[Удельное сопротивление грунта, Ом·м]])),P539/SQRT(Таблица_pr2[[#This Row],[Удельное сопротивление грунта, Ом·м]]))</f>
        <v/>
      </c>
      <c r="S539" s="51"/>
      <c r="T539" s="52"/>
      <c r="U539" s="50"/>
      <c r="V539" s="61" t="str">
        <f t="shared" si="66"/>
        <v/>
      </c>
      <c r="W539" s="61" t="str">
        <f>IFERROR(IF(T539-T538&lt;=0,"",V539/SQRT(Таблица_pr3[[#This Row],[Удельное сопротивление грунта, Ом·м]])),V539/SQRT(Таблица_pr3[[#This Row],[Удельное сопротивление грунта, Ом·м]]))</f>
        <v/>
      </c>
      <c r="Y539" s="51"/>
      <c r="Z539" s="52"/>
      <c r="AA539" s="50"/>
      <c r="AB539" s="61" t="str">
        <f t="shared" si="71"/>
        <v/>
      </c>
      <c r="AC539" s="61" t="str">
        <f>IFERROR(IF(Z539-Z538&lt;=0,"",AB539/SQRT(Таблица_pr4[[#This Row],[Удельное сопротивление грунта, Ом·м]])),AB539/SQRT(Таблица_pr4[[#This Row],[Удельное сопротивление грунта, Ом·м]]))</f>
        <v/>
      </c>
      <c r="AE539" s="51"/>
      <c r="AF539" s="52"/>
      <c r="AG539" s="50"/>
      <c r="AH539" s="61" t="str">
        <f t="shared" si="67"/>
        <v/>
      </c>
      <c r="AI539" s="61" t="str">
        <f>IFERROR(IF(AF539-AF538&lt;=0,"",AH539/SQRT(Таблица_pr5[[#This Row],[Удельное сопротивление грунта, Ом·м]])),AH539/SQRT(Таблица_pr5[[#This Row],[Удельное сопротивление грунта, Ом·м]]))</f>
        <v/>
      </c>
      <c r="AK539" s="51"/>
      <c r="AL539" s="52"/>
      <c r="AM539" s="50"/>
      <c r="AN539" s="61" t="str">
        <f t="shared" si="72"/>
        <v/>
      </c>
      <c r="AO539" s="61" t="str">
        <f>IFERROR(IF(AL539-AL538&lt;=0,"",AN539/SQRT(Таблица_pr6[[#This Row],[Удельное сопротивление грунта, Ом·м]])),AN539/SQRT(Таблица_pr6[[#This Row],[Удельное сопротивление грунта, Ом·м]]))</f>
        <v/>
      </c>
      <c r="AQ539" s="51"/>
      <c r="AR539" s="52"/>
      <c r="AS539" s="50"/>
      <c r="AT539" s="61" t="str">
        <f t="shared" si="68"/>
        <v/>
      </c>
      <c r="AU539" s="61" t="str">
        <f>IFERROR(IF(AR539-AR538&lt;=0,"",AT539/SQRT(Таблица_pr7[[#This Row],[Удельное сопротивление грунта, Ом·м]])),AT539/SQRT(Таблица_pr7[[#This Row],[Удельное сопротивление грунта, Ом·м]]))</f>
        <v/>
      </c>
      <c r="AW539" s="51"/>
      <c r="AX539" s="52"/>
      <c r="AY539" s="50"/>
      <c r="AZ539" s="61" t="str">
        <f t="shared" si="73"/>
        <v/>
      </c>
      <c r="BA539" s="61" t="str">
        <f>IFERROR(IF(AX539-AX538&lt;=0,"",AZ539/SQRT(Таблица_pr8[[#This Row],[Удельное сопротивление грунта, Ом·м]])),AZ539/SQRT(Таблица_pr8[[#This Row],[Удельное сопротивление грунта, Ом·м]]))</f>
        <v/>
      </c>
      <c r="BC539" s="51"/>
      <c r="BD539" s="52"/>
      <c r="BE539" s="50"/>
      <c r="BF539" s="61" t="str">
        <f t="shared" si="69"/>
        <v/>
      </c>
      <c r="BG539" s="61" t="str">
        <f>IFERROR(IF(BD539-AX558&lt;=0,"",BF539/SQRT(Таблица_pr9[[#This Row],[Удельное сопротивление грунта, Ом·м]])),BF539/SQRT(Таблица_pr9[[#This Row],[Удельное сопротивление грунта, Ом·м]]))</f>
        <v/>
      </c>
      <c r="BI539" s="51"/>
      <c r="BJ539" s="52"/>
      <c r="BK539" s="50"/>
      <c r="BL539" s="61" t="str">
        <f t="shared" si="74"/>
        <v/>
      </c>
      <c r="BM539" s="61" t="str">
        <f>IFERROR(IF(BJ539-BD568&lt;=0,"",BL539/SQRT(Таблица_pr10[[#This Row],[Удельное сопротивление грунта, Ом·м]])),BL539/SQRT(Таблица_pr10[[#This Row],[Удельное сопротивление грунта, Ом·м]]))</f>
        <v/>
      </c>
    </row>
    <row r="540" spans="1:65">
      <c r="A540" s="53"/>
      <c r="B540" s="52"/>
      <c r="C540" s="50"/>
      <c r="D540" s="61" t="str">
        <f t="shared" si="64"/>
        <v/>
      </c>
      <c r="E540" s="61" t="str">
        <f>IFERROR(IF(B540-B539&lt;=0,"",D540/SQRT(Таблица_pr[[#This Row],[Удельное сопротивление грунта, Ом·м]])),D540/SQRT(Таблица_pr[[#This Row],[Удельное сопротивление грунта, Ом·м]]))</f>
        <v/>
      </c>
      <c r="G540" s="188"/>
      <c r="H540" s="184"/>
      <c r="I540" s="182"/>
      <c r="J540" s="181" t="str">
        <f t="shared" si="65"/>
        <v/>
      </c>
      <c r="K540" s="61" t="str">
        <f>IFERROR(IF(H540-H539&lt;=0,"",J540/SQRT(Таблица_pr1[[#This Row],[Удельное сопротивление грунта, Ом·м]])),J540/SQRT(Таблица_pr1[[#This Row],[Удельное сопротивление грунта, Ом·м]]))</f>
        <v/>
      </c>
      <c r="M540" s="53"/>
      <c r="N540" s="52"/>
      <c r="O540" s="50"/>
      <c r="P540" s="61" t="str">
        <f t="shared" si="70"/>
        <v/>
      </c>
      <c r="Q540" s="61" t="str">
        <f>IFERROR(IF(N540-N539&lt;=0,"",P540/SQRT(Таблица_pr2[[#This Row],[Удельное сопротивление грунта, Ом·м]])),P540/SQRT(Таблица_pr2[[#This Row],[Удельное сопротивление грунта, Ом·м]]))</f>
        <v/>
      </c>
      <c r="S540" s="53"/>
      <c r="T540" s="52"/>
      <c r="U540" s="50"/>
      <c r="V540" s="61" t="str">
        <f t="shared" si="66"/>
        <v/>
      </c>
      <c r="W540" s="61" t="str">
        <f>IFERROR(IF(T540-T539&lt;=0,"",V540/SQRT(Таблица_pr3[[#This Row],[Удельное сопротивление грунта, Ом·м]])),V540/SQRT(Таблица_pr3[[#This Row],[Удельное сопротивление грунта, Ом·м]]))</f>
        <v/>
      </c>
      <c r="Y540" s="53"/>
      <c r="Z540" s="52"/>
      <c r="AA540" s="50"/>
      <c r="AB540" s="61" t="str">
        <f t="shared" si="71"/>
        <v/>
      </c>
      <c r="AC540" s="61" t="str">
        <f>IFERROR(IF(Z540-Z539&lt;=0,"",AB540/SQRT(Таблица_pr4[[#This Row],[Удельное сопротивление грунта, Ом·м]])),AB540/SQRT(Таблица_pr4[[#This Row],[Удельное сопротивление грунта, Ом·м]]))</f>
        <v/>
      </c>
      <c r="AE540" s="53"/>
      <c r="AF540" s="52"/>
      <c r="AG540" s="50"/>
      <c r="AH540" s="61" t="str">
        <f t="shared" si="67"/>
        <v/>
      </c>
      <c r="AI540" s="61" t="str">
        <f>IFERROR(IF(AF540-AF539&lt;=0,"",AH540/SQRT(Таблица_pr5[[#This Row],[Удельное сопротивление грунта, Ом·м]])),AH540/SQRT(Таблица_pr5[[#This Row],[Удельное сопротивление грунта, Ом·м]]))</f>
        <v/>
      </c>
      <c r="AK540" s="53"/>
      <c r="AL540" s="52"/>
      <c r="AM540" s="50"/>
      <c r="AN540" s="61" t="str">
        <f t="shared" si="72"/>
        <v/>
      </c>
      <c r="AO540" s="61" t="str">
        <f>IFERROR(IF(AL540-AL539&lt;=0,"",AN540/SQRT(Таблица_pr6[[#This Row],[Удельное сопротивление грунта, Ом·м]])),AN540/SQRT(Таблица_pr6[[#This Row],[Удельное сопротивление грунта, Ом·м]]))</f>
        <v/>
      </c>
      <c r="AQ540" s="53"/>
      <c r="AR540" s="52"/>
      <c r="AS540" s="50"/>
      <c r="AT540" s="61" t="str">
        <f t="shared" si="68"/>
        <v/>
      </c>
      <c r="AU540" s="61" t="str">
        <f>IFERROR(IF(AR540-AR539&lt;=0,"",AT540/SQRT(Таблица_pr7[[#This Row],[Удельное сопротивление грунта, Ом·м]])),AT540/SQRT(Таблица_pr7[[#This Row],[Удельное сопротивление грунта, Ом·м]]))</f>
        <v/>
      </c>
      <c r="AW540" s="53"/>
      <c r="AX540" s="52"/>
      <c r="AY540" s="50"/>
      <c r="AZ540" s="61" t="str">
        <f t="shared" si="73"/>
        <v/>
      </c>
      <c r="BA540" s="61" t="str">
        <f>IFERROR(IF(AX540-AX539&lt;=0,"",AZ540/SQRT(Таблица_pr8[[#This Row],[Удельное сопротивление грунта, Ом·м]])),AZ540/SQRT(Таблица_pr8[[#This Row],[Удельное сопротивление грунта, Ом·м]]))</f>
        <v/>
      </c>
      <c r="BC540" s="53"/>
      <c r="BD540" s="52"/>
      <c r="BE540" s="50"/>
      <c r="BF540" s="61" t="str">
        <f t="shared" si="69"/>
        <v/>
      </c>
      <c r="BG540" s="61" t="str">
        <f>IFERROR(IF(BD540-AX559&lt;=0,"",BF540/SQRT(Таблица_pr9[[#This Row],[Удельное сопротивление грунта, Ом·м]])),BF540/SQRT(Таблица_pr9[[#This Row],[Удельное сопротивление грунта, Ом·м]]))</f>
        <v/>
      </c>
      <c r="BI540" s="53"/>
      <c r="BJ540" s="52"/>
      <c r="BK540" s="50"/>
      <c r="BL540" s="61" t="str">
        <f t="shared" si="74"/>
        <v/>
      </c>
      <c r="BM540" s="61" t="str">
        <f>IFERROR(IF(BJ540-BD569&lt;=0,"",BL540/SQRT(Таблица_pr10[[#This Row],[Удельное сопротивление грунта, Ом·м]])),BL540/SQRT(Таблица_pr10[[#This Row],[Удельное сопротивление грунта, Ом·м]]))</f>
        <v/>
      </c>
    </row>
    <row r="541" spans="1:65">
      <c r="A541" s="51"/>
      <c r="B541" s="52"/>
      <c r="C541" s="50"/>
      <c r="D541" s="61" t="str">
        <f t="shared" si="64"/>
        <v/>
      </c>
      <c r="E541" s="61" t="str">
        <f>IFERROR(IF(B541-B540&lt;=0,"",D541/SQRT(Таблица_pr[[#This Row],[Удельное сопротивление грунта, Ом·м]])),D541/SQRT(Таблица_pr[[#This Row],[Удельное сопротивление грунта, Ом·м]]))</f>
        <v/>
      </c>
      <c r="G541" s="189"/>
      <c r="H541" s="185"/>
      <c r="I541" s="183"/>
      <c r="J541" s="180" t="str">
        <f t="shared" si="65"/>
        <v/>
      </c>
      <c r="K541" s="61" t="str">
        <f>IFERROR(IF(H541-H540&lt;=0,"",J541/SQRT(Таблица_pr1[[#This Row],[Удельное сопротивление грунта, Ом·м]])),J541/SQRT(Таблица_pr1[[#This Row],[Удельное сопротивление грунта, Ом·м]]))</f>
        <v/>
      </c>
      <c r="M541" s="51"/>
      <c r="N541" s="52"/>
      <c r="O541" s="50"/>
      <c r="P541" s="61" t="str">
        <f t="shared" si="70"/>
        <v/>
      </c>
      <c r="Q541" s="61" t="str">
        <f>IFERROR(IF(N541-N540&lt;=0,"",P541/SQRT(Таблица_pr2[[#This Row],[Удельное сопротивление грунта, Ом·м]])),P541/SQRT(Таблица_pr2[[#This Row],[Удельное сопротивление грунта, Ом·м]]))</f>
        <v/>
      </c>
      <c r="S541" s="51"/>
      <c r="T541" s="52"/>
      <c r="U541" s="50"/>
      <c r="V541" s="61" t="str">
        <f t="shared" si="66"/>
        <v/>
      </c>
      <c r="W541" s="61" t="str">
        <f>IFERROR(IF(T541-T540&lt;=0,"",V541/SQRT(Таблица_pr3[[#This Row],[Удельное сопротивление грунта, Ом·м]])),V541/SQRT(Таблица_pr3[[#This Row],[Удельное сопротивление грунта, Ом·м]]))</f>
        <v/>
      </c>
      <c r="Y541" s="51"/>
      <c r="Z541" s="52"/>
      <c r="AA541" s="50"/>
      <c r="AB541" s="61" t="str">
        <f t="shared" si="71"/>
        <v/>
      </c>
      <c r="AC541" s="61" t="str">
        <f>IFERROR(IF(Z541-Z540&lt;=0,"",AB541/SQRT(Таблица_pr4[[#This Row],[Удельное сопротивление грунта, Ом·м]])),AB541/SQRT(Таблица_pr4[[#This Row],[Удельное сопротивление грунта, Ом·м]]))</f>
        <v/>
      </c>
      <c r="AE541" s="51"/>
      <c r="AF541" s="52"/>
      <c r="AG541" s="50"/>
      <c r="AH541" s="61" t="str">
        <f t="shared" si="67"/>
        <v/>
      </c>
      <c r="AI541" s="61" t="str">
        <f>IFERROR(IF(AF541-AF540&lt;=0,"",AH541/SQRT(Таблица_pr5[[#This Row],[Удельное сопротивление грунта, Ом·м]])),AH541/SQRT(Таблица_pr5[[#This Row],[Удельное сопротивление грунта, Ом·м]]))</f>
        <v/>
      </c>
      <c r="AK541" s="51"/>
      <c r="AL541" s="52"/>
      <c r="AM541" s="50"/>
      <c r="AN541" s="61" t="str">
        <f t="shared" si="72"/>
        <v/>
      </c>
      <c r="AO541" s="61" t="str">
        <f>IFERROR(IF(AL541-AL540&lt;=0,"",AN541/SQRT(Таблица_pr6[[#This Row],[Удельное сопротивление грунта, Ом·м]])),AN541/SQRT(Таблица_pr6[[#This Row],[Удельное сопротивление грунта, Ом·м]]))</f>
        <v/>
      </c>
      <c r="AQ541" s="51"/>
      <c r="AR541" s="52"/>
      <c r="AS541" s="50"/>
      <c r="AT541" s="61" t="str">
        <f t="shared" si="68"/>
        <v/>
      </c>
      <c r="AU541" s="61" t="str">
        <f>IFERROR(IF(AR541-AR540&lt;=0,"",AT541/SQRT(Таблица_pr7[[#This Row],[Удельное сопротивление грунта, Ом·м]])),AT541/SQRT(Таблица_pr7[[#This Row],[Удельное сопротивление грунта, Ом·м]]))</f>
        <v/>
      </c>
      <c r="AW541" s="51"/>
      <c r="AX541" s="52"/>
      <c r="AY541" s="50"/>
      <c r="AZ541" s="61" t="str">
        <f t="shared" si="73"/>
        <v/>
      </c>
      <c r="BA541" s="61" t="str">
        <f>IFERROR(IF(AX541-AX540&lt;=0,"",AZ541/SQRT(Таблица_pr8[[#This Row],[Удельное сопротивление грунта, Ом·м]])),AZ541/SQRT(Таблица_pr8[[#This Row],[Удельное сопротивление грунта, Ом·м]]))</f>
        <v/>
      </c>
      <c r="BC541" s="51"/>
      <c r="BD541" s="52"/>
      <c r="BE541" s="50"/>
      <c r="BF541" s="61" t="str">
        <f t="shared" si="69"/>
        <v/>
      </c>
      <c r="BG541" s="61" t="str">
        <f>IFERROR(IF(BD541-AX560&lt;=0,"",BF541/SQRT(Таблица_pr9[[#This Row],[Удельное сопротивление грунта, Ом·м]])),BF541/SQRT(Таблица_pr9[[#This Row],[Удельное сопротивление грунта, Ом·м]]))</f>
        <v/>
      </c>
      <c r="BI541" s="51"/>
      <c r="BJ541" s="52"/>
      <c r="BK541" s="50"/>
      <c r="BL541" s="61" t="str">
        <f t="shared" si="74"/>
        <v/>
      </c>
      <c r="BM541" s="61" t="str">
        <f>IFERROR(IF(BJ541-BD570&lt;=0,"",BL541/SQRT(Таблица_pr10[[#This Row],[Удельное сопротивление грунта, Ом·м]])),BL541/SQRT(Таблица_pr10[[#This Row],[Удельное сопротивление грунта, Ом·м]]))</f>
        <v/>
      </c>
    </row>
    <row r="542" spans="1:65">
      <c r="A542" s="53"/>
      <c r="B542" s="52"/>
      <c r="C542" s="50"/>
      <c r="D542" s="61" t="str">
        <f t="shared" si="64"/>
        <v/>
      </c>
      <c r="E542" s="61" t="str">
        <f>IFERROR(IF(B542-B541&lt;=0,"",D542/SQRT(Таблица_pr[[#This Row],[Удельное сопротивление грунта, Ом·м]])),D542/SQRT(Таблица_pr[[#This Row],[Удельное сопротивление грунта, Ом·м]]))</f>
        <v/>
      </c>
      <c r="G542" s="188"/>
      <c r="H542" s="184"/>
      <c r="I542" s="182"/>
      <c r="J542" s="181" t="str">
        <f t="shared" si="65"/>
        <v/>
      </c>
      <c r="K542" s="61" t="str">
        <f>IFERROR(IF(H542-H541&lt;=0,"",J542/SQRT(Таблица_pr1[[#This Row],[Удельное сопротивление грунта, Ом·м]])),J542/SQRT(Таблица_pr1[[#This Row],[Удельное сопротивление грунта, Ом·м]]))</f>
        <v/>
      </c>
      <c r="M542" s="53"/>
      <c r="N542" s="52"/>
      <c r="O542" s="50"/>
      <c r="P542" s="61" t="str">
        <f t="shared" si="70"/>
        <v/>
      </c>
      <c r="Q542" s="61" t="str">
        <f>IFERROR(IF(N542-N541&lt;=0,"",P542/SQRT(Таблица_pr2[[#This Row],[Удельное сопротивление грунта, Ом·м]])),P542/SQRT(Таблица_pr2[[#This Row],[Удельное сопротивление грунта, Ом·м]]))</f>
        <v/>
      </c>
      <c r="S542" s="53"/>
      <c r="T542" s="52"/>
      <c r="U542" s="50"/>
      <c r="V542" s="61" t="str">
        <f t="shared" si="66"/>
        <v/>
      </c>
      <c r="W542" s="61" t="str">
        <f>IFERROR(IF(T542-T541&lt;=0,"",V542/SQRT(Таблица_pr3[[#This Row],[Удельное сопротивление грунта, Ом·м]])),V542/SQRT(Таблица_pr3[[#This Row],[Удельное сопротивление грунта, Ом·м]]))</f>
        <v/>
      </c>
      <c r="Y542" s="53"/>
      <c r="Z542" s="52"/>
      <c r="AA542" s="50"/>
      <c r="AB542" s="61" t="str">
        <f t="shared" si="71"/>
        <v/>
      </c>
      <c r="AC542" s="61" t="str">
        <f>IFERROR(IF(Z542-Z541&lt;=0,"",AB542/SQRT(Таблица_pr4[[#This Row],[Удельное сопротивление грунта, Ом·м]])),AB542/SQRT(Таблица_pr4[[#This Row],[Удельное сопротивление грунта, Ом·м]]))</f>
        <v/>
      </c>
      <c r="AE542" s="53"/>
      <c r="AF542" s="52"/>
      <c r="AG542" s="50"/>
      <c r="AH542" s="61" t="str">
        <f t="shared" si="67"/>
        <v/>
      </c>
      <c r="AI542" s="61" t="str">
        <f>IFERROR(IF(AF542-AF541&lt;=0,"",AH542/SQRT(Таблица_pr5[[#This Row],[Удельное сопротивление грунта, Ом·м]])),AH542/SQRT(Таблица_pr5[[#This Row],[Удельное сопротивление грунта, Ом·м]]))</f>
        <v/>
      </c>
      <c r="AK542" s="53"/>
      <c r="AL542" s="52"/>
      <c r="AM542" s="50"/>
      <c r="AN542" s="61" t="str">
        <f t="shared" si="72"/>
        <v/>
      </c>
      <c r="AO542" s="61" t="str">
        <f>IFERROR(IF(AL542-AL541&lt;=0,"",AN542/SQRT(Таблица_pr6[[#This Row],[Удельное сопротивление грунта, Ом·м]])),AN542/SQRT(Таблица_pr6[[#This Row],[Удельное сопротивление грунта, Ом·м]]))</f>
        <v/>
      </c>
      <c r="AQ542" s="53"/>
      <c r="AR542" s="52"/>
      <c r="AS542" s="50"/>
      <c r="AT542" s="61" t="str">
        <f t="shared" si="68"/>
        <v/>
      </c>
      <c r="AU542" s="61" t="str">
        <f>IFERROR(IF(AR542-AR541&lt;=0,"",AT542/SQRT(Таблица_pr7[[#This Row],[Удельное сопротивление грунта, Ом·м]])),AT542/SQRT(Таблица_pr7[[#This Row],[Удельное сопротивление грунта, Ом·м]]))</f>
        <v/>
      </c>
      <c r="AW542" s="53"/>
      <c r="AX542" s="52"/>
      <c r="AY542" s="50"/>
      <c r="AZ542" s="61" t="str">
        <f t="shared" si="73"/>
        <v/>
      </c>
      <c r="BA542" s="61" t="str">
        <f>IFERROR(IF(AX542-AX541&lt;=0,"",AZ542/SQRT(Таблица_pr8[[#This Row],[Удельное сопротивление грунта, Ом·м]])),AZ542/SQRT(Таблица_pr8[[#This Row],[Удельное сопротивление грунта, Ом·м]]))</f>
        <v/>
      </c>
      <c r="BC542" s="53"/>
      <c r="BD542" s="52"/>
      <c r="BE542" s="50"/>
      <c r="BF542" s="61" t="str">
        <f t="shared" si="69"/>
        <v/>
      </c>
      <c r="BG542" s="61" t="str">
        <f>IFERROR(IF(BD542-AX561&lt;=0,"",BF542/SQRT(Таблица_pr9[[#This Row],[Удельное сопротивление грунта, Ом·м]])),BF542/SQRT(Таблица_pr9[[#This Row],[Удельное сопротивление грунта, Ом·м]]))</f>
        <v/>
      </c>
      <c r="BI542" s="53"/>
      <c r="BJ542" s="52"/>
      <c r="BK542" s="50"/>
      <c r="BL542" s="61" t="str">
        <f t="shared" si="74"/>
        <v/>
      </c>
      <c r="BM542" s="61" t="str">
        <f>IFERROR(IF(BJ542-BD571&lt;=0,"",BL542/SQRT(Таблица_pr10[[#This Row],[Удельное сопротивление грунта, Ом·м]])),BL542/SQRT(Таблица_pr10[[#This Row],[Удельное сопротивление грунта, Ом·м]]))</f>
        <v/>
      </c>
    </row>
    <row r="543" spans="1:65">
      <c r="A543" s="51"/>
      <c r="B543" s="52"/>
      <c r="C543" s="50"/>
      <c r="D543" s="61" t="str">
        <f t="shared" si="64"/>
        <v/>
      </c>
      <c r="E543" s="61" t="str">
        <f>IFERROR(IF(B543-B542&lt;=0,"",D543/SQRT(Таблица_pr[[#This Row],[Удельное сопротивление грунта, Ом·м]])),D543/SQRT(Таблица_pr[[#This Row],[Удельное сопротивление грунта, Ом·м]]))</f>
        <v/>
      </c>
      <c r="G543" s="189"/>
      <c r="H543" s="185"/>
      <c r="I543" s="183"/>
      <c r="J543" s="180" t="str">
        <f t="shared" si="65"/>
        <v/>
      </c>
      <c r="K543" s="61" t="str">
        <f>IFERROR(IF(H543-H542&lt;=0,"",J543/SQRT(Таблица_pr1[[#This Row],[Удельное сопротивление грунта, Ом·м]])),J543/SQRT(Таблица_pr1[[#This Row],[Удельное сопротивление грунта, Ом·м]]))</f>
        <v/>
      </c>
      <c r="M543" s="51"/>
      <c r="N543" s="52"/>
      <c r="O543" s="50"/>
      <c r="P543" s="61" t="str">
        <f t="shared" si="70"/>
        <v/>
      </c>
      <c r="Q543" s="61" t="str">
        <f>IFERROR(IF(N543-N542&lt;=0,"",P543/SQRT(Таблица_pr2[[#This Row],[Удельное сопротивление грунта, Ом·м]])),P543/SQRT(Таблица_pr2[[#This Row],[Удельное сопротивление грунта, Ом·м]]))</f>
        <v/>
      </c>
      <c r="S543" s="51"/>
      <c r="T543" s="52"/>
      <c r="U543" s="50"/>
      <c r="V543" s="61" t="str">
        <f t="shared" si="66"/>
        <v/>
      </c>
      <c r="W543" s="61" t="str">
        <f>IFERROR(IF(T543-T542&lt;=0,"",V543/SQRT(Таблица_pr3[[#This Row],[Удельное сопротивление грунта, Ом·м]])),V543/SQRT(Таблица_pr3[[#This Row],[Удельное сопротивление грунта, Ом·м]]))</f>
        <v/>
      </c>
      <c r="Y543" s="51"/>
      <c r="Z543" s="52"/>
      <c r="AA543" s="50"/>
      <c r="AB543" s="61" t="str">
        <f t="shared" si="71"/>
        <v/>
      </c>
      <c r="AC543" s="61" t="str">
        <f>IFERROR(IF(Z543-Z542&lt;=0,"",AB543/SQRT(Таблица_pr4[[#This Row],[Удельное сопротивление грунта, Ом·м]])),AB543/SQRT(Таблица_pr4[[#This Row],[Удельное сопротивление грунта, Ом·м]]))</f>
        <v/>
      </c>
      <c r="AE543" s="51"/>
      <c r="AF543" s="52"/>
      <c r="AG543" s="50"/>
      <c r="AH543" s="61" t="str">
        <f t="shared" si="67"/>
        <v/>
      </c>
      <c r="AI543" s="61" t="str">
        <f>IFERROR(IF(AF543-AF542&lt;=0,"",AH543/SQRT(Таблица_pr5[[#This Row],[Удельное сопротивление грунта, Ом·м]])),AH543/SQRT(Таблица_pr5[[#This Row],[Удельное сопротивление грунта, Ом·м]]))</f>
        <v/>
      </c>
      <c r="AK543" s="51"/>
      <c r="AL543" s="52"/>
      <c r="AM543" s="50"/>
      <c r="AN543" s="61" t="str">
        <f t="shared" si="72"/>
        <v/>
      </c>
      <c r="AO543" s="61" t="str">
        <f>IFERROR(IF(AL543-AL542&lt;=0,"",AN543/SQRT(Таблица_pr6[[#This Row],[Удельное сопротивление грунта, Ом·м]])),AN543/SQRT(Таблица_pr6[[#This Row],[Удельное сопротивление грунта, Ом·м]]))</f>
        <v/>
      </c>
      <c r="AQ543" s="51"/>
      <c r="AR543" s="52"/>
      <c r="AS543" s="50"/>
      <c r="AT543" s="61" t="str">
        <f t="shared" si="68"/>
        <v/>
      </c>
      <c r="AU543" s="61" t="str">
        <f>IFERROR(IF(AR543-AR542&lt;=0,"",AT543/SQRT(Таблица_pr7[[#This Row],[Удельное сопротивление грунта, Ом·м]])),AT543/SQRT(Таблица_pr7[[#This Row],[Удельное сопротивление грунта, Ом·м]]))</f>
        <v/>
      </c>
      <c r="AW543" s="51"/>
      <c r="AX543" s="52"/>
      <c r="AY543" s="50"/>
      <c r="AZ543" s="61" t="str">
        <f t="shared" si="73"/>
        <v/>
      </c>
      <c r="BA543" s="61" t="str">
        <f>IFERROR(IF(AX543-AX542&lt;=0,"",AZ543/SQRT(Таблица_pr8[[#This Row],[Удельное сопротивление грунта, Ом·м]])),AZ543/SQRT(Таблица_pr8[[#This Row],[Удельное сопротивление грунта, Ом·м]]))</f>
        <v/>
      </c>
      <c r="BC543" s="51"/>
      <c r="BD543" s="52"/>
      <c r="BE543" s="50"/>
      <c r="BF543" s="61" t="str">
        <f t="shared" si="69"/>
        <v/>
      </c>
      <c r="BG543" s="61" t="str">
        <f>IFERROR(IF(BD543-AX562&lt;=0,"",BF543/SQRT(Таблица_pr9[[#This Row],[Удельное сопротивление грунта, Ом·м]])),BF543/SQRT(Таблица_pr9[[#This Row],[Удельное сопротивление грунта, Ом·м]]))</f>
        <v/>
      </c>
      <c r="BI543" s="51"/>
      <c r="BJ543" s="52"/>
      <c r="BK543" s="50"/>
      <c r="BL543" s="61" t="str">
        <f t="shared" si="74"/>
        <v/>
      </c>
      <c r="BM543" s="61" t="str">
        <f>IFERROR(IF(BJ543-BD572&lt;=0,"",BL543/SQRT(Таблица_pr10[[#This Row],[Удельное сопротивление грунта, Ом·м]])),BL543/SQRT(Таблица_pr10[[#This Row],[Удельное сопротивление грунта, Ом·м]]))</f>
        <v/>
      </c>
    </row>
    <row r="544" spans="1:65">
      <c r="A544" s="53"/>
      <c r="B544" s="52"/>
      <c r="C544" s="50"/>
      <c r="D544" s="61" t="str">
        <f t="shared" si="64"/>
        <v/>
      </c>
      <c r="E544" s="61" t="str">
        <f>IFERROR(IF(B544-B543&lt;=0,"",D544/SQRT(Таблица_pr[[#This Row],[Удельное сопротивление грунта, Ом·м]])),D544/SQRT(Таблица_pr[[#This Row],[Удельное сопротивление грунта, Ом·м]]))</f>
        <v/>
      </c>
      <c r="G544" s="188"/>
      <c r="H544" s="184"/>
      <c r="I544" s="182"/>
      <c r="J544" s="181" t="str">
        <f t="shared" si="65"/>
        <v/>
      </c>
      <c r="K544" s="61" t="str">
        <f>IFERROR(IF(H544-H543&lt;=0,"",J544/SQRT(Таблица_pr1[[#This Row],[Удельное сопротивление грунта, Ом·м]])),J544/SQRT(Таблица_pr1[[#This Row],[Удельное сопротивление грунта, Ом·м]]))</f>
        <v/>
      </c>
      <c r="M544" s="53"/>
      <c r="N544" s="52"/>
      <c r="O544" s="50"/>
      <c r="P544" s="61" t="str">
        <f t="shared" si="70"/>
        <v/>
      </c>
      <c r="Q544" s="61" t="str">
        <f>IFERROR(IF(N544-N543&lt;=0,"",P544/SQRT(Таблица_pr2[[#This Row],[Удельное сопротивление грунта, Ом·м]])),P544/SQRT(Таблица_pr2[[#This Row],[Удельное сопротивление грунта, Ом·м]]))</f>
        <v/>
      </c>
      <c r="S544" s="53"/>
      <c r="T544" s="52"/>
      <c r="U544" s="50"/>
      <c r="V544" s="61" t="str">
        <f t="shared" si="66"/>
        <v/>
      </c>
      <c r="W544" s="61" t="str">
        <f>IFERROR(IF(T544-T543&lt;=0,"",V544/SQRT(Таблица_pr3[[#This Row],[Удельное сопротивление грунта, Ом·м]])),V544/SQRT(Таблица_pr3[[#This Row],[Удельное сопротивление грунта, Ом·м]]))</f>
        <v/>
      </c>
      <c r="Y544" s="53"/>
      <c r="Z544" s="52"/>
      <c r="AA544" s="50"/>
      <c r="AB544" s="61" t="str">
        <f t="shared" si="71"/>
        <v/>
      </c>
      <c r="AC544" s="61" t="str">
        <f>IFERROR(IF(Z544-Z543&lt;=0,"",AB544/SQRT(Таблица_pr4[[#This Row],[Удельное сопротивление грунта, Ом·м]])),AB544/SQRT(Таблица_pr4[[#This Row],[Удельное сопротивление грунта, Ом·м]]))</f>
        <v/>
      </c>
      <c r="AE544" s="53"/>
      <c r="AF544" s="52"/>
      <c r="AG544" s="50"/>
      <c r="AH544" s="61" t="str">
        <f t="shared" si="67"/>
        <v/>
      </c>
      <c r="AI544" s="61" t="str">
        <f>IFERROR(IF(AF544-AF543&lt;=0,"",AH544/SQRT(Таблица_pr5[[#This Row],[Удельное сопротивление грунта, Ом·м]])),AH544/SQRT(Таблица_pr5[[#This Row],[Удельное сопротивление грунта, Ом·м]]))</f>
        <v/>
      </c>
      <c r="AK544" s="53"/>
      <c r="AL544" s="52"/>
      <c r="AM544" s="50"/>
      <c r="AN544" s="61" t="str">
        <f t="shared" si="72"/>
        <v/>
      </c>
      <c r="AO544" s="61" t="str">
        <f>IFERROR(IF(AL544-AL543&lt;=0,"",AN544/SQRT(Таблица_pr6[[#This Row],[Удельное сопротивление грунта, Ом·м]])),AN544/SQRT(Таблица_pr6[[#This Row],[Удельное сопротивление грунта, Ом·м]]))</f>
        <v/>
      </c>
      <c r="AQ544" s="53"/>
      <c r="AR544" s="52"/>
      <c r="AS544" s="50"/>
      <c r="AT544" s="61" t="str">
        <f t="shared" si="68"/>
        <v/>
      </c>
      <c r="AU544" s="61" t="str">
        <f>IFERROR(IF(AR544-AR543&lt;=0,"",AT544/SQRT(Таблица_pr7[[#This Row],[Удельное сопротивление грунта, Ом·м]])),AT544/SQRT(Таблица_pr7[[#This Row],[Удельное сопротивление грунта, Ом·м]]))</f>
        <v/>
      </c>
      <c r="AW544" s="53"/>
      <c r="AX544" s="52"/>
      <c r="AY544" s="50"/>
      <c r="AZ544" s="61" t="str">
        <f t="shared" si="73"/>
        <v/>
      </c>
      <c r="BA544" s="61" t="str">
        <f>IFERROR(IF(AX544-AX543&lt;=0,"",AZ544/SQRT(Таблица_pr8[[#This Row],[Удельное сопротивление грунта, Ом·м]])),AZ544/SQRT(Таблица_pr8[[#This Row],[Удельное сопротивление грунта, Ом·м]]))</f>
        <v/>
      </c>
      <c r="BC544" s="53"/>
      <c r="BD544" s="52"/>
      <c r="BE544" s="50"/>
      <c r="BF544" s="61" t="str">
        <f t="shared" si="69"/>
        <v/>
      </c>
      <c r="BG544" s="61" t="str">
        <f>IFERROR(IF(BD544-AX563&lt;=0,"",BF544/SQRT(Таблица_pr9[[#This Row],[Удельное сопротивление грунта, Ом·м]])),BF544/SQRT(Таблица_pr9[[#This Row],[Удельное сопротивление грунта, Ом·м]]))</f>
        <v/>
      </c>
      <c r="BI544" s="53"/>
      <c r="BJ544" s="52"/>
      <c r="BK544" s="50"/>
      <c r="BL544" s="61" t="str">
        <f t="shared" si="74"/>
        <v/>
      </c>
      <c r="BM544" s="61" t="str">
        <f>IFERROR(IF(BJ544-BD573&lt;=0,"",BL544/SQRT(Таблица_pr10[[#This Row],[Удельное сопротивление грунта, Ом·м]])),BL544/SQRT(Таблица_pr10[[#This Row],[Удельное сопротивление грунта, Ом·м]]))</f>
        <v/>
      </c>
    </row>
    <row r="545" spans="1:65">
      <c r="A545" s="51"/>
      <c r="B545" s="52"/>
      <c r="C545" s="50"/>
      <c r="D545" s="61" t="str">
        <f t="shared" si="64"/>
        <v/>
      </c>
      <c r="E545" s="61" t="str">
        <f>IFERROR(IF(B545-B544&lt;=0,"",D545/SQRT(Таблица_pr[[#This Row],[Удельное сопротивление грунта, Ом·м]])),D545/SQRT(Таблица_pr[[#This Row],[Удельное сопротивление грунта, Ом·м]]))</f>
        <v/>
      </c>
      <c r="G545" s="189"/>
      <c r="H545" s="185"/>
      <c r="I545" s="183"/>
      <c r="J545" s="180" t="str">
        <f t="shared" si="65"/>
        <v/>
      </c>
      <c r="K545" s="61" t="str">
        <f>IFERROR(IF(H545-H544&lt;=0,"",J545/SQRT(Таблица_pr1[[#This Row],[Удельное сопротивление грунта, Ом·м]])),J545/SQRT(Таблица_pr1[[#This Row],[Удельное сопротивление грунта, Ом·м]]))</f>
        <v/>
      </c>
      <c r="M545" s="51"/>
      <c r="N545" s="52"/>
      <c r="O545" s="50"/>
      <c r="P545" s="61" t="str">
        <f t="shared" si="70"/>
        <v/>
      </c>
      <c r="Q545" s="61" t="str">
        <f>IFERROR(IF(N545-N544&lt;=0,"",P545/SQRT(Таблица_pr2[[#This Row],[Удельное сопротивление грунта, Ом·м]])),P545/SQRT(Таблица_pr2[[#This Row],[Удельное сопротивление грунта, Ом·м]]))</f>
        <v/>
      </c>
      <c r="S545" s="51"/>
      <c r="T545" s="52"/>
      <c r="U545" s="50"/>
      <c r="V545" s="61" t="str">
        <f t="shared" si="66"/>
        <v/>
      </c>
      <c r="W545" s="61" t="str">
        <f>IFERROR(IF(T545-T544&lt;=0,"",V545/SQRT(Таблица_pr3[[#This Row],[Удельное сопротивление грунта, Ом·м]])),V545/SQRT(Таблица_pr3[[#This Row],[Удельное сопротивление грунта, Ом·м]]))</f>
        <v/>
      </c>
      <c r="Y545" s="51"/>
      <c r="Z545" s="52"/>
      <c r="AA545" s="50"/>
      <c r="AB545" s="61" t="str">
        <f t="shared" si="71"/>
        <v/>
      </c>
      <c r="AC545" s="61" t="str">
        <f>IFERROR(IF(Z545-Z544&lt;=0,"",AB545/SQRT(Таблица_pr4[[#This Row],[Удельное сопротивление грунта, Ом·м]])),AB545/SQRT(Таблица_pr4[[#This Row],[Удельное сопротивление грунта, Ом·м]]))</f>
        <v/>
      </c>
      <c r="AE545" s="51"/>
      <c r="AF545" s="52"/>
      <c r="AG545" s="50"/>
      <c r="AH545" s="61" t="str">
        <f t="shared" si="67"/>
        <v/>
      </c>
      <c r="AI545" s="61" t="str">
        <f>IFERROR(IF(AF545-AF544&lt;=0,"",AH545/SQRT(Таблица_pr5[[#This Row],[Удельное сопротивление грунта, Ом·м]])),AH545/SQRT(Таблица_pr5[[#This Row],[Удельное сопротивление грунта, Ом·м]]))</f>
        <v/>
      </c>
      <c r="AK545" s="51"/>
      <c r="AL545" s="52"/>
      <c r="AM545" s="50"/>
      <c r="AN545" s="61" t="str">
        <f t="shared" si="72"/>
        <v/>
      </c>
      <c r="AO545" s="61" t="str">
        <f>IFERROR(IF(AL545-AL544&lt;=0,"",AN545/SQRT(Таблица_pr6[[#This Row],[Удельное сопротивление грунта, Ом·м]])),AN545/SQRT(Таблица_pr6[[#This Row],[Удельное сопротивление грунта, Ом·м]]))</f>
        <v/>
      </c>
      <c r="AQ545" s="51"/>
      <c r="AR545" s="52"/>
      <c r="AS545" s="50"/>
      <c r="AT545" s="61" t="str">
        <f t="shared" si="68"/>
        <v/>
      </c>
      <c r="AU545" s="61" t="str">
        <f>IFERROR(IF(AR545-AR544&lt;=0,"",AT545/SQRT(Таблица_pr7[[#This Row],[Удельное сопротивление грунта, Ом·м]])),AT545/SQRT(Таблица_pr7[[#This Row],[Удельное сопротивление грунта, Ом·м]]))</f>
        <v/>
      </c>
      <c r="AW545" s="51"/>
      <c r="AX545" s="52"/>
      <c r="AY545" s="50"/>
      <c r="AZ545" s="61" t="str">
        <f t="shared" si="73"/>
        <v/>
      </c>
      <c r="BA545" s="61" t="str">
        <f>IFERROR(IF(AX545-AX544&lt;=0,"",AZ545/SQRT(Таблица_pr8[[#This Row],[Удельное сопротивление грунта, Ом·м]])),AZ545/SQRT(Таблица_pr8[[#This Row],[Удельное сопротивление грунта, Ом·м]]))</f>
        <v/>
      </c>
      <c r="BC545" s="51"/>
      <c r="BD545" s="52"/>
      <c r="BE545" s="50"/>
      <c r="BF545" s="61" t="str">
        <f t="shared" si="69"/>
        <v/>
      </c>
      <c r="BG545" s="61" t="str">
        <f>IFERROR(IF(BD545-AX564&lt;=0,"",BF545/SQRT(Таблица_pr9[[#This Row],[Удельное сопротивление грунта, Ом·м]])),BF545/SQRT(Таблица_pr9[[#This Row],[Удельное сопротивление грунта, Ом·м]]))</f>
        <v/>
      </c>
      <c r="BI545" s="51"/>
      <c r="BJ545" s="52"/>
      <c r="BK545" s="50"/>
      <c r="BL545" s="61" t="str">
        <f t="shared" si="74"/>
        <v/>
      </c>
      <c r="BM545" s="61" t="str">
        <f>IFERROR(IF(BJ545-BD574&lt;=0,"",BL545/SQRT(Таблица_pr10[[#This Row],[Удельное сопротивление грунта, Ом·м]])),BL545/SQRT(Таблица_pr10[[#This Row],[Удельное сопротивление грунта, Ом·м]]))</f>
        <v/>
      </c>
    </row>
    <row r="546" spans="1:65">
      <c r="A546" s="53"/>
      <c r="B546" s="52"/>
      <c r="C546" s="50"/>
      <c r="D546" s="61" t="str">
        <f t="shared" si="64"/>
        <v/>
      </c>
      <c r="E546" s="61" t="str">
        <f>IFERROR(IF(B546-B545&lt;=0,"",D546/SQRT(Таблица_pr[[#This Row],[Удельное сопротивление грунта, Ом·м]])),D546/SQRT(Таблица_pr[[#This Row],[Удельное сопротивление грунта, Ом·м]]))</f>
        <v/>
      </c>
      <c r="G546" s="188"/>
      <c r="H546" s="184"/>
      <c r="I546" s="182"/>
      <c r="J546" s="181" t="str">
        <f t="shared" si="65"/>
        <v/>
      </c>
      <c r="K546" s="61" t="str">
        <f>IFERROR(IF(H546-H545&lt;=0,"",J546/SQRT(Таблица_pr1[[#This Row],[Удельное сопротивление грунта, Ом·м]])),J546/SQRT(Таблица_pr1[[#This Row],[Удельное сопротивление грунта, Ом·м]]))</f>
        <v/>
      </c>
      <c r="M546" s="53"/>
      <c r="N546" s="52"/>
      <c r="O546" s="50"/>
      <c r="P546" s="61" t="str">
        <f t="shared" si="70"/>
        <v/>
      </c>
      <c r="Q546" s="61" t="str">
        <f>IFERROR(IF(N546-N545&lt;=0,"",P546/SQRT(Таблица_pr2[[#This Row],[Удельное сопротивление грунта, Ом·м]])),P546/SQRT(Таблица_pr2[[#This Row],[Удельное сопротивление грунта, Ом·м]]))</f>
        <v/>
      </c>
      <c r="S546" s="53"/>
      <c r="T546" s="52"/>
      <c r="U546" s="50"/>
      <c r="V546" s="61" t="str">
        <f t="shared" si="66"/>
        <v/>
      </c>
      <c r="W546" s="61" t="str">
        <f>IFERROR(IF(T546-T545&lt;=0,"",V546/SQRT(Таблица_pr3[[#This Row],[Удельное сопротивление грунта, Ом·м]])),V546/SQRT(Таблица_pr3[[#This Row],[Удельное сопротивление грунта, Ом·м]]))</f>
        <v/>
      </c>
      <c r="Y546" s="53"/>
      <c r="Z546" s="52"/>
      <c r="AA546" s="50"/>
      <c r="AB546" s="61" t="str">
        <f t="shared" si="71"/>
        <v/>
      </c>
      <c r="AC546" s="61" t="str">
        <f>IFERROR(IF(Z546-Z545&lt;=0,"",AB546/SQRT(Таблица_pr4[[#This Row],[Удельное сопротивление грунта, Ом·м]])),AB546/SQRT(Таблица_pr4[[#This Row],[Удельное сопротивление грунта, Ом·м]]))</f>
        <v/>
      </c>
      <c r="AE546" s="53"/>
      <c r="AF546" s="52"/>
      <c r="AG546" s="50"/>
      <c r="AH546" s="61" t="str">
        <f t="shared" si="67"/>
        <v/>
      </c>
      <c r="AI546" s="61" t="str">
        <f>IFERROR(IF(AF546-AF545&lt;=0,"",AH546/SQRT(Таблица_pr5[[#This Row],[Удельное сопротивление грунта, Ом·м]])),AH546/SQRT(Таблица_pr5[[#This Row],[Удельное сопротивление грунта, Ом·м]]))</f>
        <v/>
      </c>
      <c r="AK546" s="53"/>
      <c r="AL546" s="52"/>
      <c r="AM546" s="50"/>
      <c r="AN546" s="61" t="str">
        <f t="shared" si="72"/>
        <v/>
      </c>
      <c r="AO546" s="61" t="str">
        <f>IFERROR(IF(AL546-AL545&lt;=0,"",AN546/SQRT(Таблица_pr6[[#This Row],[Удельное сопротивление грунта, Ом·м]])),AN546/SQRT(Таблица_pr6[[#This Row],[Удельное сопротивление грунта, Ом·м]]))</f>
        <v/>
      </c>
      <c r="AQ546" s="53"/>
      <c r="AR546" s="52"/>
      <c r="AS546" s="50"/>
      <c r="AT546" s="61" t="str">
        <f t="shared" si="68"/>
        <v/>
      </c>
      <c r="AU546" s="61" t="str">
        <f>IFERROR(IF(AR546-AR545&lt;=0,"",AT546/SQRT(Таблица_pr7[[#This Row],[Удельное сопротивление грунта, Ом·м]])),AT546/SQRT(Таблица_pr7[[#This Row],[Удельное сопротивление грунта, Ом·м]]))</f>
        <v/>
      </c>
      <c r="AW546" s="53"/>
      <c r="AX546" s="52"/>
      <c r="AY546" s="50"/>
      <c r="AZ546" s="61" t="str">
        <f t="shared" si="73"/>
        <v/>
      </c>
      <c r="BA546" s="61" t="str">
        <f>IFERROR(IF(AX546-AX545&lt;=0,"",AZ546/SQRT(Таблица_pr8[[#This Row],[Удельное сопротивление грунта, Ом·м]])),AZ546/SQRT(Таблица_pr8[[#This Row],[Удельное сопротивление грунта, Ом·м]]))</f>
        <v/>
      </c>
      <c r="BC546" s="53"/>
      <c r="BD546" s="52"/>
      <c r="BE546" s="50"/>
      <c r="BF546" s="61" t="str">
        <f t="shared" si="69"/>
        <v/>
      </c>
      <c r="BG546" s="61" t="str">
        <f>IFERROR(IF(BD546-AX565&lt;=0,"",BF546/SQRT(Таблица_pr9[[#This Row],[Удельное сопротивление грунта, Ом·м]])),BF546/SQRT(Таблица_pr9[[#This Row],[Удельное сопротивление грунта, Ом·м]]))</f>
        <v/>
      </c>
      <c r="BI546" s="53"/>
      <c r="BJ546" s="52"/>
      <c r="BK546" s="50"/>
      <c r="BL546" s="61" t="str">
        <f t="shared" si="74"/>
        <v/>
      </c>
      <c r="BM546" s="61" t="str">
        <f>IFERROR(IF(BJ546-BD575&lt;=0,"",BL546/SQRT(Таблица_pr10[[#This Row],[Удельное сопротивление грунта, Ом·м]])),BL546/SQRT(Таблица_pr10[[#This Row],[Удельное сопротивление грунта, Ом·м]]))</f>
        <v/>
      </c>
    </row>
    <row r="547" spans="1:65">
      <c r="A547" s="51"/>
      <c r="B547" s="52"/>
      <c r="C547" s="50"/>
      <c r="D547" s="61" t="str">
        <f t="shared" si="64"/>
        <v/>
      </c>
      <c r="E547" s="61" t="str">
        <f>IFERROR(IF(B547-B546&lt;=0,"",D547/SQRT(Таблица_pr[[#This Row],[Удельное сопротивление грунта, Ом·м]])),D547/SQRT(Таблица_pr[[#This Row],[Удельное сопротивление грунта, Ом·м]]))</f>
        <v/>
      </c>
      <c r="G547" s="189"/>
      <c r="H547" s="185"/>
      <c r="I547" s="183"/>
      <c r="J547" s="180" t="str">
        <f t="shared" si="65"/>
        <v/>
      </c>
      <c r="K547" s="61" t="str">
        <f>IFERROR(IF(H547-H546&lt;=0,"",J547/SQRT(Таблица_pr1[[#This Row],[Удельное сопротивление грунта, Ом·м]])),J547/SQRT(Таблица_pr1[[#This Row],[Удельное сопротивление грунта, Ом·м]]))</f>
        <v/>
      </c>
      <c r="M547" s="51"/>
      <c r="N547" s="52"/>
      <c r="O547" s="50"/>
      <c r="P547" s="61" t="str">
        <f t="shared" si="70"/>
        <v/>
      </c>
      <c r="Q547" s="61" t="str">
        <f>IFERROR(IF(N547-N546&lt;=0,"",P547/SQRT(Таблица_pr2[[#This Row],[Удельное сопротивление грунта, Ом·м]])),P547/SQRT(Таблица_pr2[[#This Row],[Удельное сопротивление грунта, Ом·м]]))</f>
        <v/>
      </c>
      <c r="S547" s="51"/>
      <c r="T547" s="52"/>
      <c r="U547" s="50"/>
      <c r="V547" s="61" t="str">
        <f t="shared" si="66"/>
        <v/>
      </c>
      <c r="W547" s="61" t="str">
        <f>IFERROR(IF(T547-T546&lt;=0,"",V547/SQRT(Таблица_pr3[[#This Row],[Удельное сопротивление грунта, Ом·м]])),V547/SQRT(Таблица_pr3[[#This Row],[Удельное сопротивление грунта, Ом·м]]))</f>
        <v/>
      </c>
      <c r="Y547" s="51"/>
      <c r="Z547" s="52"/>
      <c r="AA547" s="50"/>
      <c r="AB547" s="61" t="str">
        <f t="shared" si="71"/>
        <v/>
      </c>
      <c r="AC547" s="61" t="str">
        <f>IFERROR(IF(Z547-Z546&lt;=0,"",AB547/SQRT(Таблица_pr4[[#This Row],[Удельное сопротивление грунта, Ом·м]])),AB547/SQRT(Таблица_pr4[[#This Row],[Удельное сопротивление грунта, Ом·м]]))</f>
        <v/>
      </c>
      <c r="AE547" s="51"/>
      <c r="AF547" s="52"/>
      <c r="AG547" s="50"/>
      <c r="AH547" s="61" t="str">
        <f t="shared" si="67"/>
        <v/>
      </c>
      <c r="AI547" s="61" t="str">
        <f>IFERROR(IF(AF547-AF546&lt;=0,"",AH547/SQRT(Таблица_pr5[[#This Row],[Удельное сопротивление грунта, Ом·м]])),AH547/SQRT(Таблица_pr5[[#This Row],[Удельное сопротивление грунта, Ом·м]]))</f>
        <v/>
      </c>
      <c r="AK547" s="51"/>
      <c r="AL547" s="52"/>
      <c r="AM547" s="50"/>
      <c r="AN547" s="61" t="str">
        <f t="shared" si="72"/>
        <v/>
      </c>
      <c r="AO547" s="61" t="str">
        <f>IFERROR(IF(AL547-AL546&lt;=0,"",AN547/SQRT(Таблица_pr6[[#This Row],[Удельное сопротивление грунта, Ом·м]])),AN547/SQRT(Таблица_pr6[[#This Row],[Удельное сопротивление грунта, Ом·м]]))</f>
        <v/>
      </c>
      <c r="AQ547" s="51"/>
      <c r="AR547" s="52"/>
      <c r="AS547" s="50"/>
      <c r="AT547" s="61" t="str">
        <f t="shared" si="68"/>
        <v/>
      </c>
      <c r="AU547" s="61" t="str">
        <f>IFERROR(IF(AR547-AR546&lt;=0,"",AT547/SQRT(Таблица_pr7[[#This Row],[Удельное сопротивление грунта, Ом·м]])),AT547/SQRT(Таблица_pr7[[#This Row],[Удельное сопротивление грунта, Ом·м]]))</f>
        <v/>
      </c>
      <c r="AW547" s="51"/>
      <c r="AX547" s="52"/>
      <c r="AY547" s="50"/>
      <c r="AZ547" s="61" t="str">
        <f t="shared" si="73"/>
        <v/>
      </c>
      <c r="BA547" s="61" t="str">
        <f>IFERROR(IF(AX547-AX546&lt;=0,"",AZ547/SQRT(Таблица_pr8[[#This Row],[Удельное сопротивление грунта, Ом·м]])),AZ547/SQRT(Таблица_pr8[[#This Row],[Удельное сопротивление грунта, Ом·м]]))</f>
        <v/>
      </c>
      <c r="BC547" s="51"/>
      <c r="BD547" s="52"/>
      <c r="BE547" s="50"/>
      <c r="BF547" s="61" t="str">
        <f t="shared" si="69"/>
        <v/>
      </c>
      <c r="BG547" s="61" t="str">
        <f>IFERROR(IF(BD547-AX566&lt;=0,"",BF547/SQRT(Таблица_pr9[[#This Row],[Удельное сопротивление грунта, Ом·м]])),BF547/SQRT(Таблица_pr9[[#This Row],[Удельное сопротивление грунта, Ом·м]]))</f>
        <v/>
      </c>
      <c r="BI547" s="51"/>
      <c r="BJ547" s="52"/>
      <c r="BK547" s="50"/>
      <c r="BL547" s="61" t="str">
        <f t="shared" si="74"/>
        <v/>
      </c>
      <c r="BM547" s="61" t="str">
        <f>IFERROR(IF(BJ547-BD576&lt;=0,"",BL547/SQRT(Таблица_pr10[[#This Row],[Удельное сопротивление грунта, Ом·м]])),BL547/SQRT(Таблица_pr10[[#This Row],[Удельное сопротивление грунта, Ом·м]]))</f>
        <v/>
      </c>
    </row>
    <row r="548" spans="1:65">
      <c r="A548" s="53"/>
      <c r="B548" s="52"/>
      <c r="C548" s="50"/>
      <c r="D548" s="61" t="str">
        <f t="shared" si="64"/>
        <v/>
      </c>
      <c r="E548" s="61" t="str">
        <f>IFERROR(IF(B548-B547&lt;=0,"",D548/SQRT(Таблица_pr[[#This Row],[Удельное сопротивление грунта, Ом·м]])),D548/SQRT(Таблица_pr[[#This Row],[Удельное сопротивление грунта, Ом·м]]))</f>
        <v/>
      </c>
      <c r="G548" s="188"/>
      <c r="H548" s="184"/>
      <c r="I548" s="182"/>
      <c r="J548" s="181" t="str">
        <f t="shared" si="65"/>
        <v/>
      </c>
      <c r="K548" s="61" t="str">
        <f>IFERROR(IF(H548-H547&lt;=0,"",J548/SQRT(Таблица_pr1[[#This Row],[Удельное сопротивление грунта, Ом·м]])),J548/SQRT(Таблица_pr1[[#This Row],[Удельное сопротивление грунта, Ом·м]]))</f>
        <v/>
      </c>
      <c r="M548" s="53"/>
      <c r="N548" s="52"/>
      <c r="O548" s="50"/>
      <c r="P548" s="61" t="str">
        <f t="shared" si="70"/>
        <v/>
      </c>
      <c r="Q548" s="61" t="str">
        <f>IFERROR(IF(N548-N547&lt;=0,"",P548/SQRT(Таблица_pr2[[#This Row],[Удельное сопротивление грунта, Ом·м]])),P548/SQRT(Таблица_pr2[[#This Row],[Удельное сопротивление грунта, Ом·м]]))</f>
        <v/>
      </c>
      <c r="S548" s="53"/>
      <c r="T548" s="52"/>
      <c r="U548" s="50"/>
      <c r="V548" s="61" t="str">
        <f t="shared" si="66"/>
        <v/>
      </c>
      <c r="W548" s="61" t="str">
        <f>IFERROR(IF(T548-T547&lt;=0,"",V548/SQRT(Таблица_pr3[[#This Row],[Удельное сопротивление грунта, Ом·м]])),V548/SQRT(Таблица_pr3[[#This Row],[Удельное сопротивление грунта, Ом·м]]))</f>
        <v/>
      </c>
      <c r="Y548" s="53"/>
      <c r="Z548" s="52"/>
      <c r="AA548" s="50"/>
      <c r="AB548" s="61" t="str">
        <f t="shared" si="71"/>
        <v/>
      </c>
      <c r="AC548" s="61" t="str">
        <f>IFERROR(IF(Z548-Z547&lt;=0,"",AB548/SQRT(Таблица_pr4[[#This Row],[Удельное сопротивление грунта, Ом·м]])),AB548/SQRT(Таблица_pr4[[#This Row],[Удельное сопротивление грунта, Ом·м]]))</f>
        <v/>
      </c>
      <c r="AE548" s="53"/>
      <c r="AF548" s="52"/>
      <c r="AG548" s="50"/>
      <c r="AH548" s="61" t="str">
        <f t="shared" si="67"/>
        <v/>
      </c>
      <c r="AI548" s="61" t="str">
        <f>IFERROR(IF(AF548-AF547&lt;=0,"",AH548/SQRT(Таблица_pr5[[#This Row],[Удельное сопротивление грунта, Ом·м]])),AH548/SQRT(Таблица_pr5[[#This Row],[Удельное сопротивление грунта, Ом·м]]))</f>
        <v/>
      </c>
      <c r="AK548" s="53"/>
      <c r="AL548" s="52"/>
      <c r="AM548" s="50"/>
      <c r="AN548" s="61" t="str">
        <f t="shared" si="72"/>
        <v/>
      </c>
      <c r="AO548" s="61" t="str">
        <f>IFERROR(IF(AL548-AL547&lt;=0,"",AN548/SQRT(Таблица_pr6[[#This Row],[Удельное сопротивление грунта, Ом·м]])),AN548/SQRT(Таблица_pr6[[#This Row],[Удельное сопротивление грунта, Ом·м]]))</f>
        <v/>
      </c>
      <c r="AQ548" s="53"/>
      <c r="AR548" s="52"/>
      <c r="AS548" s="50"/>
      <c r="AT548" s="61" t="str">
        <f t="shared" si="68"/>
        <v/>
      </c>
      <c r="AU548" s="61" t="str">
        <f>IFERROR(IF(AR548-AR547&lt;=0,"",AT548/SQRT(Таблица_pr7[[#This Row],[Удельное сопротивление грунта, Ом·м]])),AT548/SQRT(Таблица_pr7[[#This Row],[Удельное сопротивление грунта, Ом·м]]))</f>
        <v/>
      </c>
      <c r="AW548" s="53"/>
      <c r="AX548" s="52"/>
      <c r="AY548" s="50"/>
      <c r="AZ548" s="61" t="str">
        <f t="shared" si="73"/>
        <v/>
      </c>
      <c r="BA548" s="61" t="str">
        <f>IFERROR(IF(AX548-AX547&lt;=0,"",AZ548/SQRT(Таблица_pr8[[#This Row],[Удельное сопротивление грунта, Ом·м]])),AZ548/SQRT(Таблица_pr8[[#This Row],[Удельное сопротивление грунта, Ом·м]]))</f>
        <v/>
      </c>
      <c r="BC548" s="53"/>
      <c r="BD548" s="52"/>
      <c r="BE548" s="50"/>
      <c r="BF548" s="61" t="str">
        <f t="shared" si="69"/>
        <v/>
      </c>
      <c r="BG548" s="61" t="str">
        <f>IFERROR(IF(BD548-AX567&lt;=0,"",BF548/SQRT(Таблица_pr9[[#This Row],[Удельное сопротивление грунта, Ом·м]])),BF548/SQRT(Таблица_pr9[[#This Row],[Удельное сопротивление грунта, Ом·м]]))</f>
        <v/>
      </c>
      <c r="BI548" s="53"/>
      <c r="BJ548" s="52"/>
      <c r="BK548" s="50"/>
      <c r="BL548" s="61" t="str">
        <f t="shared" si="74"/>
        <v/>
      </c>
      <c r="BM548" s="61" t="str">
        <f>IFERROR(IF(BJ548-BD577&lt;=0,"",BL548/SQRT(Таблица_pr10[[#This Row],[Удельное сопротивление грунта, Ом·м]])),BL548/SQRT(Таблица_pr10[[#This Row],[Удельное сопротивление грунта, Ом·м]]))</f>
        <v/>
      </c>
    </row>
    <row r="549" spans="1:65">
      <c r="A549" s="51"/>
      <c r="B549" s="52"/>
      <c r="C549" s="50"/>
      <c r="D549" s="61" t="str">
        <f t="shared" si="64"/>
        <v/>
      </c>
      <c r="E549" s="61" t="str">
        <f>IFERROR(IF(B549-B548&lt;=0,"",D549/SQRT(Таблица_pr[[#This Row],[Удельное сопротивление грунта, Ом·м]])),D549/SQRT(Таблица_pr[[#This Row],[Удельное сопротивление грунта, Ом·м]]))</f>
        <v/>
      </c>
      <c r="G549" s="189"/>
      <c r="H549" s="185"/>
      <c r="I549" s="183"/>
      <c r="J549" s="180" t="str">
        <f t="shared" si="65"/>
        <v/>
      </c>
      <c r="K549" s="61" t="str">
        <f>IFERROR(IF(H549-H548&lt;=0,"",J549/SQRT(Таблица_pr1[[#This Row],[Удельное сопротивление грунта, Ом·м]])),J549/SQRT(Таблица_pr1[[#This Row],[Удельное сопротивление грунта, Ом·м]]))</f>
        <v/>
      </c>
      <c r="M549" s="51"/>
      <c r="N549" s="52"/>
      <c r="O549" s="50"/>
      <c r="P549" s="61" t="str">
        <f t="shared" si="70"/>
        <v/>
      </c>
      <c r="Q549" s="61" t="str">
        <f>IFERROR(IF(N549-N548&lt;=0,"",P549/SQRT(Таблица_pr2[[#This Row],[Удельное сопротивление грунта, Ом·м]])),P549/SQRT(Таблица_pr2[[#This Row],[Удельное сопротивление грунта, Ом·м]]))</f>
        <v/>
      </c>
      <c r="S549" s="51"/>
      <c r="T549" s="52"/>
      <c r="U549" s="50"/>
      <c r="V549" s="61" t="str">
        <f t="shared" si="66"/>
        <v/>
      </c>
      <c r="W549" s="61" t="str">
        <f>IFERROR(IF(T549-T548&lt;=0,"",V549/SQRT(Таблица_pr3[[#This Row],[Удельное сопротивление грунта, Ом·м]])),V549/SQRT(Таблица_pr3[[#This Row],[Удельное сопротивление грунта, Ом·м]]))</f>
        <v/>
      </c>
      <c r="Y549" s="51"/>
      <c r="Z549" s="52"/>
      <c r="AA549" s="50"/>
      <c r="AB549" s="61" t="str">
        <f t="shared" si="71"/>
        <v/>
      </c>
      <c r="AC549" s="61" t="str">
        <f>IFERROR(IF(Z549-Z548&lt;=0,"",AB549/SQRT(Таблица_pr4[[#This Row],[Удельное сопротивление грунта, Ом·м]])),AB549/SQRT(Таблица_pr4[[#This Row],[Удельное сопротивление грунта, Ом·м]]))</f>
        <v/>
      </c>
      <c r="AE549" s="51"/>
      <c r="AF549" s="52"/>
      <c r="AG549" s="50"/>
      <c r="AH549" s="61" t="str">
        <f t="shared" si="67"/>
        <v/>
      </c>
      <c r="AI549" s="61" t="str">
        <f>IFERROR(IF(AF549-AF548&lt;=0,"",AH549/SQRT(Таблица_pr5[[#This Row],[Удельное сопротивление грунта, Ом·м]])),AH549/SQRT(Таблица_pr5[[#This Row],[Удельное сопротивление грунта, Ом·м]]))</f>
        <v/>
      </c>
      <c r="AK549" s="51"/>
      <c r="AL549" s="52"/>
      <c r="AM549" s="50"/>
      <c r="AN549" s="61" t="str">
        <f t="shared" si="72"/>
        <v/>
      </c>
      <c r="AO549" s="61" t="str">
        <f>IFERROR(IF(AL549-AL548&lt;=0,"",AN549/SQRT(Таблица_pr6[[#This Row],[Удельное сопротивление грунта, Ом·м]])),AN549/SQRT(Таблица_pr6[[#This Row],[Удельное сопротивление грунта, Ом·м]]))</f>
        <v/>
      </c>
      <c r="AQ549" s="51"/>
      <c r="AR549" s="52"/>
      <c r="AS549" s="50"/>
      <c r="AT549" s="61" t="str">
        <f t="shared" si="68"/>
        <v/>
      </c>
      <c r="AU549" s="61" t="str">
        <f>IFERROR(IF(AR549-AR548&lt;=0,"",AT549/SQRT(Таблица_pr7[[#This Row],[Удельное сопротивление грунта, Ом·м]])),AT549/SQRT(Таблица_pr7[[#This Row],[Удельное сопротивление грунта, Ом·м]]))</f>
        <v/>
      </c>
      <c r="AW549" s="51"/>
      <c r="AX549" s="52"/>
      <c r="AY549" s="50"/>
      <c r="AZ549" s="61" t="str">
        <f t="shared" si="73"/>
        <v/>
      </c>
      <c r="BA549" s="61" t="str">
        <f>IFERROR(IF(AX549-AX548&lt;=0,"",AZ549/SQRT(Таблица_pr8[[#This Row],[Удельное сопротивление грунта, Ом·м]])),AZ549/SQRT(Таблица_pr8[[#This Row],[Удельное сопротивление грунта, Ом·м]]))</f>
        <v/>
      </c>
      <c r="BC549" s="51"/>
      <c r="BD549" s="52"/>
      <c r="BE549" s="50"/>
      <c r="BF549" s="61" t="str">
        <f t="shared" si="69"/>
        <v/>
      </c>
      <c r="BG549" s="61" t="str">
        <f>IFERROR(IF(BD549-AX568&lt;=0,"",BF549/SQRT(Таблица_pr9[[#This Row],[Удельное сопротивление грунта, Ом·м]])),BF549/SQRT(Таблица_pr9[[#This Row],[Удельное сопротивление грунта, Ом·м]]))</f>
        <v/>
      </c>
      <c r="BI549" s="51"/>
      <c r="BJ549" s="52"/>
      <c r="BK549" s="50"/>
      <c r="BL549" s="61" t="str">
        <f t="shared" si="74"/>
        <v/>
      </c>
      <c r="BM549" s="61" t="str">
        <f>IFERROR(IF(BJ549-BD578&lt;=0,"",BL549/SQRT(Таблица_pr10[[#This Row],[Удельное сопротивление грунта, Ом·м]])),BL549/SQRT(Таблица_pr10[[#This Row],[Удельное сопротивление грунта, Ом·м]]))</f>
        <v/>
      </c>
    </row>
    <row r="550" spans="1:65">
      <c r="A550" s="53"/>
      <c r="B550" s="52"/>
      <c r="C550" s="50"/>
      <c r="D550" s="61" t="str">
        <f t="shared" si="64"/>
        <v/>
      </c>
      <c r="E550" s="61" t="str">
        <f>IFERROR(IF(B550-B549&lt;=0,"",D550/SQRT(Таблица_pr[[#This Row],[Удельное сопротивление грунта, Ом·м]])),D550/SQRT(Таблица_pr[[#This Row],[Удельное сопротивление грунта, Ом·м]]))</f>
        <v/>
      </c>
      <c r="G550" s="188"/>
      <c r="H550" s="184"/>
      <c r="I550" s="182"/>
      <c r="J550" s="181" t="str">
        <f t="shared" si="65"/>
        <v/>
      </c>
      <c r="K550" s="61" t="str">
        <f>IFERROR(IF(H550-H549&lt;=0,"",J550/SQRT(Таблица_pr1[[#This Row],[Удельное сопротивление грунта, Ом·м]])),J550/SQRT(Таблица_pr1[[#This Row],[Удельное сопротивление грунта, Ом·м]]))</f>
        <v/>
      </c>
      <c r="M550" s="53"/>
      <c r="N550" s="52"/>
      <c r="O550" s="50"/>
      <c r="P550" s="61" t="str">
        <f t="shared" si="70"/>
        <v/>
      </c>
      <c r="Q550" s="61" t="str">
        <f>IFERROR(IF(N550-N549&lt;=0,"",P550/SQRT(Таблица_pr2[[#This Row],[Удельное сопротивление грунта, Ом·м]])),P550/SQRT(Таблица_pr2[[#This Row],[Удельное сопротивление грунта, Ом·м]]))</f>
        <v/>
      </c>
      <c r="S550" s="53"/>
      <c r="T550" s="52"/>
      <c r="U550" s="50"/>
      <c r="V550" s="61" t="str">
        <f t="shared" si="66"/>
        <v/>
      </c>
      <c r="W550" s="61" t="str">
        <f>IFERROR(IF(T550-T549&lt;=0,"",V550/SQRT(Таблица_pr3[[#This Row],[Удельное сопротивление грунта, Ом·м]])),V550/SQRT(Таблица_pr3[[#This Row],[Удельное сопротивление грунта, Ом·м]]))</f>
        <v/>
      </c>
      <c r="Y550" s="53"/>
      <c r="Z550" s="52"/>
      <c r="AA550" s="50"/>
      <c r="AB550" s="61" t="str">
        <f t="shared" si="71"/>
        <v/>
      </c>
      <c r="AC550" s="61" t="str">
        <f>IFERROR(IF(Z550-Z549&lt;=0,"",AB550/SQRT(Таблица_pr4[[#This Row],[Удельное сопротивление грунта, Ом·м]])),AB550/SQRT(Таблица_pr4[[#This Row],[Удельное сопротивление грунта, Ом·м]]))</f>
        <v/>
      </c>
      <c r="AE550" s="53"/>
      <c r="AF550" s="52"/>
      <c r="AG550" s="50"/>
      <c r="AH550" s="61" t="str">
        <f t="shared" si="67"/>
        <v/>
      </c>
      <c r="AI550" s="61" t="str">
        <f>IFERROR(IF(AF550-AF549&lt;=0,"",AH550/SQRT(Таблица_pr5[[#This Row],[Удельное сопротивление грунта, Ом·м]])),AH550/SQRT(Таблица_pr5[[#This Row],[Удельное сопротивление грунта, Ом·м]]))</f>
        <v/>
      </c>
      <c r="AK550" s="53"/>
      <c r="AL550" s="52"/>
      <c r="AM550" s="50"/>
      <c r="AN550" s="61" t="str">
        <f t="shared" si="72"/>
        <v/>
      </c>
      <c r="AO550" s="61" t="str">
        <f>IFERROR(IF(AL550-AL549&lt;=0,"",AN550/SQRT(Таблица_pr6[[#This Row],[Удельное сопротивление грунта, Ом·м]])),AN550/SQRT(Таблица_pr6[[#This Row],[Удельное сопротивление грунта, Ом·м]]))</f>
        <v/>
      </c>
      <c r="AQ550" s="53"/>
      <c r="AR550" s="52"/>
      <c r="AS550" s="50"/>
      <c r="AT550" s="61" t="str">
        <f t="shared" si="68"/>
        <v/>
      </c>
      <c r="AU550" s="61" t="str">
        <f>IFERROR(IF(AR550-AR549&lt;=0,"",AT550/SQRT(Таблица_pr7[[#This Row],[Удельное сопротивление грунта, Ом·м]])),AT550/SQRT(Таблица_pr7[[#This Row],[Удельное сопротивление грунта, Ом·м]]))</f>
        <v/>
      </c>
      <c r="AW550" s="53"/>
      <c r="AX550" s="52"/>
      <c r="AY550" s="50"/>
      <c r="AZ550" s="61" t="str">
        <f t="shared" si="73"/>
        <v/>
      </c>
      <c r="BA550" s="61" t="str">
        <f>IFERROR(IF(AX550-AX549&lt;=0,"",AZ550/SQRT(Таблица_pr8[[#This Row],[Удельное сопротивление грунта, Ом·м]])),AZ550/SQRT(Таблица_pr8[[#This Row],[Удельное сопротивление грунта, Ом·м]]))</f>
        <v/>
      </c>
      <c r="BC550" s="53"/>
      <c r="BD550" s="52"/>
      <c r="BE550" s="50"/>
      <c r="BF550" s="61" t="str">
        <f t="shared" si="69"/>
        <v/>
      </c>
      <c r="BG550" s="61" t="str">
        <f>IFERROR(IF(BD550-AX569&lt;=0,"",BF550/SQRT(Таблица_pr9[[#This Row],[Удельное сопротивление грунта, Ом·м]])),BF550/SQRT(Таблица_pr9[[#This Row],[Удельное сопротивление грунта, Ом·м]]))</f>
        <v/>
      </c>
      <c r="BI550" s="53"/>
      <c r="BJ550" s="52"/>
      <c r="BK550" s="50"/>
      <c r="BL550" s="61" t="str">
        <f t="shared" si="74"/>
        <v/>
      </c>
      <c r="BM550" s="61" t="str">
        <f>IFERROR(IF(BJ550-BD579&lt;=0,"",BL550/SQRT(Таблица_pr10[[#This Row],[Удельное сопротивление грунта, Ом·м]])),BL550/SQRT(Таблица_pr10[[#This Row],[Удельное сопротивление грунта, Ом·м]]))</f>
        <v/>
      </c>
    </row>
    <row r="551" spans="1:65">
      <c r="A551" s="51"/>
      <c r="B551" s="52"/>
      <c r="C551" s="50"/>
      <c r="D551" s="61" t="str">
        <f t="shared" si="64"/>
        <v/>
      </c>
      <c r="E551" s="61" t="str">
        <f>IFERROR(IF(B551-B550&lt;=0,"",D551/SQRT(Таблица_pr[[#This Row],[Удельное сопротивление грунта, Ом·м]])),D551/SQRT(Таблица_pr[[#This Row],[Удельное сопротивление грунта, Ом·м]]))</f>
        <v/>
      </c>
      <c r="G551" s="189"/>
      <c r="H551" s="185"/>
      <c r="I551" s="183"/>
      <c r="J551" s="180" t="str">
        <f t="shared" si="65"/>
        <v/>
      </c>
      <c r="K551" s="61" t="str">
        <f>IFERROR(IF(H551-H550&lt;=0,"",J551/SQRT(Таблица_pr1[[#This Row],[Удельное сопротивление грунта, Ом·м]])),J551/SQRT(Таблица_pr1[[#This Row],[Удельное сопротивление грунта, Ом·м]]))</f>
        <v/>
      </c>
      <c r="M551" s="51"/>
      <c r="N551" s="52"/>
      <c r="O551" s="50"/>
      <c r="P551" s="61" t="str">
        <f t="shared" si="70"/>
        <v/>
      </c>
      <c r="Q551" s="61" t="str">
        <f>IFERROR(IF(N551-N550&lt;=0,"",P551/SQRT(Таблица_pr2[[#This Row],[Удельное сопротивление грунта, Ом·м]])),P551/SQRT(Таблица_pr2[[#This Row],[Удельное сопротивление грунта, Ом·м]]))</f>
        <v/>
      </c>
      <c r="S551" s="51"/>
      <c r="T551" s="52"/>
      <c r="U551" s="50"/>
      <c r="V551" s="61" t="str">
        <f t="shared" si="66"/>
        <v/>
      </c>
      <c r="W551" s="61" t="str">
        <f>IFERROR(IF(T551-T550&lt;=0,"",V551/SQRT(Таблица_pr3[[#This Row],[Удельное сопротивление грунта, Ом·м]])),V551/SQRT(Таблица_pr3[[#This Row],[Удельное сопротивление грунта, Ом·м]]))</f>
        <v/>
      </c>
      <c r="Y551" s="51"/>
      <c r="Z551" s="52"/>
      <c r="AA551" s="50"/>
      <c r="AB551" s="61" t="str">
        <f t="shared" si="71"/>
        <v/>
      </c>
      <c r="AC551" s="61" t="str">
        <f>IFERROR(IF(Z551-Z550&lt;=0,"",AB551/SQRT(Таблица_pr4[[#This Row],[Удельное сопротивление грунта, Ом·м]])),AB551/SQRT(Таблица_pr4[[#This Row],[Удельное сопротивление грунта, Ом·м]]))</f>
        <v/>
      </c>
      <c r="AE551" s="51"/>
      <c r="AF551" s="52"/>
      <c r="AG551" s="50"/>
      <c r="AH551" s="61" t="str">
        <f t="shared" si="67"/>
        <v/>
      </c>
      <c r="AI551" s="61" t="str">
        <f>IFERROR(IF(AF551-AF550&lt;=0,"",AH551/SQRT(Таблица_pr5[[#This Row],[Удельное сопротивление грунта, Ом·м]])),AH551/SQRT(Таблица_pr5[[#This Row],[Удельное сопротивление грунта, Ом·м]]))</f>
        <v/>
      </c>
      <c r="AK551" s="51"/>
      <c r="AL551" s="52"/>
      <c r="AM551" s="50"/>
      <c r="AN551" s="61" t="str">
        <f t="shared" si="72"/>
        <v/>
      </c>
      <c r="AO551" s="61" t="str">
        <f>IFERROR(IF(AL551-AL550&lt;=0,"",AN551/SQRT(Таблица_pr6[[#This Row],[Удельное сопротивление грунта, Ом·м]])),AN551/SQRT(Таблица_pr6[[#This Row],[Удельное сопротивление грунта, Ом·м]]))</f>
        <v/>
      </c>
      <c r="AQ551" s="51"/>
      <c r="AR551" s="52"/>
      <c r="AS551" s="50"/>
      <c r="AT551" s="61" t="str">
        <f t="shared" si="68"/>
        <v/>
      </c>
      <c r="AU551" s="61" t="str">
        <f>IFERROR(IF(AR551-AR550&lt;=0,"",AT551/SQRT(Таблица_pr7[[#This Row],[Удельное сопротивление грунта, Ом·м]])),AT551/SQRT(Таблица_pr7[[#This Row],[Удельное сопротивление грунта, Ом·м]]))</f>
        <v/>
      </c>
      <c r="AW551" s="51"/>
      <c r="AX551" s="52"/>
      <c r="AY551" s="50"/>
      <c r="AZ551" s="61" t="str">
        <f t="shared" si="73"/>
        <v/>
      </c>
      <c r="BA551" s="61" t="str">
        <f>IFERROR(IF(AX551-AX550&lt;=0,"",AZ551/SQRT(Таблица_pr8[[#This Row],[Удельное сопротивление грунта, Ом·м]])),AZ551/SQRT(Таблица_pr8[[#This Row],[Удельное сопротивление грунта, Ом·м]]))</f>
        <v/>
      </c>
      <c r="BC551" s="51"/>
      <c r="BD551" s="52"/>
      <c r="BE551" s="50"/>
      <c r="BF551" s="61" t="str">
        <f t="shared" si="69"/>
        <v/>
      </c>
      <c r="BG551" s="61" t="str">
        <f>IFERROR(IF(BD551-AX570&lt;=0,"",BF551/SQRT(Таблица_pr9[[#This Row],[Удельное сопротивление грунта, Ом·м]])),BF551/SQRT(Таблица_pr9[[#This Row],[Удельное сопротивление грунта, Ом·м]]))</f>
        <v/>
      </c>
      <c r="BI551" s="51"/>
      <c r="BJ551" s="52"/>
      <c r="BK551" s="50"/>
      <c r="BL551" s="61" t="str">
        <f t="shared" si="74"/>
        <v/>
      </c>
      <c r="BM551" s="61" t="str">
        <f>IFERROR(IF(BJ551-BD580&lt;=0,"",BL551/SQRT(Таблица_pr10[[#This Row],[Удельное сопротивление грунта, Ом·м]])),BL551/SQRT(Таблица_pr10[[#This Row],[Удельное сопротивление грунта, Ом·м]]))</f>
        <v/>
      </c>
    </row>
    <row r="552" spans="1:65">
      <c r="A552" s="53"/>
      <c r="B552" s="52"/>
      <c r="C552" s="50"/>
      <c r="D552" s="61" t="str">
        <f t="shared" si="64"/>
        <v/>
      </c>
      <c r="E552" s="61" t="str">
        <f>IFERROR(IF(B552-B551&lt;=0,"",D552/SQRT(Таблица_pr[[#This Row],[Удельное сопротивление грунта, Ом·м]])),D552/SQRT(Таблица_pr[[#This Row],[Удельное сопротивление грунта, Ом·м]]))</f>
        <v/>
      </c>
      <c r="G552" s="188"/>
      <c r="H552" s="184"/>
      <c r="I552" s="182"/>
      <c r="J552" s="181" t="str">
        <f t="shared" si="65"/>
        <v/>
      </c>
      <c r="K552" s="61" t="str">
        <f>IFERROR(IF(H552-H551&lt;=0,"",J552/SQRT(Таблица_pr1[[#This Row],[Удельное сопротивление грунта, Ом·м]])),J552/SQRT(Таблица_pr1[[#This Row],[Удельное сопротивление грунта, Ом·м]]))</f>
        <v/>
      </c>
      <c r="M552" s="53"/>
      <c r="N552" s="52"/>
      <c r="O552" s="50"/>
      <c r="P552" s="61" t="str">
        <f t="shared" si="70"/>
        <v/>
      </c>
      <c r="Q552" s="61" t="str">
        <f>IFERROR(IF(N552-N551&lt;=0,"",P552/SQRT(Таблица_pr2[[#This Row],[Удельное сопротивление грунта, Ом·м]])),P552/SQRT(Таблица_pr2[[#This Row],[Удельное сопротивление грунта, Ом·м]]))</f>
        <v/>
      </c>
      <c r="S552" s="53"/>
      <c r="T552" s="52"/>
      <c r="U552" s="50"/>
      <c r="V552" s="61" t="str">
        <f t="shared" si="66"/>
        <v/>
      </c>
      <c r="W552" s="61" t="str">
        <f>IFERROR(IF(T552-T551&lt;=0,"",V552/SQRT(Таблица_pr3[[#This Row],[Удельное сопротивление грунта, Ом·м]])),V552/SQRT(Таблица_pr3[[#This Row],[Удельное сопротивление грунта, Ом·м]]))</f>
        <v/>
      </c>
      <c r="Y552" s="53"/>
      <c r="Z552" s="52"/>
      <c r="AA552" s="50"/>
      <c r="AB552" s="61" t="str">
        <f t="shared" si="71"/>
        <v/>
      </c>
      <c r="AC552" s="61" t="str">
        <f>IFERROR(IF(Z552-Z551&lt;=0,"",AB552/SQRT(Таблица_pr4[[#This Row],[Удельное сопротивление грунта, Ом·м]])),AB552/SQRT(Таблица_pr4[[#This Row],[Удельное сопротивление грунта, Ом·м]]))</f>
        <v/>
      </c>
      <c r="AE552" s="53"/>
      <c r="AF552" s="52"/>
      <c r="AG552" s="50"/>
      <c r="AH552" s="61" t="str">
        <f t="shared" si="67"/>
        <v/>
      </c>
      <c r="AI552" s="61" t="str">
        <f>IFERROR(IF(AF552-AF551&lt;=0,"",AH552/SQRT(Таблица_pr5[[#This Row],[Удельное сопротивление грунта, Ом·м]])),AH552/SQRT(Таблица_pr5[[#This Row],[Удельное сопротивление грунта, Ом·м]]))</f>
        <v/>
      </c>
      <c r="AK552" s="53"/>
      <c r="AL552" s="52"/>
      <c r="AM552" s="50"/>
      <c r="AN552" s="61" t="str">
        <f t="shared" si="72"/>
        <v/>
      </c>
      <c r="AO552" s="61" t="str">
        <f>IFERROR(IF(AL552-AL551&lt;=0,"",AN552/SQRT(Таблица_pr6[[#This Row],[Удельное сопротивление грунта, Ом·м]])),AN552/SQRT(Таблица_pr6[[#This Row],[Удельное сопротивление грунта, Ом·м]]))</f>
        <v/>
      </c>
      <c r="AQ552" s="53"/>
      <c r="AR552" s="52"/>
      <c r="AS552" s="50"/>
      <c r="AT552" s="61" t="str">
        <f t="shared" si="68"/>
        <v/>
      </c>
      <c r="AU552" s="61" t="str">
        <f>IFERROR(IF(AR552-AR551&lt;=0,"",AT552/SQRT(Таблица_pr7[[#This Row],[Удельное сопротивление грунта, Ом·м]])),AT552/SQRT(Таблица_pr7[[#This Row],[Удельное сопротивление грунта, Ом·м]]))</f>
        <v/>
      </c>
      <c r="AW552" s="53"/>
      <c r="AX552" s="52"/>
      <c r="AY552" s="50"/>
      <c r="AZ552" s="61" t="str">
        <f t="shared" si="73"/>
        <v/>
      </c>
      <c r="BA552" s="61" t="str">
        <f>IFERROR(IF(AX552-AX551&lt;=0,"",AZ552/SQRT(Таблица_pr8[[#This Row],[Удельное сопротивление грунта, Ом·м]])),AZ552/SQRT(Таблица_pr8[[#This Row],[Удельное сопротивление грунта, Ом·м]]))</f>
        <v/>
      </c>
      <c r="BC552" s="53"/>
      <c r="BD552" s="52"/>
      <c r="BE552" s="50"/>
      <c r="BF552" s="61" t="str">
        <f t="shared" si="69"/>
        <v/>
      </c>
      <c r="BG552" s="61" t="str">
        <f>IFERROR(IF(BD552-AX571&lt;=0,"",BF552/SQRT(Таблица_pr9[[#This Row],[Удельное сопротивление грунта, Ом·м]])),BF552/SQRT(Таблица_pr9[[#This Row],[Удельное сопротивление грунта, Ом·м]]))</f>
        <v/>
      </c>
      <c r="BI552" s="53"/>
      <c r="BJ552" s="52"/>
      <c r="BK552" s="50"/>
      <c r="BL552" s="61" t="str">
        <f t="shared" si="74"/>
        <v/>
      </c>
      <c r="BM552" s="61" t="str">
        <f>IFERROR(IF(BJ552-BD581&lt;=0,"",BL552/SQRT(Таблица_pr10[[#This Row],[Удельное сопротивление грунта, Ом·м]])),BL552/SQRT(Таблица_pr10[[#This Row],[Удельное сопротивление грунта, Ом·м]]))</f>
        <v/>
      </c>
    </row>
    <row r="553" spans="1:65">
      <c r="A553" s="51"/>
      <c r="B553" s="52"/>
      <c r="C553" s="50"/>
      <c r="D553" s="61" t="str">
        <f t="shared" si="64"/>
        <v/>
      </c>
      <c r="E553" s="61" t="str">
        <f>IFERROR(IF(B553-B552&lt;=0,"",D553/SQRT(Таблица_pr[[#This Row],[Удельное сопротивление грунта, Ом·м]])),D553/SQRT(Таблица_pr[[#This Row],[Удельное сопротивление грунта, Ом·м]]))</f>
        <v/>
      </c>
      <c r="G553" s="189"/>
      <c r="H553" s="185"/>
      <c r="I553" s="183"/>
      <c r="J553" s="180" t="str">
        <f t="shared" si="65"/>
        <v/>
      </c>
      <c r="K553" s="61" t="str">
        <f>IFERROR(IF(H553-H552&lt;=0,"",J553/SQRT(Таблица_pr1[[#This Row],[Удельное сопротивление грунта, Ом·м]])),J553/SQRT(Таблица_pr1[[#This Row],[Удельное сопротивление грунта, Ом·м]]))</f>
        <v/>
      </c>
      <c r="M553" s="51"/>
      <c r="N553" s="52"/>
      <c r="O553" s="50"/>
      <c r="P553" s="61" t="str">
        <f t="shared" si="70"/>
        <v/>
      </c>
      <c r="Q553" s="61" t="str">
        <f>IFERROR(IF(N553-N552&lt;=0,"",P553/SQRT(Таблица_pr2[[#This Row],[Удельное сопротивление грунта, Ом·м]])),P553/SQRT(Таблица_pr2[[#This Row],[Удельное сопротивление грунта, Ом·м]]))</f>
        <v/>
      </c>
      <c r="S553" s="51"/>
      <c r="T553" s="52"/>
      <c r="U553" s="50"/>
      <c r="V553" s="61" t="str">
        <f t="shared" si="66"/>
        <v/>
      </c>
      <c r="W553" s="61" t="str">
        <f>IFERROR(IF(T553-T552&lt;=0,"",V553/SQRT(Таблица_pr3[[#This Row],[Удельное сопротивление грунта, Ом·м]])),V553/SQRT(Таблица_pr3[[#This Row],[Удельное сопротивление грунта, Ом·м]]))</f>
        <v/>
      </c>
      <c r="Y553" s="51"/>
      <c r="Z553" s="52"/>
      <c r="AA553" s="50"/>
      <c r="AB553" s="61" t="str">
        <f t="shared" si="71"/>
        <v/>
      </c>
      <c r="AC553" s="61" t="str">
        <f>IFERROR(IF(Z553-Z552&lt;=0,"",AB553/SQRT(Таблица_pr4[[#This Row],[Удельное сопротивление грунта, Ом·м]])),AB553/SQRT(Таблица_pr4[[#This Row],[Удельное сопротивление грунта, Ом·м]]))</f>
        <v/>
      </c>
      <c r="AE553" s="51"/>
      <c r="AF553" s="52"/>
      <c r="AG553" s="50"/>
      <c r="AH553" s="61" t="str">
        <f t="shared" si="67"/>
        <v/>
      </c>
      <c r="AI553" s="61" t="str">
        <f>IFERROR(IF(AF553-AF552&lt;=0,"",AH553/SQRT(Таблица_pr5[[#This Row],[Удельное сопротивление грунта, Ом·м]])),AH553/SQRT(Таблица_pr5[[#This Row],[Удельное сопротивление грунта, Ом·м]]))</f>
        <v/>
      </c>
      <c r="AK553" s="51"/>
      <c r="AL553" s="52"/>
      <c r="AM553" s="50"/>
      <c r="AN553" s="61" t="str">
        <f t="shared" si="72"/>
        <v/>
      </c>
      <c r="AO553" s="61" t="str">
        <f>IFERROR(IF(AL553-AL552&lt;=0,"",AN553/SQRT(Таблица_pr6[[#This Row],[Удельное сопротивление грунта, Ом·м]])),AN553/SQRT(Таблица_pr6[[#This Row],[Удельное сопротивление грунта, Ом·м]]))</f>
        <v/>
      </c>
      <c r="AQ553" s="51"/>
      <c r="AR553" s="52"/>
      <c r="AS553" s="50"/>
      <c r="AT553" s="61" t="str">
        <f t="shared" si="68"/>
        <v/>
      </c>
      <c r="AU553" s="61" t="str">
        <f>IFERROR(IF(AR553-AR552&lt;=0,"",AT553/SQRT(Таблица_pr7[[#This Row],[Удельное сопротивление грунта, Ом·м]])),AT553/SQRT(Таблица_pr7[[#This Row],[Удельное сопротивление грунта, Ом·м]]))</f>
        <v/>
      </c>
      <c r="AW553" s="51"/>
      <c r="AX553" s="52"/>
      <c r="AY553" s="50"/>
      <c r="AZ553" s="61" t="str">
        <f t="shared" si="73"/>
        <v/>
      </c>
      <c r="BA553" s="61" t="str">
        <f>IFERROR(IF(AX553-AX552&lt;=0,"",AZ553/SQRT(Таблица_pr8[[#This Row],[Удельное сопротивление грунта, Ом·м]])),AZ553/SQRT(Таблица_pr8[[#This Row],[Удельное сопротивление грунта, Ом·м]]))</f>
        <v/>
      </c>
      <c r="BC553" s="51"/>
      <c r="BD553" s="52"/>
      <c r="BE553" s="50"/>
      <c r="BF553" s="61" t="str">
        <f t="shared" si="69"/>
        <v/>
      </c>
      <c r="BG553" s="61" t="str">
        <f>IFERROR(IF(BD553-AX572&lt;=0,"",BF553/SQRT(Таблица_pr9[[#This Row],[Удельное сопротивление грунта, Ом·м]])),BF553/SQRT(Таблица_pr9[[#This Row],[Удельное сопротивление грунта, Ом·м]]))</f>
        <v/>
      </c>
      <c r="BI553" s="51"/>
      <c r="BJ553" s="52"/>
      <c r="BK553" s="50"/>
      <c r="BL553" s="61" t="str">
        <f t="shared" si="74"/>
        <v/>
      </c>
      <c r="BM553" s="61" t="str">
        <f>IFERROR(IF(BJ553-BD582&lt;=0,"",BL553/SQRT(Таблица_pr10[[#This Row],[Удельное сопротивление грунта, Ом·м]])),BL553/SQRT(Таблица_pr10[[#This Row],[Удельное сопротивление грунта, Ом·м]]))</f>
        <v/>
      </c>
    </row>
    <row r="554" spans="1:65">
      <c r="A554" s="53"/>
      <c r="B554" s="52"/>
      <c r="C554" s="50"/>
      <c r="D554" s="61" t="str">
        <f t="shared" si="64"/>
        <v/>
      </c>
      <c r="E554" s="61" t="str">
        <f>IFERROR(IF(B554-B553&lt;=0,"",D554/SQRT(Таблица_pr[[#This Row],[Удельное сопротивление грунта, Ом·м]])),D554/SQRT(Таблица_pr[[#This Row],[Удельное сопротивление грунта, Ом·м]]))</f>
        <v/>
      </c>
      <c r="G554" s="188"/>
      <c r="H554" s="184"/>
      <c r="I554" s="182"/>
      <c r="J554" s="181" t="str">
        <f t="shared" si="65"/>
        <v/>
      </c>
      <c r="K554" s="61" t="str">
        <f>IFERROR(IF(H554-H553&lt;=0,"",J554/SQRT(Таблица_pr1[[#This Row],[Удельное сопротивление грунта, Ом·м]])),J554/SQRT(Таблица_pr1[[#This Row],[Удельное сопротивление грунта, Ом·м]]))</f>
        <v/>
      </c>
      <c r="M554" s="53"/>
      <c r="N554" s="52"/>
      <c r="O554" s="50"/>
      <c r="P554" s="61" t="str">
        <f t="shared" si="70"/>
        <v/>
      </c>
      <c r="Q554" s="61" t="str">
        <f>IFERROR(IF(N554-N553&lt;=0,"",P554/SQRT(Таблица_pr2[[#This Row],[Удельное сопротивление грунта, Ом·м]])),P554/SQRT(Таблица_pr2[[#This Row],[Удельное сопротивление грунта, Ом·м]]))</f>
        <v/>
      </c>
      <c r="S554" s="53"/>
      <c r="T554" s="52"/>
      <c r="U554" s="50"/>
      <c r="V554" s="61" t="str">
        <f t="shared" si="66"/>
        <v/>
      </c>
      <c r="W554" s="61" t="str">
        <f>IFERROR(IF(T554-T553&lt;=0,"",V554/SQRT(Таблица_pr3[[#This Row],[Удельное сопротивление грунта, Ом·м]])),V554/SQRT(Таблица_pr3[[#This Row],[Удельное сопротивление грунта, Ом·м]]))</f>
        <v/>
      </c>
      <c r="Y554" s="53"/>
      <c r="Z554" s="52"/>
      <c r="AA554" s="50"/>
      <c r="AB554" s="61" t="str">
        <f t="shared" si="71"/>
        <v/>
      </c>
      <c r="AC554" s="61" t="str">
        <f>IFERROR(IF(Z554-Z553&lt;=0,"",AB554/SQRT(Таблица_pr4[[#This Row],[Удельное сопротивление грунта, Ом·м]])),AB554/SQRT(Таблица_pr4[[#This Row],[Удельное сопротивление грунта, Ом·м]]))</f>
        <v/>
      </c>
      <c r="AE554" s="53"/>
      <c r="AF554" s="52"/>
      <c r="AG554" s="50"/>
      <c r="AH554" s="61" t="str">
        <f t="shared" si="67"/>
        <v/>
      </c>
      <c r="AI554" s="61" t="str">
        <f>IFERROR(IF(AF554-AF553&lt;=0,"",AH554/SQRT(Таблица_pr5[[#This Row],[Удельное сопротивление грунта, Ом·м]])),AH554/SQRT(Таблица_pr5[[#This Row],[Удельное сопротивление грунта, Ом·м]]))</f>
        <v/>
      </c>
      <c r="AK554" s="53"/>
      <c r="AL554" s="52"/>
      <c r="AM554" s="50"/>
      <c r="AN554" s="61" t="str">
        <f t="shared" si="72"/>
        <v/>
      </c>
      <c r="AO554" s="61" t="str">
        <f>IFERROR(IF(AL554-AL553&lt;=0,"",AN554/SQRT(Таблица_pr6[[#This Row],[Удельное сопротивление грунта, Ом·м]])),AN554/SQRT(Таблица_pr6[[#This Row],[Удельное сопротивление грунта, Ом·м]]))</f>
        <v/>
      </c>
      <c r="AQ554" s="53"/>
      <c r="AR554" s="52"/>
      <c r="AS554" s="50"/>
      <c r="AT554" s="61" t="str">
        <f t="shared" si="68"/>
        <v/>
      </c>
      <c r="AU554" s="61" t="str">
        <f>IFERROR(IF(AR554-AR553&lt;=0,"",AT554/SQRT(Таблица_pr7[[#This Row],[Удельное сопротивление грунта, Ом·м]])),AT554/SQRT(Таблица_pr7[[#This Row],[Удельное сопротивление грунта, Ом·м]]))</f>
        <v/>
      </c>
      <c r="AW554" s="53"/>
      <c r="AX554" s="52"/>
      <c r="AY554" s="50"/>
      <c r="AZ554" s="61" t="str">
        <f t="shared" si="73"/>
        <v/>
      </c>
      <c r="BA554" s="61" t="str">
        <f>IFERROR(IF(AX554-AX553&lt;=0,"",AZ554/SQRT(Таблица_pr8[[#This Row],[Удельное сопротивление грунта, Ом·м]])),AZ554/SQRT(Таблица_pr8[[#This Row],[Удельное сопротивление грунта, Ом·м]]))</f>
        <v/>
      </c>
      <c r="BC554" s="53"/>
      <c r="BD554" s="52"/>
      <c r="BE554" s="50"/>
      <c r="BF554" s="61" t="str">
        <f t="shared" si="69"/>
        <v/>
      </c>
      <c r="BG554" s="61" t="str">
        <f>IFERROR(IF(BD554-AX573&lt;=0,"",BF554/SQRT(Таблица_pr9[[#This Row],[Удельное сопротивление грунта, Ом·м]])),BF554/SQRT(Таблица_pr9[[#This Row],[Удельное сопротивление грунта, Ом·м]]))</f>
        <v/>
      </c>
      <c r="BI554" s="53"/>
      <c r="BJ554" s="52"/>
      <c r="BK554" s="50"/>
      <c r="BL554" s="61" t="str">
        <f t="shared" si="74"/>
        <v/>
      </c>
      <c r="BM554" s="61" t="str">
        <f>IFERROR(IF(BJ554-BD583&lt;=0,"",BL554/SQRT(Таблица_pr10[[#This Row],[Удельное сопротивление грунта, Ом·м]])),BL554/SQRT(Таблица_pr10[[#This Row],[Удельное сопротивление грунта, Ом·м]]))</f>
        <v/>
      </c>
    </row>
    <row r="555" spans="1:65">
      <c r="A555" s="51"/>
      <c r="B555" s="52"/>
      <c r="C555" s="50"/>
      <c r="D555" s="61" t="str">
        <f t="shared" si="64"/>
        <v/>
      </c>
      <c r="E555" s="61" t="str">
        <f>IFERROR(IF(B555-B554&lt;=0,"",D555/SQRT(Таблица_pr[[#This Row],[Удельное сопротивление грунта, Ом·м]])),D555/SQRT(Таблица_pr[[#This Row],[Удельное сопротивление грунта, Ом·м]]))</f>
        <v/>
      </c>
      <c r="G555" s="189"/>
      <c r="H555" s="185"/>
      <c r="I555" s="183"/>
      <c r="J555" s="180" t="str">
        <f t="shared" si="65"/>
        <v/>
      </c>
      <c r="K555" s="61" t="str">
        <f>IFERROR(IF(H555-H554&lt;=0,"",J555/SQRT(Таблица_pr1[[#This Row],[Удельное сопротивление грунта, Ом·м]])),J555/SQRT(Таблица_pr1[[#This Row],[Удельное сопротивление грунта, Ом·м]]))</f>
        <v/>
      </c>
      <c r="M555" s="51"/>
      <c r="N555" s="52"/>
      <c r="O555" s="50"/>
      <c r="P555" s="61" t="str">
        <f t="shared" si="70"/>
        <v/>
      </c>
      <c r="Q555" s="61" t="str">
        <f>IFERROR(IF(N555-N554&lt;=0,"",P555/SQRT(Таблица_pr2[[#This Row],[Удельное сопротивление грунта, Ом·м]])),P555/SQRT(Таблица_pr2[[#This Row],[Удельное сопротивление грунта, Ом·м]]))</f>
        <v/>
      </c>
      <c r="S555" s="51"/>
      <c r="T555" s="52"/>
      <c r="U555" s="50"/>
      <c r="V555" s="61" t="str">
        <f t="shared" si="66"/>
        <v/>
      </c>
      <c r="W555" s="61" t="str">
        <f>IFERROR(IF(T555-T554&lt;=0,"",V555/SQRT(Таблица_pr3[[#This Row],[Удельное сопротивление грунта, Ом·м]])),V555/SQRT(Таблица_pr3[[#This Row],[Удельное сопротивление грунта, Ом·м]]))</f>
        <v/>
      </c>
      <c r="Y555" s="51"/>
      <c r="Z555" s="52"/>
      <c r="AA555" s="50"/>
      <c r="AB555" s="61" t="str">
        <f t="shared" si="71"/>
        <v/>
      </c>
      <c r="AC555" s="61" t="str">
        <f>IFERROR(IF(Z555-Z554&lt;=0,"",AB555/SQRT(Таблица_pr4[[#This Row],[Удельное сопротивление грунта, Ом·м]])),AB555/SQRT(Таблица_pr4[[#This Row],[Удельное сопротивление грунта, Ом·м]]))</f>
        <v/>
      </c>
      <c r="AE555" s="51"/>
      <c r="AF555" s="52"/>
      <c r="AG555" s="50"/>
      <c r="AH555" s="61" t="str">
        <f t="shared" si="67"/>
        <v/>
      </c>
      <c r="AI555" s="61" t="str">
        <f>IFERROR(IF(AF555-AF554&lt;=0,"",AH555/SQRT(Таблица_pr5[[#This Row],[Удельное сопротивление грунта, Ом·м]])),AH555/SQRT(Таблица_pr5[[#This Row],[Удельное сопротивление грунта, Ом·м]]))</f>
        <v/>
      </c>
      <c r="AK555" s="51"/>
      <c r="AL555" s="52"/>
      <c r="AM555" s="50"/>
      <c r="AN555" s="61" t="str">
        <f t="shared" si="72"/>
        <v/>
      </c>
      <c r="AO555" s="61" t="str">
        <f>IFERROR(IF(AL555-AL554&lt;=0,"",AN555/SQRT(Таблица_pr6[[#This Row],[Удельное сопротивление грунта, Ом·м]])),AN555/SQRT(Таблица_pr6[[#This Row],[Удельное сопротивление грунта, Ом·м]]))</f>
        <v/>
      </c>
      <c r="AQ555" s="51"/>
      <c r="AR555" s="52"/>
      <c r="AS555" s="50"/>
      <c r="AT555" s="61" t="str">
        <f t="shared" si="68"/>
        <v/>
      </c>
      <c r="AU555" s="61" t="str">
        <f>IFERROR(IF(AR555-AR554&lt;=0,"",AT555/SQRT(Таблица_pr7[[#This Row],[Удельное сопротивление грунта, Ом·м]])),AT555/SQRT(Таблица_pr7[[#This Row],[Удельное сопротивление грунта, Ом·м]]))</f>
        <v/>
      </c>
      <c r="AW555" s="51"/>
      <c r="AX555" s="52"/>
      <c r="AY555" s="50"/>
      <c r="AZ555" s="61" t="str">
        <f t="shared" si="73"/>
        <v/>
      </c>
      <c r="BA555" s="61" t="str">
        <f>IFERROR(IF(AX555-AX554&lt;=0,"",AZ555/SQRT(Таблица_pr8[[#This Row],[Удельное сопротивление грунта, Ом·м]])),AZ555/SQRT(Таблица_pr8[[#This Row],[Удельное сопротивление грунта, Ом·м]]))</f>
        <v/>
      </c>
      <c r="BC555" s="51"/>
      <c r="BD555" s="52"/>
      <c r="BE555" s="50"/>
      <c r="BF555" s="61" t="str">
        <f t="shared" si="69"/>
        <v/>
      </c>
      <c r="BG555" s="61" t="str">
        <f>IFERROR(IF(BD555-AX574&lt;=0,"",BF555/SQRT(Таблица_pr9[[#This Row],[Удельное сопротивление грунта, Ом·м]])),BF555/SQRT(Таблица_pr9[[#This Row],[Удельное сопротивление грунта, Ом·м]]))</f>
        <v/>
      </c>
      <c r="BI555" s="51"/>
      <c r="BJ555" s="52"/>
      <c r="BK555" s="50"/>
      <c r="BL555" s="61" t="str">
        <f t="shared" si="74"/>
        <v/>
      </c>
      <c r="BM555" s="61" t="str">
        <f>IFERROR(IF(BJ555-BD584&lt;=0,"",BL555/SQRT(Таблица_pr10[[#This Row],[Удельное сопротивление грунта, Ом·м]])),BL555/SQRT(Таблица_pr10[[#This Row],[Удельное сопротивление грунта, Ом·м]]))</f>
        <v/>
      </c>
    </row>
    <row r="556" spans="1:65">
      <c r="A556" s="53"/>
      <c r="B556" s="52"/>
      <c r="C556" s="50"/>
      <c r="D556" s="61" t="str">
        <f t="shared" si="64"/>
        <v/>
      </c>
      <c r="E556" s="61" t="str">
        <f>IFERROR(IF(B556-B555&lt;=0,"",D556/SQRT(Таблица_pr[[#This Row],[Удельное сопротивление грунта, Ом·м]])),D556/SQRT(Таблица_pr[[#This Row],[Удельное сопротивление грунта, Ом·м]]))</f>
        <v/>
      </c>
      <c r="G556" s="188"/>
      <c r="H556" s="184"/>
      <c r="I556" s="182"/>
      <c r="J556" s="181" t="str">
        <f t="shared" si="65"/>
        <v/>
      </c>
      <c r="K556" s="61" t="str">
        <f>IFERROR(IF(H556-H555&lt;=0,"",J556/SQRT(Таблица_pr1[[#This Row],[Удельное сопротивление грунта, Ом·м]])),J556/SQRT(Таблица_pr1[[#This Row],[Удельное сопротивление грунта, Ом·м]]))</f>
        <v/>
      </c>
      <c r="M556" s="53"/>
      <c r="N556" s="52"/>
      <c r="O556" s="50"/>
      <c r="P556" s="61" t="str">
        <f t="shared" si="70"/>
        <v/>
      </c>
      <c r="Q556" s="61" t="str">
        <f>IFERROR(IF(N556-N555&lt;=0,"",P556/SQRT(Таблица_pr2[[#This Row],[Удельное сопротивление грунта, Ом·м]])),P556/SQRT(Таблица_pr2[[#This Row],[Удельное сопротивление грунта, Ом·м]]))</f>
        <v/>
      </c>
      <c r="S556" s="53"/>
      <c r="T556" s="52"/>
      <c r="U556" s="50"/>
      <c r="V556" s="61" t="str">
        <f t="shared" si="66"/>
        <v/>
      </c>
      <c r="W556" s="61" t="str">
        <f>IFERROR(IF(T556-T555&lt;=0,"",V556/SQRT(Таблица_pr3[[#This Row],[Удельное сопротивление грунта, Ом·м]])),V556/SQRT(Таблица_pr3[[#This Row],[Удельное сопротивление грунта, Ом·м]]))</f>
        <v/>
      </c>
      <c r="Y556" s="53"/>
      <c r="Z556" s="52"/>
      <c r="AA556" s="50"/>
      <c r="AB556" s="61" t="str">
        <f t="shared" si="71"/>
        <v/>
      </c>
      <c r="AC556" s="61" t="str">
        <f>IFERROR(IF(Z556-Z555&lt;=0,"",AB556/SQRT(Таблица_pr4[[#This Row],[Удельное сопротивление грунта, Ом·м]])),AB556/SQRT(Таблица_pr4[[#This Row],[Удельное сопротивление грунта, Ом·м]]))</f>
        <v/>
      </c>
      <c r="AE556" s="53"/>
      <c r="AF556" s="52"/>
      <c r="AG556" s="50"/>
      <c r="AH556" s="61" t="str">
        <f t="shared" si="67"/>
        <v/>
      </c>
      <c r="AI556" s="61" t="str">
        <f>IFERROR(IF(AF556-AF555&lt;=0,"",AH556/SQRT(Таблица_pr5[[#This Row],[Удельное сопротивление грунта, Ом·м]])),AH556/SQRT(Таблица_pr5[[#This Row],[Удельное сопротивление грунта, Ом·м]]))</f>
        <v/>
      </c>
      <c r="AK556" s="53"/>
      <c r="AL556" s="52"/>
      <c r="AM556" s="50"/>
      <c r="AN556" s="61" t="str">
        <f t="shared" si="72"/>
        <v/>
      </c>
      <c r="AO556" s="61" t="str">
        <f>IFERROR(IF(AL556-AL555&lt;=0,"",AN556/SQRT(Таблица_pr6[[#This Row],[Удельное сопротивление грунта, Ом·м]])),AN556/SQRT(Таблица_pr6[[#This Row],[Удельное сопротивление грунта, Ом·м]]))</f>
        <v/>
      </c>
      <c r="AQ556" s="53"/>
      <c r="AR556" s="52"/>
      <c r="AS556" s="50"/>
      <c r="AT556" s="61" t="str">
        <f t="shared" si="68"/>
        <v/>
      </c>
      <c r="AU556" s="61" t="str">
        <f>IFERROR(IF(AR556-AR555&lt;=0,"",AT556/SQRT(Таблица_pr7[[#This Row],[Удельное сопротивление грунта, Ом·м]])),AT556/SQRT(Таблица_pr7[[#This Row],[Удельное сопротивление грунта, Ом·м]]))</f>
        <v/>
      </c>
      <c r="AW556" s="53"/>
      <c r="AX556" s="52"/>
      <c r="AY556" s="50"/>
      <c r="AZ556" s="61" t="str">
        <f t="shared" si="73"/>
        <v/>
      </c>
      <c r="BA556" s="61" t="str">
        <f>IFERROR(IF(AX556-AX555&lt;=0,"",AZ556/SQRT(Таблица_pr8[[#This Row],[Удельное сопротивление грунта, Ом·м]])),AZ556/SQRT(Таблица_pr8[[#This Row],[Удельное сопротивление грунта, Ом·м]]))</f>
        <v/>
      </c>
      <c r="BC556" s="53"/>
      <c r="BD556" s="52"/>
      <c r="BE556" s="50"/>
      <c r="BF556" s="61" t="str">
        <f t="shared" si="69"/>
        <v/>
      </c>
      <c r="BG556" s="61" t="str">
        <f>IFERROR(IF(BD556-AX575&lt;=0,"",BF556/SQRT(Таблица_pr9[[#This Row],[Удельное сопротивление грунта, Ом·м]])),BF556/SQRT(Таблица_pr9[[#This Row],[Удельное сопротивление грунта, Ом·м]]))</f>
        <v/>
      </c>
      <c r="BI556" s="53"/>
      <c r="BJ556" s="52"/>
      <c r="BK556" s="50"/>
      <c r="BL556" s="61" t="str">
        <f t="shared" si="74"/>
        <v/>
      </c>
      <c r="BM556" s="61" t="str">
        <f>IFERROR(IF(BJ556-BD585&lt;=0,"",BL556/SQRT(Таблица_pr10[[#This Row],[Удельное сопротивление грунта, Ом·м]])),BL556/SQRT(Таблица_pr10[[#This Row],[Удельное сопротивление грунта, Ом·м]]))</f>
        <v/>
      </c>
    </row>
    <row r="557" spans="1:65">
      <c r="A557" s="51"/>
      <c r="B557" s="52"/>
      <c r="C557" s="50"/>
      <c r="D557" s="61" t="str">
        <f t="shared" si="64"/>
        <v/>
      </c>
      <c r="E557" s="61" t="str">
        <f>IFERROR(IF(B557-B556&lt;=0,"",D557/SQRT(Таблица_pr[[#This Row],[Удельное сопротивление грунта, Ом·м]])),D557/SQRT(Таблица_pr[[#This Row],[Удельное сопротивление грунта, Ом·м]]))</f>
        <v/>
      </c>
      <c r="G557" s="189"/>
      <c r="H557" s="185"/>
      <c r="I557" s="183"/>
      <c r="J557" s="180" t="str">
        <f t="shared" si="65"/>
        <v/>
      </c>
      <c r="K557" s="61" t="str">
        <f>IFERROR(IF(H557-H556&lt;=0,"",J557/SQRT(Таблица_pr1[[#This Row],[Удельное сопротивление грунта, Ом·м]])),J557/SQRT(Таблица_pr1[[#This Row],[Удельное сопротивление грунта, Ом·м]]))</f>
        <v/>
      </c>
      <c r="M557" s="51"/>
      <c r="N557" s="52"/>
      <c r="O557" s="50"/>
      <c r="P557" s="61" t="str">
        <f t="shared" si="70"/>
        <v/>
      </c>
      <c r="Q557" s="61" t="str">
        <f>IFERROR(IF(N557-N556&lt;=0,"",P557/SQRT(Таблица_pr2[[#This Row],[Удельное сопротивление грунта, Ом·м]])),P557/SQRT(Таблица_pr2[[#This Row],[Удельное сопротивление грунта, Ом·м]]))</f>
        <v/>
      </c>
      <c r="S557" s="51"/>
      <c r="T557" s="52"/>
      <c r="U557" s="50"/>
      <c r="V557" s="61" t="str">
        <f t="shared" si="66"/>
        <v/>
      </c>
      <c r="W557" s="61" t="str">
        <f>IFERROR(IF(T557-T556&lt;=0,"",V557/SQRT(Таблица_pr3[[#This Row],[Удельное сопротивление грунта, Ом·м]])),V557/SQRT(Таблица_pr3[[#This Row],[Удельное сопротивление грунта, Ом·м]]))</f>
        <v/>
      </c>
      <c r="Y557" s="51"/>
      <c r="Z557" s="52"/>
      <c r="AA557" s="50"/>
      <c r="AB557" s="61" t="str">
        <f t="shared" si="71"/>
        <v/>
      </c>
      <c r="AC557" s="61" t="str">
        <f>IFERROR(IF(Z557-Z556&lt;=0,"",AB557/SQRT(Таблица_pr4[[#This Row],[Удельное сопротивление грунта, Ом·м]])),AB557/SQRT(Таблица_pr4[[#This Row],[Удельное сопротивление грунта, Ом·м]]))</f>
        <v/>
      </c>
      <c r="AE557" s="51"/>
      <c r="AF557" s="52"/>
      <c r="AG557" s="50"/>
      <c r="AH557" s="61" t="str">
        <f t="shared" si="67"/>
        <v/>
      </c>
      <c r="AI557" s="61" t="str">
        <f>IFERROR(IF(AF557-AF556&lt;=0,"",AH557/SQRT(Таблица_pr5[[#This Row],[Удельное сопротивление грунта, Ом·м]])),AH557/SQRT(Таблица_pr5[[#This Row],[Удельное сопротивление грунта, Ом·м]]))</f>
        <v/>
      </c>
      <c r="AK557" s="51"/>
      <c r="AL557" s="52"/>
      <c r="AM557" s="50"/>
      <c r="AN557" s="61" t="str">
        <f t="shared" si="72"/>
        <v/>
      </c>
      <c r="AO557" s="61" t="str">
        <f>IFERROR(IF(AL557-AL556&lt;=0,"",AN557/SQRT(Таблица_pr6[[#This Row],[Удельное сопротивление грунта, Ом·м]])),AN557/SQRT(Таблица_pr6[[#This Row],[Удельное сопротивление грунта, Ом·м]]))</f>
        <v/>
      </c>
      <c r="AQ557" s="51"/>
      <c r="AR557" s="52"/>
      <c r="AS557" s="50"/>
      <c r="AT557" s="61" t="str">
        <f t="shared" si="68"/>
        <v/>
      </c>
      <c r="AU557" s="61" t="str">
        <f>IFERROR(IF(AR557-AR556&lt;=0,"",AT557/SQRT(Таблица_pr7[[#This Row],[Удельное сопротивление грунта, Ом·м]])),AT557/SQRT(Таблица_pr7[[#This Row],[Удельное сопротивление грунта, Ом·м]]))</f>
        <v/>
      </c>
      <c r="AW557" s="51"/>
      <c r="AX557" s="52"/>
      <c r="AY557" s="50"/>
      <c r="AZ557" s="61" t="str">
        <f t="shared" si="73"/>
        <v/>
      </c>
      <c r="BA557" s="61" t="str">
        <f>IFERROR(IF(AX557-AX556&lt;=0,"",AZ557/SQRT(Таблица_pr8[[#This Row],[Удельное сопротивление грунта, Ом·м]])),AZ557/SQRT(Таблица_pr8[[#This Row],[Удельное сопротивление грунта, Ом·м]]))</f>
        <v/>
      </c>
      <c r="BC557" s="51"/>
      <c r="BD557" s="52"/>
      <c r="BE557" s="50"/>
      <c r="BF557" s="61" t="str">
        <f t="shared" si="69"/>
        <v/>
      </c>
      <c r="BG557" s="61" t="str">
        <f>IFERROR(IF(BD557-AX576&lt;=0,"",BF557/SQRT(Таблица_pr9[[#This Row],[Удельное сопротивление грунта, Ом·м]])),BF557/SQRT(Таблица_pr9[[#This Row],[Удельное сопротивление грунта, Ом·м]]))</f>
        <v/>
      </c>
      <c r="BI557" s="51"/>
      <c r="BJ557" s="52"/>
      <c r="BK557" s="50"/>
      <c r="BL557" s="61" t="str">
        <f t="shared" si="74"/>
        <v/>
      </c>
      <c r="BM557" s="61" t="str">
        <f>IFERROR(IF(BJ557-BD586&lt;=0,"",BL557/SQRT(Таблица_pr10[[#This Row],[Удельное сопротивление грунта, Ом·м]])),BL557/SQRT(Таблица_pr10[[#This Row],[Удельное сопротивление грунта, Ом·м]]))</f>
        <v/>
      </c>
    </row>
    <row r="558" spans="1:65">
      <c r="A558" s="53"/>
      <c r="B558" s="52"/>
      <c r="C558" s="50"/>
      <c r="D558" s="61" t="str">
        <f t="shared" si="64"/>
        <v/>
      </c>
      <c r="E558" s="61" t="str">
        <f>IFERROR(IF(B558-B557&lt;=0,"",D558/SQRT(Таблица_pr[[#This Row],[Удельное сопротивление грунта, Ом·м]])),D558/SQRT(Таблица_pr[[#This Row],[Удельное сопротивление грунта, Ом·м]]))</f>
        <v/>
      </c>
      <c r="G558" s="188"/>
      <c r="H558" s="184"/>
      <c r="I558" s="182"/>
      <c r="J558" s="181" t="str">
        <f t="shared" si="65"/>
        <v/>
      </c>
      <c r="K558" s="61" t="str">
        <f>IFERROR(IF(H558-H557&lt;=0,"",J558/SQRT(Таблица_pr1[[#This Row],[Удельное сопротивление грунта, Ом·м]])),J558/SQRT(Таблица_pr1[[#This Row],[Удельное сопротивление грунта, Ом·м]]))</f>
        <v/>
      </c>
      <c r="M558" s="53"/>
      <c r="N558" s="52"/>
      <c r="O558" s="50"/>
      <c r="P558" s="61" t="str">
        <f t="shared" si="70"/>
        <v/>
      </c>
      <c r="Q558" s="61" t="str">
        <f>IFERROR(IF(N558-N557&lt;=0,"",P558/SQRT(Таблица_pr2[[#This Row],[Удельное сопротивление грунта, Ом·м]])),P558/SQRT(Таблица_pr2[[#This Row],[Удельное сопротивление грунта, Ом·м]]))</f>
        <v/>
      </c>
      <c r="S558" s="53"/>
      <c r="T558" s="52"/>
      <c r="U558" s="50"/>
      <c r="V558" s="61" t="str">
        <f t="shared" si="66"/>
        <v/>
      </c>
      <c r="W558" s="61" t="str">
        <f>IFERROR(IF(T558-T557&lt;=0,"",V558/SQRT(Таблица_pr3[[#This Row],[Удельное сопротивление грунта, Ом·м]])),V558/SQRT(Таблица_pr3[[#This Row],[Удельное сопротивление грунта, Ом·м]]))</f>
        <v/>
      </c>
      <c r="Y558" s="53"/>
      <c r="Z558" s="52"/>
      <c r="AA558" s="50"/>
      <c r="AB558" s="61" t="str">
        <f t="shared" si="71"/>
        <v/>
      </c>
      <c r="AC558" s="61" t="str">
        <f>IFERROR(IF(Z558-Z557&lt;=0,"",AB558/SQRT(Таблица_pr4[[#This Row],[Удельное сопротивление грунта, Ом·м]])),AB558/SQRT(Таблица_pr4[[#This Row],[Удельное сопротивление грунта, Ом·м]]))</f>
        <v/>
      </c>
      <c r="AE558" s="53"/>
      <c r="AF558" s="52"/>
      <c r="AG558" s="50"/>
      <c r="AH558" s="61" t="str">
        <f t="shared" si="67"/>
        <v/>
      </c>
      <c r="AI558" s="61" t="str">
        <f>IFERROR(IF(AF558-AF557&lt;=0,"",AH558/SQRT(Таблица_pr5[[#This Row],[Удельное сопротивление грунта, Ом·м]])),AH558/SQRT(Таблица_pr5[[#This Row],[Удельное сопротивление грунта, Ом·м]]))</f>
        <v/>
      </c>
      <c r="AK558" s="53"/>
      <c r="AL558" s="52"/>
      <c r="AM558" s="50"/>
      <c r="AN558" s="61" t="str">
        <f t="shared" si="72"/>
        <v/>
      </c>
      <c r="AO558" s="61" t="str">
        <f>IFERROR(IF(AL558-AL557&lt;=0,"",AN558/SQRT(Таблица_pr6[[#This Row],[Удельное сопротивление грунта, Ом·м]])),AN558/SQRT(Таблица_pr6[[#This Row],[Удельное сопротивление грунта, Ом·м]]))</f>
        <v/>
      </c>
      <c r="AQ558" s="53"/>
      <c r="AR558" s="52"/>
      <c r="AS558" s="50"/>
      <c r="AT558" s="61" t="str">
        <f t="shared" si="68"/>
        <v/>
      </c>
      <c r="AU558" s="61" t="str">
        <f>IFERROR(IF(AR558-AR557&lt;=0,"",AT558/SQRT(Таблица_pr7[[#This Row],[Удельное сопротивление грунта, Ом·м]])),AT558/SQRT(Таблица_pr7[[#This Row],[Удельное сопротивление грунта, Ом·м]]))</f>
        <v/>
      </c>
      <c r="AW558" s="53"/>
      <c r="AX558" s="52"/>
      <c r="AY558" s="50"/>
      <c r="AZ558" s="61" t="str">
        <f t="shared" si="73"/>
        <v/>
      </c>
      <c r="BA558" s="61" t="str">
        <f>IFERROR(IF(AX558-AX557&lt;=0,"",AZ558/SQRT(Таблица_pr8[[#This Row],[Удельное сопротивление грунта, Ом·м]])),AZ558/SQRT(Таблица_pr8[[#This Row],[Удельное сопротивление грунта, Ом·м]]))</f>
        <v/>
      </c>
      <c r="BC558" s="53"/>
      <c r="BD558" s="52"/>
      <c r="BE558" s="50"/>
      <c r="BF558" s="61" t="str">
        <f t="shared" si="69"/>
        <v/>
      </c>
      <c r="BG558" s="61" t="str">
        <f>IFERROR(IF(BD558-AX577&lt;=0,"",BF558/SQRT(Таблица_pr9[[#This Row],[Удельное сопротивление грунта, Ом·м]])),BF558/SQRT(Таблица_pr9[[#This Row],[Удельное сопротивление грунта, Ом·м]]))</f>
        <v/>
      </c>
      <c r="BI558" s="53"/>
      <c r="BJ558" s="52"/>
      <c r="BK558" s="50"/>
      <c r="BL558" s="61" t="str">
        <f t="shared" si="74"/>
        <v/>
      </c>
      <c r="BM558" s="61" t="str">
        <f>IFERROR(IF(BJ558-BD587&lt;=0,"",BL558/SQRT(Таблица_pr10[[#This Row],[Удельное сопротивление грунта, Ом·м]])),BL558/SQRT(Таблица_pr10[[#This Row],[Удельное сопротивление грунта, Ом·м]]))</f>
        <v/>
      </c>
    </row>
    <row r="559" spans="1:65">
      <c r="A559" s="51"/>
      <c r="B559" s="52"/>
      <c r="C559" s="50"/>
      <c r="D559" s="61" t="str">
        <f t="shared" si="64"/>
        <v/>
      </c>
      <c r="E559" s="61" t="str">
        <f>IFERROR(IF(B559-B558&lt;=0,"",D559/SQRT(Таблица_pr[[#This Row],[Удельное сопротивление грунта, Ом·м]])),D559/SQRT(Таблица_pr[[#This Row],[Удельное сопротивление грунта, Ом·м]]))</f>
        <v/>
      </c>
      <c r="G559" s="189"/>
      <c r="H559" s="185"/>
      <c r="I559" s="183"/>
      <c r="J559" s="180" t="str">
        <f t="shared" si="65"/>
        <v/>
      </c>
      <c r="K559" s="61" t="str">
        <f>IFERROR(IF(H559-H558&lt;=0,"",J559/SQRT(Таблица_pr1[[#This Row],[Удельное сопротивление грунта, Ом·м]])),J559/SQRT(Таблица_pr1[[#This Row],[Удельное сопротивление грунта, Ом·м]]))</f>
        <v/>
      </c>
      <c r="M559" s="51"/>
      <c r="N559" s="52"/>
      <c r="O559" s="50"/>
      <c r="P559" s="61" t="str">
        <f t="shared" si="70"/>
        <v/>
      </c>
      <c r="Q559" s="61" t="str">
        <f>IFERROR(IF(N559-N558&lt;=0,"",P559/SQRT(Таблица_pr2[[#This Row],[Удельное сопротивление грунта, Ом·м]])),P559/SQRT(Таблица_pr2[[#This Row],[Удельное сопротивление грунта, Ом·м]]))</f>
        <v/>
      </c>
      <c r="S559" s="51"/>
      <c r="T559" s="52"/>
      <c r="U559" s="50"/>
      <c r="V559" s="61" t="str">
        <f t="shared" si="66"/>
        <v/>
      </c>
      <c r="W559" s="61" t="str">
        <f>IFERROR(IF(T559-T558&lt;=0,"",V559/SQRT(Таблица_pr3[[#This Row],[Удельное сопротивление грунта, Ом·м]])),V559/SQRT(Таблица_pr3[[#This Row],[Удельное сопротивление грунта, Ом·м]]))</f>
        <v/>
      </c>
      <c r="Y559" s="51"/>
      <c r="Z559" s="52"/>
      <c r="AA559" s="50"/>
      <c r="AB559" s="61" t="str">
        <f t="shared" si="71"/>
        <v/>
      </c>
      <c r="AC559" s="61" t="str">
        <f>IFERROR(IF(Z559-Z558&lt;=0,"",AB559/SQRT(Таблица_pr4[[#This Row],[Удельное сопротивление грунта, Ом·м]])),AB559/SQRT(Таблица_pr4[[#This Row],[Удельное сопротивление грунта, Ом·м]]))</f>
        <v/>
      </c>
      <c r="AE559" s="51"/>
      <c r="AF559" s="52"/>
      <c r="AG559" s="50"/>
      <c r="AH559" s="61" t="str">
        <f t="shared" si="67"/>
        <v/>
      </c>
      <c r="AI559" s="61" t="str">
        <f>IFERROR(IF(AF559-AF558&lt;=0,"",AH559/SQRT(Таблица_pr5[[#This Row],[Удельное сопротивление грунта, Ом·м]])),AH559/SQRT(Таблица_pr5[[#This Row],[Удельное сопротивление грунта, Ом·м]]))</f>
        <v/>
      </c>
      <c r="AK559" s="51"/>
      <c r="AL559" s="52"/>
      <c r="AM559" s="50"/>
      <c r="AN559" s="61" t="str">
        <f t="shared" si="72"/>
        <v/>
      </c>
      <c r="AO559" s="61" t="str">
        <f>IFERROR(IF(AL559-AL558&lt;=0,"",AN559/SQRT(Таблица_pr6[[#This Row],[Удельное сопротивление грунта, Ом·м]])),AN559/SQRT(Таблица_pr6[[#This Row],[Удельное сопротивление грунта, Ом·м]]))</f>
        <v/>
      </c>
      <c r="AQ559" s="51"/>
      <c r="AR559" s="52"/>
      <c r="AS559" s="50"/>
      <c r="AT559" s="61" t="str">
        <f t="shared" si="68"/>
        <v/>
      </c>
      <c r="AU559" s="61" t="str">
        <f>IFERROR(IF(AR559-AR558&lt;=0,"",AT559/SQRT(Таблица_pr7[[#This Row],[Удельное сопротивление грунта, Ом·м]])),AT559/SQRT(Таблица_pr7[[#This Row],[Удельное сопротивление грунта, Ом·м]]))</f>
        <v/>
      </c>
      <c r="AW559" s="51"/>
      <c r="AX559" s="52"/>
      <c r="AY559" s="50"/>
      <c r="AZ559" s="61" t="str">
        <f t="shared" si="73"/>
        <v/>
      </c>
      <c r="BA559" s="61" t="str">
        <f>IFERROR(IF(AX559-AX558&lt;=0,"",AZ559/SQRT(Таблица_pr8[[#This Row],[Удельное сопротивление грунта, Ом·м]])),AZ559/SQRT(Таблица_pr8[[#This Row],[Удельное сопротивление грунта, Ом·м]]))</f>
        <v/>
      </c>
      <c r="BC559" s="51"/>
      <c r="BD559" s="52"/>
      <c r="BE559" s="50"/>
      <c r="BF559" s="61" t="str">
        <f t="shared" si="69"/>
        <v/>
      </c>
      <c r="BG559" s="61" t="str">
        <f>IFERROR(IF(BD559-AX578&lt;=0,"",BF559/SQRT(Таблица_pr9[[#This Row],[Удельное сопротивление грунта, Ом·м]])),BF559/SQRT(Таблица_pr9[[#This Row],[Удельное сопротивление грунта, Ом·м]]))</f>
        <v/>
      </c>
      <c r="BI559" s="51"/>
      <c r="BJ559" s="52"/>
      <c r="BK559" s="50"/>
      <c r="BL559" s="61" t="str">
        <f t="shared" si="74"/>
        <v/>
      </c>
      <c r="BM559" s="61" t="str">
        <f>IFERROR(IF(BJ559-BD588&lt;=0,"",BL559/SQRT(Таблица_pr10[[#This Row],[Удельное сопротивление грунта, Ом·м]])),BL559/SQRT(Таблица_pr10[[#This Row],[Удельное сопротивление грунта, Ом·м]]))</f>
        <v/>
      </c>
    </row>
    <row r="560" spans="1:65">
      <c r="A560" s="53"/>
      <c r="B560" s="52"/>
      <c r="C560" s="50"/>
      <c r="D560" s="61" t="str">
        <f t="shared" si="64"/>
        <v/>
      </c>
      <c r="E560" s="61" t="str">
        <f>IFERROR(IF(B560-B559&lt;=0,"",D560/SQRT(Таблица_pr[[#This Row],[Удельное сопротивление грунта, Ом·м]])),D560/SQRT(Таблица_pr[[#This Row],[Удельное сопротивление грунта, Ом·м]]))</f>
        <v/>
      </c>
      <c r="G560" s="188"/>
      <c r="H560" s="184"/>
      <c r="I560" s="182"/>
      <c r="J560" s="181" t="str">
        <f t="shared" si="65"/>
        <v/>
      </c>
      <c r="K560" s="61" t="str">
        <f>IFERROR(IF(H560-H559&lt;=0,"",J560/SQRT(Таблица_pr1[[#This Row],[Удельное сопротивление грунта, Ом·м]])),J560/SQRT(Таблица_pr1[[#This Row],[Удельное сопротивление грунта, Ом·м]]))</f>
        <v/>
      </c>
      <c r="M560" s="53"/>
      <c r="N560" s="52"/>
      <c r="O560" s="50"/>
      <c r="P560" s="61" t="str">
        <f t="shared" si="70"/>
        <v/>
      </c>
      <c r="Q560" s="61" t="str">
        <f>IFERROR(IF(N560-N559&lt;=0,"",P560/SQRT(Таблица_pr2[[#This Row],[Удельное сопротивление грунта, Ом·м]])),P560/SQRT(Таблица_pr2[[#This Row],[Удельное сопротивление грунта, Ом·м]]))</f>
        <v/>
      </c>
      <c r="S560" s="53"/>
      <c r="T560" s="52"/>
      <c r="U560" s="50"/>
      <c r="V560" s="61" t="str">
        <f t="shared" si="66"/>
        <v/>
      </c>
      <c r="W560" s="61" t="str">
        <f>IFERROR(IF(T560-T559&lt;=0,"",V560/SQRT(Таблица_pr3[[#This Row],[Удельное сопротивление грунта, Ом·м]])),V560/SQRT(Таблица_pr3[[#This Row],[Удельное сопротивление грунта, Ом·м]]))</f>
        <v/>
      </c>
      <c r="Y560" s="53"/>
      <c r="Z560" s="52"/>
      <c r="AA560" s="50"/>
      <c r="AB560" s="61" t="str">
        <f t="shared" si="71"/>
        <v/>
      </c>
      <c r="AC560" s="61" t="str">
        <f>IFERROR(IF(Z560-Z559&lt;=0,"",AB560/SQRT(Таблица_pr4[[#This Row],[Удельное сопротивление грунта, Ом·м]])),AB560/SQRT(Таблица_pr4[[#This Row],[Удельное сопротивление грунта, Ом·м]]))</f>
        <v/>
      </c>
      <c r="AE560" s="53"/>
      <c r="AF560" s="52"/>
      <c r="AG560" s="50"/>
      <c r="AH560" s="61" t="str">
        <f t="shared" si="67"/>
        <v/>
      </c>
      <c r="AI560" s="61" t="str">
        <f>IFERROR(IF(AF560-AF559&lt;=0,"",AH560/SQRT(Таблица_pr5[[#This Row],[Удельное сопротивление грунта, Ом·м]])),AH560/SQRT(Таблица_pr5[[#This Row],[Удельное сопротивление грунта, Ом·м]]))</f>
        <v/>
      </c>
      <c r="AK560" s="53"/>
      <c r="AL560" s="52"/>
      <c r="AM560" s="50"/>
      <c r="AN560" s="61" t="str">
        <f t="shared" si="72"/>
        <v/>
      </c>
      <c r="AO560" s="61" t="str">
        <f>IFERROR(IF(AL560-AL559&lt;=0,"",AN560/SQRT(Таблица_pr6[[#This Row],[Удельное сопротивление грунта, Ом·м]])),AN560/SQRT(Таблица_pr6[[#This Row],[Удельное сопротивление грунта, Ом·м]]))</f>
        <v/>
      </c>
      <c r="AQ560" s="53"/>
      <c r="AR560" s="52"/>
      <c r="AS560" s="50"/>
      <c r="AT560" s="61" t="str">
        <f t="shared" si="68"/>
        <v/>
      </c>
      <c r="AU560" s="61" t="str">
        <f>IFERROR(IF(AR560-AR559&lt;=0,"",AT560/SQRT(Таблица_pr7[[#This Row],[Удельное сопротивление грунта, Ом·м]])),AT560/SQRT(Таблица_pr7[[#This Row],[Удельное сопротивление грунта, Ом·м]]))</f>
        <v/>
      </c>
      <c r="AW560" s="53"/>
      <c r="AX560" s="52"/>
      <c r="AY560" s="50"/>
      <c r="AZ560" s="61" t="str">
        <f t="shared" si="73"/>
        <v/>
      </c>
      <c r="BA560" s="61" t="str">
        <f>IFERROR(IF(AX560-AX559&lt;=0,"",AZ560/SQRT(Таблица_pr8[[#This Row],[Удельное сопротивление грунта, Ом·м]])),AZ560/SQRT(Таблица_pr8[[#This Row],[Удельное сопротивление грунта, Ом·м]]))</f>
        <v/>
      </c>
      <c r="BC560" s="53"/>
      <c r="BD560" s="52"/>
      <c r="BE560" s="50"/>
      <c r="BF560" s="61" t="str">
        <f t="shared" si="69"/>
        <v/>
      </c>
      <c r="BG560" s="61" t="str">
        <f>IFERROR(IF(BD560-AX579&lt;=0,"",BF560/SQRT(Таблица_pr9[[#This Row],[Удельное сопротивление грунта, Ом·м]])),BF560/SQRT(Таблица_pr9[[#This Row],[Удельное сопротивление грунта, Ом·м]]))</f>
        <v/>
      </c>
      <c r="BI560" s="53"/>
      <c r="BJ560" s="52"/>
      <c r="BK560" s="50"/>
      <c r="BL560" s="61" t="str">
        <f t="shared" si="74"/>
        <v/>
      </c>
      <c r="BM560" s="61" t="str">
        <f>IFERROR(IF(BJ560-BD589&lt;=0,"",BL560/SQRT(Таблица_pr10[[#This Row],[Удельное сопротивление грунта, Ом·м]])),BL560/SQRT(Таблица_pr10[[#This Row],[Удельное сопротивление грунта, Ом·м]]))</f>
        <v/>
      </c>
    </row>
    <row r="561" spans="1:65">
      <c r="A561" s="51"/>
      <c r="B561" s="52"/>
      <c r="C561" s="50"/>
      <c r="D561" s="61" t="str">
        <f t="shared" si="64"/>
        <v/>
      </c>
      <c r="E561" s="61" t="str">
        <f>IFERROR(IF(B561-B560&lt;=0,"",D561/SQRT(Таблица_pr[[#This Row],[Удельное сопротивление грунта, Ом·м]])),D561/SQRT(Таблица_pr[[#This Row],[Удельное сопротивление грунта, Ом·м]]))</f>
        <v/>
      </c>
      <c r="G561" s="189"/>
      <c r="H561" s="185"/>
      <c r="I561" s="183"/>
      <c r="J561" s="180" t="str">
        <f t="shared" si="65"/>
        <v/>
      </c>
      <c r="K561" s="61" t="str">
        <f>IFERROR(IF(H561-H560&lt;=0,"",J561/SQRT(Таблица_pr1[[#This Row],[Удельное сопротивление грунта, Ом·м]])),J561/SQRT(Таблица_pr1[[#This Row],[Удельное сопротивление грунта, Ом·м]]))</f>
        <v/>
      </c>
      <c r="M561" s="51"/>
      <c r="N561" s="52"/>
      <c r="O561" s="50"/>
      <c r="P561" s="61" t="str">
        <f t="shared" si="70"/>
        <v/>
      </c>
      <c r="Q561" s="61" t="str">
        <f>IFERROR(IF(N561-N560&lt;=0,"",P561/SQRT(Таблица_pr2[[#This Row],[Удельное сопротивление грунта, Ом·м]])),P561/SQRT(Таблица_pr2[[#This Row],[Удельное сопротивление грунта, Ом·м]]))</f>
        <v/>
      </c>
      <c r="S561" s="51"/>
      <c r="T561" s="52"/>
      <c r="U561" s="50"/>
      <c r="V561" s="61" t="str">
        <f t="shared" si="66"/>
        <v/>
      </c>
      <c r="W561" s="61" t="str">
        <f>IFERROR(IF(T561-T560&lt;=0,"",V561/SQRT(Таблица_pr3[[#This Row],[Удельное сопротивление грунта, Ом·м]])),V561/SQRT(Таблица_pr3[[#This Row],[Удельное сопротивление грунта, Ом·м]]))</f>
        <v/>
      </c>
      <c r="Y561" s="51"/>
      <c r="Z561" s="52"/>
      <c r="AA561" s="50"/>
      <c r="AB561" s="61" t="str">
        <f t="shared" si="71"/>
        <v/>
      </c>
      <c r="AC561" s="61" t="str">
        <f>IFERROR(IF(Z561-Z560&lt;=0,"",AB561/SQRT(Таблица_pr4[[#This Row],[Удельное сопротивление грунта, Ом·м]])),AB561/SQRT(Таблица_pr4[[#This Row],[Удельное сопротивление грунта, Ом·м]]))</f>
        <v/>
      </c>
      <c r="AE561" s="51"/>
      <c r="AF561" s="52"/>
      <c r="AG561" s="50"/>
      <c r="AH561" s="61" t="str">
        <f t="shared" si="67"/>
        <v/>
      </c>
      <c r="AI561" s="61" t="str">
        <f>IFERROR(IF(AF561-AF560&lt;=0,"",AH561/SQRT(Таблица_pr5[[#This Row],[Удельное сопротивление грунта, Ом·м]])),AH561/SQRT(Таблица_pr5[[#This Row],[Удельное сопротивление грунта, Ом·м]]))</f>
        <v/>
      </c>
      <c r="AK561" s="51"/>
      <c r="AL561" s="52"/>
      <c r="AM561" s="50"/>
      <c r="AN561" s="61" t="str">
        <f t="shared" si="72"/>
        <v/>
      </c>
      <c r="AO561" s="61" t="str">
        <f>IFERROR(IF(AL561-AL560&lt;=0,"",AN561/SQRT(Таблица_pr6[[#This Row],[Удельное сопротивление грунта, Ом·м]])),AN561/SQRT(Таблица_pr6[[#This Row],[Удельное сопротивление грунта, Ом·м]]))</f>
        <v/>
      </c>
      <c r="AQ561" s="51"/>
      <c r="AR561" s="52"/>
      <c r="AS561" s="50"/>
      <c r="AT561" s="61" t="str">
        <f t="shared" si="68"/>
        <v/>
      </c>
      <c r="AU561" s="61" t="str">
        <f>IFERROR(IF(AR561-AR560&lt;=0,"",AT561/SQRT(Таблица_pr7[[#This Row],[Удельное сопротивление грунта, Ом·м]])),AT561/SQRT(Таблица_pr7[[#This Row],[Удельное сопротивление грунта, Ом·м]]))</f>
        <v/>
      </c>
      <c r="AW561" s="51"/>
      <c r="AX561" s="52"/>
      <c r="AY561" s="50"/>
      <c r="AZ561" s="61" t="str">
        <f t="shared" si="73"/>
        <v/>
      </c>
      <c r="BA561" s="61" t="str">
        <f>IFERROR(IF(AX561-AX560&lt;=0,"",AZ561/SQRT(Таблица_pr8[[#This Row],[Удельное сопротивление грунта, Ом·м]])),AZ561/SQRT(Таблица_pr8[[#This Row],[Удельное сопротивление грунта, Ом·м]]))</f>
        <v/>
      </c>
      <c r="BC561" s="51"/>
      <c r="BD561" s="52"/>
      <c r="BE561" s="50"/>
      <c r="BF561" s="61" t="str">
        <f t="shared" si="69"/>
        <v/>
      </c>
      <c r="BG561" s="61" t="str">
        <f>IFERROR(IF(BD561-AX580&lt;=0,"",BF561/SQRT(Таблица_pr9[[#This Row],[Удельное сопротивление грунта, Ом·м]])),BF561/SQRT(Таблица_pr9[[#This Row],[Удельное сопротивление грунта, Ом·м]]))</f>
        <v/>
      </c>
      <c r="BI561" s="51"/>
      <c r="BJ561" s="52"/>
      <c r="BK561" s="50"/>
      <c r="BL561" s="61" t="str">
        <f t="shared" si="74"/>
        <v/>
      </c>
      <c r="BM561" s="61" t="str">
        <f>IFERROR(IF(BJ561-BD590&lt;=0,"",BL561/SQRT(Таблица_pr10[[#This Row],[Удельное сопротивление грунта, Ом·м]])),BL561/SQRT(Таблица_pr10[[#This Row],[Удельное сопротивление грунта, Ом·м]]))</f>
        <v/>
      </c>
    </row>
    <row r="562" spans="1:65">
      <c r="A562" s="53"/>
      <c r="B562" s="52"/>
      <c r="C562" s="50"/>
      <c r="D562" s="61" t="str">
        <f t="shared" si="64"/>
        <v/>
      </c>
      <c r="E562" s="61" t="str">
        <f>IFERROR(IF(B562-B561&lt;=0,"",D562/SQRT(Таблица_pr[[#This Row],[Удельное сопротивление грунта, Ом·м]])),D562/SQRT(Таблица_pr[[#This Row],[Удельное сопротивление грунта, Ом·м]]))</f>
        <v/>
      </c>
      <c r="G562" s="188"/>
      <c r="H562" s="184"/>
      <c r="I562" s="182"/>
      <c r="J562" s="181" t="str">
        <f t="shared" si="65"/>
        <v/>
      </c>
      <c r="K562" s="61" t="str">
        <f>IFERROR(IF(H562-H561&lt;=0,"",J562/SQRT(Таблица_pr1[[#This Row],[Удельное сопротивление грунта, Ом·м]])),J562/SQRT(Таблица_pr1[[#This Row],[Удельное сопротивление грунта, Ом·м]]))</f>
        <v/>
      </c>
      <c r="M562" s="53"/>
      <c r="N562" s="52"/>
      <c r="O562" s="50"/>
      <c r="P562" s="61" t="str">
        <f t="shared" si="70"/>
        <v/>
      </c>
      <c r="Q562" s="61" t="str">
        <f>IFERROR(IF(N562-N561&lt;=0,"",P562/SQRT(Таблица_pr2[[#This Row],[Удельное сопротивление грунта, Ом·м]])),P562/SQRT(Таблица_pr2[[#This Row],[Удельное сопротивление грунта, Ом·м]]))</f>
        <v/>
      </c>
      <c r="S562" s="53"/>
      <c r="T562" s="52"/>
      <c r="U562" s="50"/>
      <c r="V562" s="61" t="str">
        <f t="shared" si="66"/>
        <v/>
      </c>
      <c r="W562" s="61" t="str">
        <f>IFERROR(IF(T562-T561&lt;=0,"",V562/SQRT(Таблица_pr3[[#This Row],[Удельное сопротивление грунта, Ом·м]])),V562/SQRT(Таблица_pr3[[#This Row],[Удельное сопротивление грунта, Ом·м]]))</f>
        <v/>
      </c>
      <c r="Y562" s="53"/>
      <c r="Z562" s="52"/>
      <c r="AA562" s="50"/>
      <c r="AB562" s="61" t="str">
        <f t="shared" si="71"/>
        <v/>
      </c>
      <c r="AC562" s="61" t="str">
        <f>IFERROR(IF(Z562-Z561&lt;=0,"",AB562/SQRT(Таблица_pr4[[#This Row],[Удельное сопротивление грунта, Ом·м]])),AB562/SQRT(Таблица_pr4[[#This Row],[Удельное сопротивление грунта, Ом·м]]))</f>
        <v/>
      </c>
      <c r="AE562" s="53"/>
      <c r="AF562" s="52"/>
      <c r="AG562" s="50"/>
      <c r="AH562" s="61" t="str">
        <f t="shared" si="67"/>
        <v/>
      </c>
      <c r="AI562" s="61" t="str">
        <f>IFERROR(IF(AF562-AF561&lt;=0,"",AH562/SQRT(Таблица_pr5[[#This Row],[Удельное сопротивление грунта, Ом·м]])),AH562/SQRT(Таблица_pr5[[#This Row],[Удельное сопротивление грунта, Ом·м]]))</f>
        <v/>
      </c>
      <c r="AK562" s="53"/>
      <c r="AL562" s="52"/>
      <c r="AM562" s="50"/>
      <c r="AN562" s="61" t="str">
        <f t="shared" si="72"/>
        <v/>
      </c>
      <c r="AO562" s="61" t="str">
        <f>IFERROR(IF(AL562-AL561&lt;=0,"",AN562/SQRT(Таблица_pr6[[#This Row],[Удельное сопротивление грунта, Ом·м]])),AN562/SQRT(Таблица_pr6[[#This Row],[Удельное сопротивление грунта, Ом·м]]))</f>
        <v/>
      </c>
      <c r="AQ562" s="53"/>
      <c r="AR562" s="52"/>
      <c r="AS562" s="50"/>
      <c r="AT562" s="61" t="str">
        <f t="shared" si="68"/>
        <v/>
      </c>
      <c r="AU562" s="61" t="str">
        <f>IFERROR(IF(AR562-AR561&lt;=0,"",AT562/SQRT(Таблица_pr7[[#This Row],[Удельное сопротивление грунта, Ом·м]])),AT562/SQRT(Таблица_pr7[[#This Row],[Удельное сопротивление грунта, Ом·м]]))</f>
        <v/>
      </c>
      <c r="AW562" s="53"/>
      <c r="AX562" s="52"/>
      <c r="AY562" s="50"/>
      <c r="AZ562" s="61" t="str">
        <f t="shared" si="73"/>
        <v/>
      </c>
      <c r="BA562" s="61" t="str">
        <f>IFERROR(IF(AX562-AX561&lt;=0,"",AZ562/SQRT(Таблица_pr8[[#This Row],[Удельное сопротивление грунта, Ом·м]])),AZ562/SQRT(Таблица_pr8[[#This Row],[Удельное сопротивление грунта, Ом·м]]))</f>
        <v/>
      </c>
      <c r="BC562" s="53"/>
      <c r="BD562" s="52"/>
      <c r="BE562" s="50"/>
      <c r="BF562" s="61" t="str">
        <f t="shared" si="69"/>
        <v/>
      </c>
      <c r="BG562" s="61" t="str">
        <f>IFERROR(IF(BD562-AX581&lt;=0,"",BF562/SQRT(Таблица_pr9[[#This Row],[Удельное сопротивление грунта, Ом·м]])),BF562/SQRT(Таблица_pr9[[#This Row],[Удельное сопротивление грунта, Ом·м]]))</f>
        <v/>
      </c>
      <c r="BI562" s="53"/>
      <c r="BJ562" s="52"/>
      <c r="BK562" s="50"/>
      <c r="BL562" s="61" t="str">
        <f t="shared" si="74"/>
        <v/>
      </c>
      <c r="BM562" s="61" t="str">
        <f>IFERROR(IF(BJ562-BD591&lt;=0,"",BL562/SQRT(Таблица_pr10[[#This Row],[Удельное сопротивление грунта, Ом·м]])),BL562/SQRT(Таблица_pr10[[#This Row],[Удельное сопротивление грунта, Ом·м]]))</f>
        <v/>
      </c>
    </row>
    <row r="563" spans="1:65">
      <c r="A563" s="51"/>
      <c r="B563" s="52"/>
      <c r="C563" s="50"/>
      <c r="D563" s="61" t="str">
        <f t="shared" si="64"/>
        <v/>
      </c>
      <c r="E563" s="61" t="str">
        <f>IFERROR(IF(B563-B562&lt;=0,"",D563/SQRT(Таблица_pr[[#This Row],[Удельное сопротивление грунта, Ом·м]])),D563/SQRT(Таблица_pr[[#This Row],[Удельное сопротивление грунта, Ом·м]]))</f>
        <v/>
      </c>
      <c r="G563" s="189"/>
      <c r="H563" s="185"/>
      <c r="I563" s="183"/>
      <c r="J563" s="180" t="str">
        <f t="shared" si="65"/>
        <v/>
      </c>
      <c r="K563" s="61" t="str">
        <f>IFERROR(IF(H563-H562&lt;=0,"",J563/SQRT(Таблица_pr1[[#This Row],[Удельное сопротивление грунта, Ом·м]])),J563/SQRT(Таблица_pr1[[#This Row],[Удельное сопротивление грунта, Ом·м]]))</f>
        <v/>
      </c>
      <c r="M563" s="51"/>
      <c r="N563" s="52"/>
      <c r="O563" s="50"/>
      <c r="P563" s="61" t="str">
        <f t="shared" si="70"/>
        <v/>
      </c>
      <c r="Q563" s="61" t="str">
        <f>IFERROR(IF(N563-N562&lt;=0,"",P563/SQRT(Таблица_pr2[[#This Row],[Удельное сопротивление грунта, Ом·м]])),P563/SQRT(Таблица_pr2[[#This Row],[Удельное сопротивление грунта, Ом·м]]))</f>
        <v/>
      </c>
      <c r="S563" s="51"/>
      <c r="T563" s="52"/>
      <c r="U563" s="50"/>
      <c r="V563" s="61" t="str">
        <f t="shared" si="66"/>
        <v/>
      </c>
      <c r="W563" s="61" t="str">
        <f>IFERROR(IF(T563-T562&lt;=0,"",V563/SQRT(Таблица_pr3[[#This Row],[Удельное сопротивление грунта, Ом·м]])),V563/SQRT(Таблица_pr3[[#This Row],[Удельное сопротивление грунта, Ом·м]]))</f>
        <v/>
      </c>
      <c r="Y563" s="51"/>
      <c r="Z563" s="52"/>
      <c r="AA563" s="50"/>
      <c r="AB563" s="61" t="str">
        <f t="shared" si="71"/>
        <v/>
      </c>
      <c r="AC563" s="61" t="str">
        <f>IFERROR(IF(Z563-Z562&lt;=0,"",AB563/SQRT(Таблица_pr4[[#This Row],[Удельное сопротивление грунта, Ом·м]])),AB563/SQRT(Таблица_pr4[[#This Row],[Удельное сопротивление грунта, Ом·м]]))</f>
        <v/>
      </c>
      <c r="AE563" s="51"/>
      <c r="AF563" s="52"/>
      <c r="AG563" s="50"/>
      <c r="AH563" s="61" t="str">
        <f t="shared" si="67"/>
        <v/>
      </c>
      <c r="AI563" s="61" t="str">
        <f>IFERROR(IF(AF563-AF562&lt;=0,"",AH563/SQRT(Таблица_pr5[[#This Row],[Удельное сопротивление грунта, Ом·м]])),AH563/SQRT(Таблица_pr5[[#This Row],[Удельное сопротивление грунта, Ом·м]]))</f>
        <v/>
      </c>
      <c r="AK563" s="51"/>
      <c r="AL563" s="52"/>
      <c r="AM563" s="50"/>
      <c r="AN563" s="61" t="str">
        <f t="shared" si="72"/>
        <v/>
      </c>
      <c r="AO563" s="61" t="str">
        <f>IFERROR(IF(AL563-AL562&lt;=0,"",AN563/SQRT(Таблица_pr6[[#This Row],[Удельное сопротивление грунта, Ом·м]])),AN563/SQRT(Таблица_pr6[[#This Row],[Удельное сопротивление грунта, Ом·м]]))</f>
        <v/>
      </c>
      <c r="AQ563" s="51"/>
      <c r="AR563" s="52"/>
      <c r="AS563" s="50"/>
      <c r="AT563" s="61" t="str">
        <f t="shared" si="68"/>
        <v/>
      </c>
      <c r="AU563" s="61" t="str">
        <f>IFERROR(IF(AR563-AR562&lt;=0,"",AT563/SQRT(Таблица_pr7[[#This Row],[Удельное сопротивление грунта, Ом·м]])),AT563/SQRT(Таблица_pr7[[#This Row],[Удельное сопротивление грунта, Ом·м]]))</f>
        <v/>
      </c>
      <c r="AW563" s="51"/>
      <c r="AX563" s="52"/>
      <c r="AY563" s="50"/>
      <c r="AZ563" s="61" t="str">
        <f t="shared" si="73"/>
        <v/>
      </c>
      <c r="BA563" s="61" t="str">
        <f>IFERROR(IF(AX563-AX562&lt;=0,"",AZ563/SQRT(Таблица_pr8[[#This Row],[Удельное сопротивление грунта, Ом·м]])),AZ563/SQRT(Таблица_pr8[[#This Row],[Удельное сопротивление грунта, Ом·м]]))</f>
        <v/>
      </c>
      <c r="BC563" s="51"/>
      <c r="BD563" s="52"/>
      <c r="BE563" s="50"/>
      <c r="BF563" s="61" t="str">
        <f t="shared" si="69"/>
        <v/>
      </c>
      <c r="BG563" s="61" t="str">
        <f>IFERROR(IF(BD563-AX582&lt;=0,"",BF563/SQRT(Таблица_pr9[[#This Row],[Удельное сопротивление грунта, Ом·м]])),BF563/SQRT(Таблица_pr9[[#This Row],[Удельное сопротивление грунта, Ом·м]]))</f>
        <v/>
      </c>
      <c r="BI563" s="51"/>
      <c r="BJ563" s="52"/>
      <c r="BK563" s="50"/>
      <c r="BL563" s="61" t="str">
        <f t="shared" si="74"/>
        <v/>
      </c>
      <c r="BM563" s="61" t="str">
        <f>IFERROR(IF(BJ563-BD592&lt;=0,"",BL563/SQRT(Таблица_pr10[[#This Row],[Удельное сопротивление грунта, Ом·м]])),BL563/SQRT(Таблица_pr10[[#This Row],[Удельное сопротивление грунта, Ом·м]]))</f>
        <v/>
      </c>
    </row>
    <row r="564" spans="1:65">
      <c r="A564" s="53"/>
      <c r="B564" s="52"/>
      <c r="C564" s="50"/>
      <c r="D564" s="61" t="str">
        <f t="shared" si="64"/>
        <v/>
      </c>
      <c r="E564" s="61" t="str">
        <f>IFERROR(IF(B564-B563&lt;=0,"",D564/SQRT(Таблица_pr[[#This Row],[Удельное сопротивление грунта, Ом·м]])),D564/SQRT(Таблица_pr[[#This Row],[Удельное сопротивление грунта, Ом·м]]))</f>
        <v/>
      </c>
      <c r="G564" s="188"/>
      <c r="H564" s="184"/>
      <c r="I564" s="182"/>
      <c r="J564" s="181" t="str">
        <f t="shared" si="65"/>
        <v/>
      </c>
      <c r="K564" s="61" t="str">
        <f>IFERROR(IF(H564-H563&lt;=0,"",J564/SQRT(Таблица_pr1[[#This Row],[Удельное сопротивление грунта, Ом·м]])),J564/SQRT(Таблица_pr1[[#This Row],[Удельное сопротивление грунта, Ом·м]]))</f>
        <v/>
      </c>
      <c r="M564" s="53"/>
      <c r="N564" s="52"/>
      <c r="O564" s="50"/>
      <c r="P564" s="61" t="str">
        <f t="shared" si="70"/>
        <v/>
      </c>
      <c r="Q564" s="61" t="str">
        <f>IFERROR(IF(N564-N563&lt;=0,"",P564/SQRT(Таблица_pr2[[#This Row],[Удельное сопротивление грунта, Ом·м]])),P564/SQRT(Таблица_pr2[[#This Row],[Удельное сопротивление грунта, Ом·м]]))</f>
        <v/>
      </c>
      <c r="S564" s="53"/>
      <c r="T564" s="52"/>
      <c r="U564" s="50"/>
      <c r="V564" s="61" t="str">
        <f t="shared" si="66"/>
        <v/>
      </c>
      <c r="W564" s="61" t="str">
        <f>IFERROR(IF(T564-T563&lt;=0,"",V564/SQRT(Таблица_pr3[[#This Row],[Удельное сопротивление грунта, Ом·м]])),V564/SQRT(Таблица_pr3[[#This Row],[Удельное сопротивление грунта, Ом·м]]))</f>
        <v/>
      </c>
      <c r="Y564" s="53"/>
      <c r="Z564" s="52"/>
      <c r="AA564" s="50"/>
      <c r="AB564" s="61" t="str">
        <f t="shared" si="71"/>
        <v/>
      </c>
      <c r="AC564" s="61" t="str">
        <f>IFERROR(IF(Z564-Z563&lt;=0,"",AB564/SQRT(Таблица_pr4[[#This Row],[Удельное сопротивление грунта, Ом·м]])),AB564/SQRT(Таблица_pr4[[#This Row],[Удельное сопротивление грунта, Ом·м]]))</f>
        <v/>
      </c>
      <c r="AE564" s="53"/>
      <c r="AF564" s="52"/>
      <c r="AG564" s="50"/>
      <c r="AH564" s="61" t="str">
        <f t="shared" si="67"/>
        <v/>
      </c>
      <c r="AI564" s="61" t="str">
        <f>IFERROR(IF(AF564-AF563&lt;=0,"",AH564/SQRT(Таблица_pr5[[#This Row],[Удельное сопротивление грунта, Ом·м]])),AH564/SQRT(Таблица_pr5[[#This Row],[Удельное сопротивление грунта, Ом·м]]))</f>
        <v/>
      </c>
      <c r="AK564" s="53"/>
      <c r="AL564" s="52"/>
      <c r="AM564" s="50"/>
      <c r="AN564" s="61" t="str">
        <f t="shared" si="72"/>
        <v/>
      </c>
      <c r="AO564" s="61" t="str">
        <f>IFERROR(IF(AL564-AL563&lt;=0,"",AN564/SQRT(Таблица_pr6[[#This Row],[Удельное сопротивление грунта, Ом·м]])),AN564/SQRT(Таблица_pr6[[#This Row],[Удельное сопротивление грунта, Ом·м]]))</f>
        <v/>
      </c>
      <c r="AQ564" s="53"/>
      <c r="AR564" s="52"/>
      <c r="AS564" s="50"/>
      <c r="AT564" s="61" t="str">
        <f t="shared" si="68"/>
        <v/>
      </c>
      <c r="AU564" s="61" t="str">
        <f>IFERROR(IF(AR564-AR563&lt;=0,"",AT564/SQRT(Таблица_pr7[[#This Row],[Удельное сопротивление грунта, Ом·м]])),AT564/SQRT(Таблица_pr7[[#This Row],[Удельное сопротивление грунта, Ом·м]]))</f>
        <v/>
      </c>
      <c r="AW564" s="53"/>
      <c r="AX564" s="52"/>
      <c r="AY564" s="50"/>
      <c r="AZ564" s="61" t="str">
        <f t="shared" si="73"/>
        <v/>
      </c>
      <c r="BA564" s="61" t="str">
        <f>IFERROR(IF(AX564-AX563&lt;=0,"",AZ564/SQRT(Таблица_pr8[[#This Row],[Удельное сопротивление грунта, Ом·м]])),AZ564/SQRT(Таблица_pr8[[#This Row],[Удельное сопротивление грунта, Ом·м]]))</f>
        <v/>
      </c>
      <c r="BC564" s="53"/>
      <c r="BD564" s="52"/>
      <c r="BE564" s="50"/>
      <c r="BF564" s="61" t="str">
        <f t="shared" si="69"/>
        <v/>
      </c>
      <c r="BG564" s="61" t="str">
        <f>IFERROR(IF(BD564-AX583&lt;=0,"",BF564/SQRT(Таблица_pr9[[#This Row],[Удельное сопротивление грунта, Ом·м]])),BF564/SQRT(Таблица_pr9[[#This Row],[Удельное сопротивление грунта, Ом·м]]))</f>
        <v/>
      </c>
      <c r="BI564" s="53"/>
      <c r="BJ564" s="52"/>
      <c r="BK564" s="50"/>
      <c r="BL564" s="61" t="str">
        <f t="shared" si="74"/>
        <v/>
      </c>
      <c r="BM564" s="61" t="str">
        <f>IFERROR(IF(BJ564-BD593&lt;=0,"",BL564/SQRT(Таблица_pr10[[#This Row],[Удельное сопротивление грунта, Ом·м]])),BL564/SQRT(Таблица_pr10[[#This Row],[Удельное сопротивление грунта, Ом·м]]))</f>
        <v/>
      </c>
    </row>
    <row r="565" spans="1:65">
      <c r="A565" s="51"/>
      <c r="B565" s="52"/>
      <c r="C565" s="50"/>
      <c r="D565" s="61" t="str">
        <f t="shared" si="64"/>
        <v/>
      </c>
      <c r="E565" s="61" t="str">
        <f>IFERROR(IF(B565-B564&lt;=0,"",D565/SQRT(Таблица_pr[[#This Row],[Удельное сопротивление грунта, Ом·м]])),D565/SQRT(Таблица_pr[[#This Row],[Удельное сопротивление грунта, Ом·м]]))</f>
        <v/>
      </c>
      <c r="G565" s="189"/>
      <c r="H565" s="185"/>
      <c r="I565" s="183"/>
      <c r="J565" s="180" t="str">
        <f t="shared" si="65"/>
        <v/>
      </c>
      <c r="K565" s="61" t="str">
        <f>IFERROR(IF(H565-H564&lt;=0,"",J565/SQRT(Таблица_pr1[[#This Row],[Удельное сопротивление грунта, Ом·м]])),J565/SQRT(Таблица_pr1[[#This Row],[Удельное сопротивление грунта, Ом·м]]))</f>
        <v/>
      </c>
      <c r="M565" s="51"/>
      <c r="N565" s="52"/>
      <c r="O565" s="50"/>
      <c r="P565" s="61" t="str">
        <f t="shared" si="70"/>
        <v/>
      </c>
      <c r="Q565" s="61" t="str">
        <f>IFERROR(IF(N565-N564&lt;=0,"",P565/SQRT(Таблица_pr2[[#This Row],[Удельное сопротивление грунта, Ом·м]])),P565/SQRT(Таблица_pr2[[#This Row],[Удельное сопротивление грунта, Ом·м]]))</f>
        <v/>
      </c>
      <c r="S565" s="51"/>
      <c r="T565" s="52"/>
      <c r="U565" s="50"/>
      <c r="V565" s="61" t="str">
        <f t="shared" si="66"/>
        <v/>
      </c>
      <c r="W565" s="61" t="str">
        <f>IFERROR(IF(T565-T564&lt;=0,"",V565/SQRT(Таблица_pr3[[#This Row],[Удельное сопротивление грунта, Ом·м]])),V565/SQRT(Таблица_pr3[[#This Row],[Удельное сопротивление грунта, Ом·м]]))</f>
        <v/>
      </c>
      <c r="Y565" s="51"/>
      <c r="Z565" s="52"/>
      <c r="AA565" s="50"/>
      <c r="AB565" s="61" t="str">
        <f t="shared" si="71"/>
        <v/>
      </c>
      <c r="AC565" s="61" t="str">
        <f>IFERROR(IF(Z565-Z564&lt;=0,"",AB565/SQRT(Таблица_pr4[[#This Row],[Удельное сопротивление грунта, Ом·м]])),AB565/SQRT(Таблица_pr4[[#This Row],[Удельное сопротивление грунта, Ом·м]]))</f>
        <v/>
      </c>
      <c r="AE565" s="51"/>
      <c r="AF565" s="52"/>
      <c r="AG565" s="50"/>
      <c r="AH565" s="61" t="str">
        <f t="shared" si="67"/>
        <v/>
      </c>
      <c r="AI565" s="61" t="str">
        <f>IFERROR(IF(AF565-AF564&lt;=0,"",AH565/SQRT(Таблица_pr5[[#This Row],[Удельное сопротивление грунта, Ом·м]])),AH565/SQRT(Таблица_pr5[[#This Row],[Удельное сопротивление грунта, Ом·м]]))</f>
        <v/>
      </c>
      <c r="AK565" s="51"/>
      <c r="AL565" s="52"/>
      <c r="AM565" s="50"/>
      <c r="AN565" s="61" t="str">
        <f t="shared" si="72"/>
        <v/>
      </c>
      <c r="AO565" s="61" t="str">
        <f>IFERROR(IF(AL565-AL564&lt;=0,"",AN565/SQRT(Таблица_pr6[[#This Row],[Удельное сопротивление грунта, Ом·м]])),AN565/SQRT(Таблица_pr6[[#This Row],[Удельное сопротивление грунта, Ом·м]]))</f>
        <v/>
      </c>
      <c r="AQ565" s="51"/>
      <c r="AR565" s="52"/>
      <c r="AS565" s="50"/>
      <c r="AT565" s="61" t="str">
        <f t="shared" si="68"/>
        <v/>
      </c>
      <c r="AU565" s="61" t="str">
        <f>IFERROR(IF(AR565-AR564&lt;=0,"",AT565/SQRT(Таблица_pr7[[#This Row],[Удельное сопротивление грунта, Ом·м]])),AT565/SQRT(Таблица_pr7[[#This Row],[Удельное сопротивление грунта, Ом·м]]))</f>
        <v/>
      </c>
      <c r="AW565" s="51"/>
      <c r="AX565" s="52"/>
      <c r="AY565" s="50"/>
      <c r="AZ565" s="61" t="str">
        <f t="shared" si="73"/>
        <v/>
      </c>
      <c r="BA565" s="61" t="str">
        <f>IFERROR(IF(AX565-AX564&lt;=0,"",AZ565/SQRT(Таблица_pr8[[#This Row],[Удельное сопротивление грунта, Ом·м]])),AZ565/SQRT(Таблица_pr8[[#This Row],[Удельное сопротивление грунта, Ом·м]]))</f>
        <v/>
      </c>
      <c r="BC565" s="51"/>
      <c r="BD565" s="52"/>
      <c r="BE565" s="50"/>
      <c r="BF565" s="61" t="str">
        <f t="shared" si="69"/>
        <v/>
      </c>
      <c r="BG565" s="61" t="str">
        <f>IFERROR(IF(BD565-AX584&lt;=0,"",BF565/SQRT(Таблица_pr9[[#This Row],[Удельное сопротивление грунта, Ом·м]])),BF565/SQRT(Таблица_pr9[[#This Row],[Удельное сопротивление грунта, Ом·м]]))</f>
        <v/>
      </c>
      <c r="BI565" s="51"/>
      <c r="BJ565" s="52"/>
      <c r="BK565" s="50"/>
      <c r="BL565" s="61" t="str">
        <f t="shared" si="74"/>
        <v/>
      </c>
      <c r="BM565" s="61" t="str">
        <f>IFERROR(IF(BJ565-BD594&lt;=0,"",BL565/SQRT(Таблица_pr10[[#This Row],[Удельное сопротивление грунта, Ом·м]])),BL565/SQRT(Таблица_pr10[[#This Row],[Удельное сопротивление грунта, Ом·м]]))</f>
        <v/>
      </c>
    </row>
    <row r="566" spans="1:65">
      <c r="A566" s="53"/>
      <c r="B566" s="52"/>
      <c r="C566" s="50"/>
      <c r="D566" s="61" t="str">
        <f t="shared" si="64"/>
        <v/>
      </c>
      <c r="E566" s="61" t="str">
        <f>IFERROR(IF(B566-B565&lt;=0,"",D566/SQRT(Таблица_pr[[#This Row],[Удельное сопротивление грунта, Ом·м]])),D566/SQRT(Таблица_pr[[#This Row],[Удельное сопротивление грунта, Ом·м]]))</f>
        <v/>
      </c>
      <c r="G566" s="188"/>
      <c r="H566" s="184"/>
      <c r="I566" s="182"/>
      <c r="J566" s="181" t="str">
        <f t="shared" si="65"/>
        <v/>
      </c>
      <c r="K566" s="61" t="str">
        <f>IFERROR(IF(H566-H565&lt;=0,"",J566/SQRT(Таблица_pr1[[#This Row],[Удельное сопротивление грунта, Ом·м]])),J566/SQRT(Таблица_pr1[[#This Row],[Удельное сопротивление грунта, Ом·м]]))</f>
        <v/>
      </c>
      <c r="M566" s="53"/>
      <c r="N566" s="52"/>
      <c r="O566" s="50"/>
      <c r="P566" s="61" t="str">
        <f t="shared" si="70"/>
        <v/>
      </c>
      <c r="Q566" s="61" t="str">
        <f>IFERROR(IF(N566-N565&lt;=0,"",P566/SQRT(Таблица_pr2[[#This Row],[Удельное сопротивление грунта, Ом·м]])),P566/SQRT(Таблица_pr2[[#This Row],[Удельное сопротивление грунта, Ом·м]]))</f>
        <v/>
      </c>
      <c r="S566" s="53"/>
      <c r="T566" s="52"/>
      <c r="U566" s="50"/>
      <c r="V566" s="61" t="str">
        <f t="shared" si="66"/>
        <v/>
      </c>
      <c r="W566" s="61" t="str">
        <f>IFERROR(IF(T566-T565&lt;=0,"",V566/SQRT(Таблица_pr3[[#This Row],[Удельное сопротивление грунта, Ом·м]])),V566/SQRT(Таблица_pr3[[#This Row],[Удельное сопротивление грунта, Ом·м]]))</f>
        <v/>
      </c>
      <c r="Y566" s="53"/>
      <c r="Z566" s="52"/>
      <c r="AA566" s="50"/>
      <c r="AB566" s="61" t="str">
        <f t="shared" si="71"/>
        <v/>
      </c>
      <c r="AC566" s="61" t="str">
        <f>IFERROR(IF(Z566-Z565&lt;=0,"",AB566/SQRT(Таблица_pr4[[#This Row],[Удельное сопротивление грунта, Ом·м]])),AB566/SQRT(Таблица_pr4[[#This Row],[Удельное сопротивление грунта, Ом·м]]))</f>
        <v/>
      </c>
      <c r="AE566" s="53"/>
      <c r="AF566" s="52"/>
      <c r="AG566" s="50"/>
      <c r="AH566" s="61" t="str">
        <f t="shared" si="67"/>
        <v/>
      </c>
      <c r="AI566" s="61" t="str">
        <f>IFERROR(IF(AF566-AF565&lt;=0,"",AH566/SQRT(Таблица_pr5[[#This Row],[Удельное сопротивление грунта, Ом·м]])),AH566/SQRT(Таблица_pr5[[#This Row],[Удельное сопротивление грунта, Ом·м]]))</f>
        <v/>
      </c>
      <c r="AK566" s="53"/>
      <c r="AL566" s="52"/>
      <c r="AM566" s="50"/>
      <c r="AN566" s="61" t="str">
        <f t="shared" si="72"/>
        <v/>
      </c>
      <c r="AO566" s="61" t="str">
        <f>IFERROR(IF(AL566-AL565&lt;=0,"",AN566/SQRT(Таблица_pr6[[#This Row],[Удельное сопротивление грунта, Ом·м]])),AN566/SQRT(Таблица_pr6[[#This Row],[Удельное сопротивление грунта, Ом·м]]))</f>
        <v/>
      </c>
      <c r="AQ566" s="53"/>
      <c r="AR566" s="52"/>
      <c r="AS566" s="50"/>
      <c r="AT566" s="61" t="str">
        <f t="shared" si="68"/>
        <v/>
      </c>
      <c r="AU566" s="61" t="str">
        <f>IFERROR(IF(AR566-AR565&lt;=0,"",AT566/SQRT(Таблица_pr7[[#This Row],[Удельное сопротивление грунта, Ом·м]])),AT566/SQRT(Таблица_pr7[[#This Row],[Удельное сопротивление грунта, Ом·м]]))</f>
        <v/>
      </c>
      <c r="AW566" s="53"/>
      <c r="AX566" s="52"/>
      <c r="AY566" s="50"/>
      <c r="AZ566" s="61" t="str">
        <f t="shared" si="73"/>
        <v/>
      </c>
      <c r="BA566" s="61" t="str">
        <f>IFERROR(IF(AX566-AX565&lt;=0,"",AZ566/SQRT(Таблица_pr8[[#This Row],[Удельное сопротивление грунта, Ом·м]])),AZ566/SQRT(Таблица_pr8[[#This Row],[Удельное сопротивление грунта, Ом·м]]))</f>
        <v/>
      </c>
      <c r="BC566" s="53"/>
      <c r="BD566" s="52"/>
      <c r="BE566" s="50"/>
      <c r="BF566" s="61" t="str">
        <f t="shared" si="69"/>
        <v/>
      </c>
      <c r="BG566" s="61" t="str">
        <f>IFERROR(IF(BD566-AX585&lt;=0,"",BF566/SQRT(Таблица_pr9[[#This Row],[Удельное сопротивление грунта, Ом·м]])),BF566/SQRT(Таблица_pr9[[#This Row],[Удельное сопротивление грунта, Ом·м]]))</f>
        <v/>
      </c>
      <c r="BI566" s="53"/>
      <c r="BJ566" s="52"/>
      <c r="BK566" s="50"/>
      <c r="BL566" s="61" t="str">
        <f t="shared" si="74"/>
        <v/>
      </c>
      <c r="BM566" s="61" t="str">
        <f>IFERROR(IF(BJ566-BD595&lt;=0,"",BL566/SQRT(Таблица_pr10[[#This Row],[Удельное сопротивление грунта, Ом·м]])),BL566/SQRT(Таблица_pr10[[#This Row],[Удельное сопротивление грунта, Ом·м]]))</f>
        <v/>
      </c>
    </row>
    <row r="567" spans="1:65">
      <c r="A567" s="51"/>
      <c r="B567" s="52"/>
      <c r="C567" s="50"/>
      <c r="D567" s="61" t="str">
        <f t="shared" si="64"/>
        <v/>
      </c>
      <c r="E567" s="61" t="str">
        <f>IFERROR(IF(B567-B566&lt;=0,"",D567/SQRT(Таблица_pr[[#This Row],[Удельное сопротивление грунта, Ом·м]])),D567/SQRT(Таблица_pr[[#This Row],[Удельное сопротивление грунта, Ом·м]]))</f>
        <v/>
      </c>
      <c r="G567" s="189"/>
      <c r="H567" s="185"/>
      <c r="I567" s="183"/>
      <c r="J567" s="180" t="str">
        <f t="shared" si="65"/>
        <v/>
      </c>
      <c r="K567" s="61" t="str">
        <f>IFERROR(IF(H567-H566&lt;=0,"",J567/SQRT(Таблица_pr1[[#This Row],[Удельное сопротивление грунта, Ом·м]])),J567/SQRT(Таблица_pr1[[#This Row],[Удельное сопротивление грунта, Ом·м]]))</f>
        <v/>
      </c>
      <c r="M567" s="51"/>
      <c r="N567" s="52"/>
      <c r="O567" s="50"/>
      <c r="P567" s="61" t="str">
        <f t="shared" si="70"/>
        <v/>
      </c>
      <c r="Q567" s="61" t="str">
        <f>IFERROR(IF(N567-N566&lt;=0,"",P567/SQRT(Таблица_pr2[[#This Row],[Удельное сопротивление грунта, Ом·м]])),P567/SQRT(Таблица_pr2[[#This Row],[Удельное сопротивление грунта, Ом·м]]))</f>
        <v/>
      </c>
      <c r="S567" s="51"/>
      <c r="T567" s="52"/>
      <c r="U567" s="50"/>
      <c r="V567" s="61" t="str">
        <f t="shared" si="66"/>
        <v/>
      </c>
      <c r="W567" s="61" t="str">
        <f>IFERROR(IF(T567-T566&lt;=0,"",V567/SQRT(Таблица_pr3[[#This Row],[Удельное сопротивление грунта, Ом·м]])),V567/SQRT(Таблица_pr3[[#This Row],[Удельное сопротивление грунта, Ом·м]]))</f>
        <v/>
      </c>
      <c r="Y567" s="51"/>
      <c r="Z567" s="52"/>
      <c r="AA567" s="50"/>
      <c r="AB567" s="61" t="str">
        <f t="shared" si="71"/>
        <v/>
      </c>
      <c r="AC567" s="61" t="str">
        <f>IFERROR(IF(Z567-Z566&lt;=0,"",AB567/SQRT(Таблица_pr4[[#This Row],[Удельное сопротивление грунта, Ом·м]])),AB567/SQRT(Таблица_pr4[[#This Row],[Удельное сопротивление грунта, Ом·м]]))</f>
        <v/>
      </c>
      <c r="AE567" s="51"/>
      <c r="AF567" s="52"/>
      <c r="AG567" s="50"/>
      <c r="AH567" s="61" t="str">
        <f t="shared" si="67"/>
        <v/>
      </c>
      <c r="AI567" s="61" t="str">
        <f>IFERROR(IF(AF567-AF566&lt;=0,"",AH567/SQRT(Таблица_pr5[[#This Row],[Удельное сопротивление грунта, Ом·м]])),AH567/SQRT(Таблица_pr5[[#This Row],[Удельное сопротивление грунта, Ом·м]]))</f>
        <v/>
      </c>
      <c r="AK567" s="51"/>
      <c r="AL567" s="52"/>
      <c r="AM567" s="50"/>
      <c r="AN567" s="61" t="str">
        <f t="shared" si="72"/>
        <v/>
      </c>
      <c r="AO567" s="61" t="str">
        <f>IFERROR(IF(AL567-AL566&lt;=0,"",AN567/SQRT(Таблица_pr6[[#This Row],[Удельное сопротивление грунта, Ом·м]])),AN567/SQRT(Таблица_pr6[[#This Row],[Удельное сопротивление грунта, Ом·м]]))</f>
        <v/>
      </c>
      <c r="AQ567" s="51"/>
      <c r="AR567" s="52"/>
      <c r="AS567" s="50"/>
      <c r="AT567" s="61" t="str">
        <f t="shared" si="68"/>
        <v/>
      </c>
      <c r="AU567" s="61" t="str">
        <f>IFERROR(IF(AR567-AR566&lt;=0,"",AT567/SQRT(Таблица_pr7[[#This Row],[Удельное сопротивление грунта, Ом·м]])),AT567/SQRT(Таблица_pr7[[#This Row],[Удельное сопротивление грунта, Ом·м]]))</f>
        <v/>
      </c>
      <c r="AW567" s="51"/>
      <c r="AX567" s="52"/>
      <c r="AY567" s="50"/>
      <c r="AZ567" s="61" t="str">
        <f t="shared" si="73"/>
        <v/>
      </c>
      <c r="BA567" s="61" t="str">
        <f>IFERROR(IF(AX567-AX566&lt;=0,"",AZ567/SQRT(Таблица_pr8[[#This Row],[Удельное сопротивление грунта, Ом·м]])),AZ567/SQRT(Таблица_pr8[[#This Row],[Удельное сопротивление грунта, Ом·м]]))</f>
        <v/>
      </c>
      <c r="BC567" s="51"/>
      <c r="BD567" s="52"/>
      <c r="BE567" s="50"/>
      <c r="BF567" s="61" t="str">
        <f t="shared" si="69"/>
        <v/>
      </c>
      <c r="BG567" s="61" t="str">
        <f>IFERROR(IF(BD567-AX586&lt;=0,"",BF567/SQRT(Таблица_pr9[[#This Row],[Удельное сопротивление грунта, Ом·м]])),BF567/SQRT(Таблица_pr9[[#This Row],[Удельное сопротивление грунта, Ом·м]]))</f>
        <v/>
      </c>
      <c r="BI567" s="51"/>
      <c r="BJ567" s="52"/>
      <c r="BK567" s="50"/>
      <c r="BL567" s="61" t="str">
        <f t="shared" si="74"/>
        <v/>
      </c>
      <c r="BM567" s="61" t="str">
        <f>IFERROR(IF(BJ567-BD596&lt;=0,"",BL567/SQRT(Таблица_pr10[[#This Row],[Удельное сопротивление грунта, Ом·м]])),BL567/SQRT(Таблица_pr10[[#This Row],[Удельное сопротивление грунта, Ом·м]]))</f>
        <v/>
      </c>
    </row>
    <row r="568" spans="1:65">
      <c r="A568" s="53"/>
      <c r="B568" s="52"/>
      <c r="C568" s="50"/>
      <c r="D568" s="61" t="str">
        <f t="shared" si="64"/>
        <v/>
      </c>
      <c r="E568" s="61" t="str">
        <f>IFERROR(IF(B568-B567&lt;=0,"",D568/SQRT(Таблица_pr[[#This Row],[Удельное сопротивление грунта, Ом·м]])),D568/SQRT(Таблица_pr[[#This Row],[Удельное сопротивление грунта, Ом·м]]))</f>
        <v/>
      </c>
      <c r="G568" s="188"/>
      <c r="H568" s="184"/>
      <c r="I568" s="182"/>
      <c r="J568" s="181" t="str">
        <f t="shared" si="65"/>
        <v/>
      </c>
      <c r="K568" s="61" t="str">
        <f>IFERROR(IF(H568-H567&lt;=0,"",J568/SQRT(Таблица_pr1[[#This Row],[Удельное сопротивление грунта, Ом·м]])),J568/SQRT(Таблица_pr1[[#This Row],[Удельное сопротивление грунта, Ом·м]]))</f>
        <v/>
      </c>
      <c r="M568" s="53"/>
      <c r="N568" s="52"/>
      <c r="O568" s="50"/>
      <c r="P568" s="61" t="str">
        <f t="shared" si="70"/>
        <v/>
      </c>
      <c r="Q568" s="61" t="str">
        <f>IFERROR(IF(N568-N567&lt;=0,"",P568/SQRT(Таблица_pr2[[#This Row],[Удельное сопротивление грунта, Ом·м]])),P568/SQRT(Таблица_pr2[[#This Row],[Удельное сопротивление грунта, Ом·м]]))</f>
        <v/>
      </c>
      <c r="S568" s="53"/>
      <c r="T568" s="52"/>
      <c r="U568" s="50"/>
      <c r="V568" s="61" t="str">
        <f t="shared" si="66"/>
        <v/>
      </c>
      <c r="W568" s="61" t="str">
        <f>IFERROR(IF(T568-T567&lt;=0,"",V568/SQRT(Таблица_pr3[[#This Row],[Удельное сопротивление грунта, Ом·м]])),V568/SQRT(Таблица_pr3[[#This Row],[Удельное сопротивление грунта, Ом·м]]))</f>
        <v/>
      </c>
      <c r="Y568" s="53"/>
      <c r="Z568" s="52"/>
      <c r="AA568" s="50"/>
      <c r="AB568" s="61" t="str">
        <f t="shared" si="71"/>
        <v/>
      </c>
      <c r="AC568" s="61" t="str">
        <f>IFERROR(IF(Z568-Z567&lt;=0,"",AB568/SQRT(Таблица_pr4[[#This Row],[Удельное сопротивление грунта, Ом·м]])),AB568/SQRT(Таблица_pr4[[#This Row],[Удельное сопротивление грунта, Ом·м]]))</f>
        <v/>
      </c>
      <c r="AE568" s="53"/>
      <c r="AF568" s="52"/>
      <c r="AG568" s="50"/>
      <c r="AH568" s="61" t="str">
        <f t="shared" si="67"/>
        <v/>
      </c>
      <c r="AI568" s="61" t="str">
        <f>IFERROR(IF(AF568-AF567&lt;=0,"",AH568/SQRT(Таблица_pr5[[#This Row],[Удельное сопротивление грунта, Ом·м]])),AH568/SQRT(Таблица_pr5[[#This Row],[Удельное сопротивление грунта, Ом·м]]))</f>
        <v/>
      </c>
      <c r="AK568" s="53"/>
      <c r="AL568" s="52"/>
      <c r="AM568" s="50"/>
      <c r="AN568" s="61" t="str">
        <f t="shared" si="72"/>
        <v/>
      </c>
      <c r="AO568" s="61" t="str">
        <f>IFERROR(IF(AL568-AL567&lt;=0,"",AN568/SQRT(Таблица_pr6[[#This Row],[Удельное сопротивление грунта, Ом·м]])),AN568/SQRT(Таблица_pr6[[#This Row],[Удельное сопротивление грунта, Ом·м]]))</f>
        <v/>
      </c>
      <c r="AQ568" s="53"/>
      <c r="AR568" s="52"/>
      <c r="AS568" s="50"/>
      <c r="AT568" s="61" t="str">
        <f t="shared" si="68"/>
        <v/>
      </c>
      <c r="AU568" s="61" t="str">
        <f>IFERROR(IF(AR568-AR567&lt;=0,"",AT568/SQRT(Таблица_pr7[[#This Row],[Удельное сопротивление грунта, Ом·м]])),AT568/SQRT(Таблица_pr7[[#This Row],[Удельное сопротивление грунта, Ом·м]]))</f>
        <v/>
      </c>
      <c r="AW568" s="53"/>
      <c r="AX568" s="52"/>
      <c r="AY568" s="50"/>
      <c r="AZ568" s="61" t="str">
        <f t="shared" si="73"/>
        <v/>
      </c>
      <c r="BA568" s="61" t="str">
        <f>IFERROR(IF(AX568-AX567&lt;=0,"",AZ568/SQRT(Таблица_pr8[[#This Row],[Удельное сопротивление грунта, Ом·м]])),AZ568/SQRT(Таблица_pr8[[#This Row],[Удельное сопротивление грунта, Ом·м]]))</f>
        <v/>
      </c>
      <c r="BC568" s="53"/>
      <c r="BD568" s="52"/>
      <c r="BE568" s="50"/>
      <c r="BF568" s="61" t="str">
        <f t="shared" si="69"/>
        <v/>
      </c>
      <c r="BG568" s="61" t="str">
        <f>IFERROR(IF(BD568-AX587&lt;=0,"",BF568/SQRT(Таблица_pr9[[#This Row],[Удельное сопротивление грунта, Ом·м]])),BF568/SQRT(Таблица_pr9[[#This Row],[Удельное сопротивление грунта, Ом·м]]))</f>
        <v/>
      </c>
      <c r="BI568" s="53"/>
      <c r="BJ568" s="52"/>
      <c r="BK568" s="50"/>
      <c r="BL568" s="61" t="str">
        <f t="shared" si="74"/>
        <v/>
      </c>
      <c r="BM568" s="61" t="str">
        <f>IFERROR(IF(BJ568-BD597&lt;=0,"",BL568/SQRT(Таблица_pr10[[#This Row],[Удельное сопротивление грунта, Ом·м]])),BL568/SQRT(Таблица_pr10[[#This Row],[Удельное сопротивление грунта, Ом·м]]))</f>
        <v/>
      </c>
    </row>
    <row r="569" spans="1:65">
      <c r="A569" s="51"/>
      <c r="B569" s="52"/>
      <c r="C569" s="50"/>
      <c r="D569" s="61" t="str">
        <f t="shared" si="64"/>
        <v/>
      </c>
      <c r="E569" s="61" t="str">
        <f>IFERROR(IF(B569-B568&lt;=0,"",D569/SQRT(Таблица_pr[[#This Row],[Удельное сопротивление грунта, Ом·м]])),D569/SQRT(Таблица_pr[[#This Row],[Удельное сопротивление грунта, Ом·м]]))</f>
        <v/>
      </c>
      <c r="G569" s="189"/>
      <c r="H569" s="185"/>
      <c r="I569" s="183"/>
      <c r="J569" s="180" t="str">
        <f t="shared" si="65"/>
        <v/>
      </c>
      <c r="K569" s="61" t="str">
        <f>IFERROR(IF(H569-H568&lt;=0,"",J569/SQRT(Таблица_pr1[[#This Row],[Удельное сопротивление грунта, Ом·м]])),J569/SQRT(Таблица_pr1[[#This Row],[Удельное сопротивление грунта, Ом·м]]))</f>
        <v/>
      </c>
      <c r="M569" s="51"/>
      <c r="N569" s="52"/>
      <c r="O569" s="50"/>
      <c r="P569" s="61" t="str">
        <f t="shared" si="70"/>
        <v/>
      </c>
      <c r="Q569" s="61" t="str">
        <f>IFERROR(IF(N569-N568&lt;=0,"",P569/SQRT(Таблица_pr2[[#This Row],[Удельное сопротивление грунта, Ом·м]])),P569/SQRT(Таблица_pr2[[#This Row],[Удельное сопротивление грунта, Ом·м]]))</f>
        <v/>
      </c>
      <c r="S569" s="51"/>
      <c r="T569" s="52"/>
      <c r="U569" s="50"/>
      <c r="V569" s="61" t="str">
        <f t="shared" si="66"/>
        <v/>
      </c>
      <c r="W569" s="61" t="str">
        <f>IFERROR(IF(T569-T568&lt;=0,"",V569/SQRT(Таблица_pr3[[#This Row],[Удельное сопротивление грунта, Ом·м]])),V569/SQRT(Таблица_pr3[[#This Row],[Удельное сопротивление грунта, Ом·м]]))</f>
        <v/>
      </c>
      <c r="Y569" s="51"/>
      <c r="Z569" s="52"/>
      <c r="AA569" s="50"/>
      <c r="AB569" s="61" t="str">
        <f t="shared" si="71"/>
        <v/>
      </c>
      <c r="AC569" s="61" t="str">
        <f>IFERROR(IF(Z569-Z568&lt;=0,"",AB569/SQRT(Таблица_pr4[[#This Row],[Удельное сопротивление грунта, Ом·м]])),AB569/SQRT(Таблица_pr4[[#This Row],[Удельное сопротивление грунта, Ом·м]]))</f>
        <v/>
      </c>
      <c r="AE569" s="51"/>
      <c r="AF569" s="52"/>
      <c r="AG569" s="50"/>
      <c r="AH569" s="61" t="str">
        <f t="shared" si="67"/>
        <v/>
      </c>
      <c r="AI569" s="61" t="str">
        <f>IFERROR(IF(AF569-AF568&lt;=0,"",AH569/SQRT(Таблица_pr5[[#This Row],[Удельное сопротивление грунта, Ом·м]])),AH569/SQRT(Таблица_pr5[[#This Row],[Удельное сопротивление грунта, Ом·м]]))</f>
        <v/>
      </c>
      <c r="AK569" s="51"/>
      <c r="AL569" s="52"/>
      <c r="AM569" s="50"/>
      <c r="AN569" s="61" t="str">
        <f t="shared" si="72"/>
        <v/>
      </c>
      <c r="AO569" s="61" t="str">
        <f>IFERROR(IF(AL569-AL568&lt;=0,"",AN569/SQRT(Таблица_pr6[[#This Row],[Удельное сопротивление грунта, Ом·м]])),AN569/SQRT(Таблица_pr6[[#This Row],[Удельное сопротивление грунта, Ом·м]]))</f>
        <v/>
      </c>
      <c r="AQ569" s="51"/>
      <c r="AR569" s="52"/>
      <c r="AS569" s="50"/>
      <c r="AT569" s="61" t="str">
        <f t="shared" si="68"/>
        <v/>
      </c>
      <c r="AU569" s="61" t="str">
        <f>IFERROR(IF(AR569-AR568&lt;=0,"",AT569/SQRT(Таблица_pr7[[#This Row],[Удельное сопротивление грунта, Ом·м]])),AT569/SQRT(Таблица_pr7[[#This Row],[Удельное сопротивление грунта, Ом·м]]))</f>
        <v/>
      </c>
      <c r="AW569" s="51"/>
      <c r="AX569" s="52"/>
      <c r="AY569" s="50"/>
      <c r="AZ569" s="61" t="str">
        <f t="shared" si="73"/>
        <v/>
      </c>
      <c r="BA569" s="61" t="str">
        <f>IFERROR(IF(AX569-AX568&lt;=0,"",AZ569/SQRT(Таблица_pr8[[#This Row],[Удельное сопротивление грунта, Ом·м]])),AZ569/SQRT(Таблица_pr8[[#This Row],[Удельное сопротивление грунта, Ом·м]]))</f>
        <v/>
      </c>
      <c r="BC569" s="51"/>
      <c r="BD569" s="52"/>
      <c r="BE569" s="50"/>
      <c r="BF569" s="61" t="str">
        <f t="shared" si="69"/>
        <v/>
      </c>
      <c r="BG569" s="61" t="str">
        <f>IFERROR(IF(BD569-AX588&lt;=0,"",BF569/SQRT(Таблица_pr9[[#This Row],[Удельное сопротивление грунта, Ом·м]])),BF569/SQRT(Таблица_pr9[[#This Row],[Удельное сопротивление грунта, Ом·м]]))</f>
        <v/>
      </c>
      <c r="BI569" s="51"/>
      <c r="BJ569" s="52"/>
      <c r="BK569" s="50"/>
      <c r="BL569" s="61" t="str">
        <f t="shared" si="74"/>
        <v/>
      </c>
      <c r="BM569" s="61" t="str">
        <f>IFERROR(IF(BJ569-BD598&lt;=0,"",BL569/SQRT(Таблица_pr10[[#This Row],[Удельное сопротивление грунта, Ом·м]])),BL569/SQRT(Таблица_pr10[[#This Row],[Удельное сопротивление грунта, Ом·м]]))</f>
        <v/>
      </c>
    </row>
    <row r="570" spans="1:65">
      <c r="A570" s="53"/>
      <c r="B570" s="52"/>
      <c r="C570" s="50"/>
      <c r="D570" s="61" t="str">
        <f t="shared" si="64"/>
        <v/>
      </c>
      <c r="E570" s="61" t="str">
        <f>IFERROR(IF(B570-B569&lt;=0,"",D570/SQRT(Таблица_pr[[#This Row],[Удельное сопротивление грунта, Ом·м]])),D570/SQRT(Таблица_pr[[#This Row],[Удельное сопротивление грунта, Ом·м]]))</f>
        <v/>
      </c>
      <c r="G570" s="188"/>
      <c r="H570" s="184"/>
      <c r="I570" s="182"/>
      <c r="J570" s="181" t="str">
        <f t="shared" si="65"/>
        <v/>
      </c>
      <c r="K570" s="61" t="str">
        <f>IFERROR(IF(H570-H569&lt;=0,"",J570/SQRT(Таблица_pr1[[#This Row],[Удельное сопротивление грунта, Ом·м]])),J570/SQRT(Таблица_pr1[[#This Row],[Удельное сопротивление грунта, Ом·м]]))</f>
        <v/>
      </c>
      <c r="M570" s="53"/>
      <c r="N570" s="52"/>
      <c r="O570" s="50"/>
      <c r="P570" s="61" t="str">
        <f t="shared" si="70"/>
        <v/>
      </c>
      <c r="Q570" s="61" t="str">
        <f>IFERROR(IF(N570-N569&lt;=0,"",P570/SQRT(Таблица_pr2[[#This Row],[Удельное сопротивление грунта, Ом·м]])),P570/SQRT(Таблица_pr2[[#This Row],[Удельное сопротивление грунта, Ом·м]]))</f>
        <v/>
      </c>
      <c r="S570" s="53"/>
      <c r="T570" s="52"/>
      <c r="U570" s="50"/>
      <c r="V570" s="61" t="str">
        <f t="shared" si="66"/>
        <v/>
      </c>
      <c r="W570" s="61" t="str">
        <f>IFERROR(IF(T570-T569&lt;=0,"",V570/SQRT(Таблица_pr3[[#This Row],[Удельное сопротивление грунта, Ом·м]])),V570/SQRT(Таблица_pr3[[#This Row],[Удельное сопротивление грунта, Ом·м]]))</f>
        <v/>
      </c>
      <c r="Y570" s="53"/>
      <c r="Z570" s="52"/>
      <c r="AA570" s="50"/>
      <c r="AB570" s="61" t="str">
        <f t="shared" si="71"/>
        <v/>
      </c>
      <c r="AC570" s="61" t="str">
        <f>IFERROR(IF(Z570-Z569&lt;=0,"",AB570/SQRT(Таблица_pr4[[#This Row],[Удельное сопротивление грунта, Ом·м]])),AB570/SQRT(Таблица_pr4[[#This Row],[Удельное сопротивление грунта, Ом·м]]))</f>
        <v/>
      </c>
      <c r="AE570" s="53"/>
      <c r="AF570" s="52"/>
      <c r="AG570" s="50"/>
      <c r="AH570" s="61" t="str">
        <f t="shared" si="67"/>
        <v/>
      </c>
      <c r="AI570" s="61" t="str">
        <f>IFERROR(IF(AF570-AF569&lt;=0,"",AH570/SQRT(Таблица_pr5[[#This Row],[Удельное сопротивление грунта, Ом·м]])),AH570/SQRT(Таблица_pr5[[#This Row],[Удельное сопротивление грунта, Ом·м]]))</f>
        <v/>
      </c>
      <c r="AK570" s="53"/>
      <c r="AL570" s="52"/>
      <c r="AM570" s="50"/>
      <c r="AN570" s="61" t="str">
        <f t="shared" si="72"/>
        <v/>
      </c>
      <c r="AO570" s="61" t="str">
        <f>IFERROR(IF(AL570-AL569&lt;=0,"",AN570/SQRT(Таблица_pr6[[#This Row],[Удельное сопротивление грунта, Ом·м]])),AN570/SQRT(Таблица_pr6[[#This Row],[Удельное сопротивление грунта, Ом·м]]))</f>
        <v/>
      </c>
      <c r="AQ570" s="53"/>
      <c r="AR570" s="52"/>
      <c r="AS570" s="50"/>
      <c r="AT570" s="61" t="str">
        <f t="shared" si="68"/>
        <v/>
      </c>
      <c r="AU570" s="61" t="str">
        <f>IFERROR(IF(AR570-AR569&lt;=0,"",AT570/SQRT(Таблица_pr7[[#This Row],[Удельное сопротивление грунта, Ом·м]])),AT570/SQRT(Таблица_pr7[[#This Row],[Удельное сопротивление грунта, Ом·м]]))</f>
        <v/>
      </c>
      <c r="AW570" s="53"/>
      <c r="AX570" s="52"/>
      <c r="AY570" s="50"/>
      <c r="AZ570" s="61" t="str">
        <f t="shared" si="73"/>
        <v/>
      </c>
      <c r="BA570" s="61" t="str">
        <f>IFERROR(IF(AX570-AX569&lt;=0,"",AZ570/SQRT(Таблица_pr8[[#This Row],[Удельное сопротивление грунта, Ом·м]])),AZ570/SQRT(Таблица_pr8[[#This Row],[Удельное сопротивление грунта, Ом·м]]))</f>
        <v/>
      </c>
      <c r="BC570" s="53"/>
      <c r="BD570" s="52"/>
      <c r="BE570" s="50"/>
      <c r="BF570" s="61" t="str">
        <f t="shared" si="69"/>
        <v/>
      </c>
      <c r="BG570" s="61" t="str">
        <f>IFERROR(IF(BD570-AX589&lt;=0,"",BF570/SQRT(Таблица_pr9[[#This Row],[Удельное сопротивление грунта, Ом·м]])),BF570/SQRT(Таблица_pr9[[#This Row],[Удельное сопротивление грунта, Ом·м]]))</f>
        <v/>
      </c>
      <c r="BI570" s="53"/>
      <c r="BJ570" s="52"/>
      <c r="BK570" s="50"/>
      <c r="BL570" s="61" t="str">
        <f t="shared" si="74"/>
        <v/>
      </c>
      <c r="BM570" s="61" t="str">
        <f>IFERROR(IF(BJ570-BD599&lt;=0,"",BL570/SQRT(Таблица_pr10[[#This Row],[Удельное сопротивление грунта, Ом·м]])),BL570/SQRT(Таблица_pr10[[#This Row],[Удельное сопротивление грунта, Ом·м]]))</f>
        <v/>
      </c>
    </row>
    <row r="571" spans="1:65">
      <c r="A571" s="51"/>
      <c r="B571" s="52"/>
      <c r="C571" s="50"/>
      <c r="D571" s="61" t="str">
        <f t="shared" si="64"/>
        <v/>
      </c>
      <c r="E571" s="61" t="str">
        <f>IFERROR(IF(B571-B570&lt;=0,"",D571/SQRT(Таблица_pr[[#This Row],[Удельное сопротивление грунта, Ом·м]])),D571/SQRT(Таблица_pr[[#This Row],[Удельное сопротивление грунта, Ом·м]]))</f>
        <v/>
      </c>
      <c r="G571" s="189"/>
      <c r="H571" s="185"/>
      <c r="I571" s="183"/>
      <c r="J571" s="180" t="str">
        <f t="shared" si="65"/>
        <v/>
      </c>
      <c r="K571" s="61" t="str">
        <f>IFERROR(IF(H571-H570&lt;=0,"",J571/SQRT(Таблица_pr1[[#This Row],[Удельное сопротивление грунта, Ом·м]])),J571/SQRT(Таблица_pr1[[#This Row],[Удельное сопротивление грунта, Ом·м]]))</f>
        <v/>
      </c>
      <c r="M571" s="51"/>
      <c r="N571" s="52"/>
      <c r="O571" s="50"/>
      <c r="P571" s="61" t="str">
        <f t="shared" si="70"/>
        <v/>
      </c>
      <c r="Q571" s="61" t="str">
        <f>IFERROR(IF(N571-N570&lt;=0,"",P571/SQRT(Таблица_pr2[[#This Row],[Удельное сопротивление грунта, Ом·м]])),P571/SQRT(Таблица_pr2[[#This Row],[Удельное сопротивление грунта, Ом·м]]))</f>
        <v/>
      </c>
      <c r="S571" s="51"/>
      <c r="T571" s="52"/>
      <c r="U571" s="50"/>
      <c r="V571" s="61" t="str">
        <f t="shared" si="66"/>
        <v/>
      </c>
      <c r="W571" s="61" t="str">
        <f>IFERROR(IF(T571-T570&lt;=0,"",V571/SQRT(Таблица_pr3[[#This Row],[Удельное сопротивление грунта, Ом·м]])),V571/SQRT(Таблица_pr3[[#This Row],[Удельное сопротивление грунта, Ом·м]]))</f>
        <v/>
      </c>
      <c r="Y571" s="51"/>
      <c r="Z571" s="52"/>
      <c r="AA571" s="50"/>
      <c r="AB571" s="61" t="str">
        <f t="shared" si="71"/>
        <v/>
      </c>
      <c r="AC571" s="61" t="str">
        <f>IFERROR(IF(Z571-Z570&lt;=0,"",AB571/SQRT(Таблица_pr4[[#This Row],[Удельное сопротивление грунта, Ом·м]])),AB571/SQRT(Таблица_pr4[[#This Row],[Удельное сопротивление грунта, Ом·м]]))</f>
        <v/>
      </c>
      <c r="AE571" s="51"/>
      <c r="AF571" s="52"/>
      <c r="AG571" s="50"/>
      <c r="AH571" s="61" t="str">
        <f t="shared" si="67"/>
        <v/>
      </c>
      <c r="AI571" s="61" t="str">
        <f>IFERROR(IF(AF571-AF570&lt;=0,"",AH571/SQRT(Таблица_pr5[[#This Row],[Удельное сопротивление грунта, Ом·м]])),AH571/SQRT(Таблица_pr5[[#This Row],[Удельное сопротивление грунта, Ом·м]]))</f>
        <v/>
      </c>
      <c r="AK571" s="51"/>
      <c r="AL571" s="52"/>
      <c r="AM571" s="50"/>
      <c r="AN571" s="61" t="str">
        <f t="shared" si="72"/>
        <v/>
      </c>
      <c r="AO571" s="61" t="str">
        <f>IFERROR(IF(AL571-AL570&lt;=0,"",AN571/SQRT(Таблица_pr6[[#This Row],[Удельное сопротивление грунта, Ом·м]])),AN571/SQRT(Таблица_pr6[[#This Row],[Удельное сопротивление грунта, Ом·м]]))</f>
        <v/>
      </c>
      <c r="AQ571" s="51"/>
      <c r="AR571" s="52"/>
      <c r="AS571" s="50"/>
      <c r="AT571" s="61" t="str">
        <f t="shared" si="68"/>
        <v/>
      </c>
      <c r="AU571" s="61" t="str">
        <f>IFERROR(IF(AR571-AR570&lt;=0,"",AT571/SQRT(Таблица_pr7[[#This Row],[Удельное сопротивление грунта, Ом·м]])),AT571/SQRT(Таблица_pr7[[#This Row],[Удельное сопротивление грунта, Ом·м]]))</f>
        <v/>
      </c>
      <c r="AW571" s="51"/>
      <c r="AX571" s="52"/>
      <c r="AY571" s="50"/>
      <c r="AZ571" s="61" t="str">
        <f t="shared" si="73"/>
        <v/>
      </c>
      <c r="BA571" s="61" t="str">
        <f>IFERROR(IF(AX571-AX570&lt;=0,"",AZ571/SQRT(Таблица_pr8[[#This Row],[Удельное сопротивление грунта, Ом·м]])),AZ571/SQRT(Таблица_pr8[[#This Row],[Удельное сопротивление грунта, Ом·м]]))</f>
        <v/>
      </c>
      <c r="BC571" s="51"/>
      <c r="BD571" s="52"/>
      <c r="BE571" s="50"/>
      <c r="BF571" s="61" t="str">
        <f t="shared" si="69"/>
        <v/>
      </c>
      <c r="BG571" s="61" t="str">
        <f>IFERROR(IF(BD571-AX590&lt;=0,"",BF571/SQRT(Таблица_pr9[[#This Row],[Удельное сопротивление грунта, Ом·м]])),BF571/SQRT(Таблица_pr9[[#This Row],[Удельное сопротивление грунта, Ом·м]]))</f>
        <v/>
      </c>
      <c r="BI571" s="51"/>
      <c r="BJ571" s="52"/>
      <c r="BK571" s="50"/>
      <c r="BL571" s="61" t="str">
        <f t="shared" si="74"/>
        <v/>
      </c>
      <c r="BM571" s="61" t="str">
        <f>IFERROR(IF(BJ571-BD600&lt;=0,"",BL571/SQRT(Таблица_pr10[[#This Row],[Удельное сопротивление грунта, Ом·м]])),BL571/SQRT(Таблица_pr10[[#This Row],[Удельное сопротивление грунта, Ом·м]]))</f>
        <v/>
      </c>
    </row>
    <row r="572" spans="1:65">
      <c r="A572" s="53"/>
      <c r="B572" s="52"/>
      <c r="C572" s="50"/>
      <c r="D572" s="61" t="str">
        <f t="shared" si="64"/>
        <v/>
      </c>
      <c r="E572" s="61" t="str">
        <f>IFERROR(IF(B572-B571&lt;=0,"",D572/SQRT(Таблица_pr[[#This Row],[Удельное сопротивление грунта, Ом·м]])),D572/SQRT(Таблица_pr[[#This Row],[Удельное сопротивление грунта, Ом·м]]))</f>
        <v/>
      </c>
      <c r="G572" s="188"/>
      <c r="H572" s="184"/>
      <c r="I572" s="182"/>
      <c r="J572" s="181" t="str">
        <f t="shared" si="65"/>
        <v/>
      </c>
      <c r="K572" s="61" t="str">
        <f>IFERROR(IF(H572-H571&lt;=0,"",J572/SQRT(Таблица_pr1[[#This Row],[Удельное сопротивление грунта, Ом·м]])),J572/SQRT(Таблица_pr1[[#This Row],[Удельное сопротивление грунта, Ом·м]]))</f>
        <v/>
      </c>
      <c r="M572" s="53"/>
      <c r="N572" s="52"/>
      <c r="O572" s="50"/>
      <c r="P572" s="61" t="str">
        <f t="shared" si="70"/>
        <v/>
      </c>
      <c r="Q572" s="61" t="str">
        <f>IFERROR(IF(N572-N571&lt;=0,"",P572/SQRT(Таблица_pr2[[#This Row],[Удельное сопротивление грунта, Ом·м]])),P572/SQRT(Таблица_pr2[[#This Row],[Удельное сопротивление грунта, Ом·м]]))</f>
        <v/>
      </c>
      <c r="S572" s="53"/>
      <c r="T572" s="52"/>
      <c r="U572" s="50"/>
      <c r="V572" s="61" t="str">
        <f t="shared" si="66"/>
        <v/>
      </c>
      <c r="W572" s="61" t="str">
        <f>IFERROR(IF(T572-T571&lt;=0,"",V572/SQRT(Таблица_pr3[[#This Row],[Удельное сопротивление грунта, Ом·м]])),V572/SQRT(Таблица_pr3[[#This Row],[Удельное сопротивление грунта, Ом·м]]))</f>
        <v/>
      </c>
      <c r="Y572" s="53"/>
      <c r="Z572" s="52"/>
      <c r="AA572" s="50"/>
      <c r="AB572" s="61" t="str">
        <f t="shared" si="71"/>
        <v/>
      </c>
      <c r="AC572" s="61" t="str">
        <f>IFERROR(IF(Z572-Z571&lt;=0,"",AB572/SQRT(Таблица_pr4[[#This Row],[Удельное сопротивление грунта, Ом·м]])),AB572/SQRT(Таблица_pr4[[#This Row],[Удельное сопротивление грунта, Ом·м]]))</f>
        <v/>
      </c>
      <c r="AE572" s="53"/>
      <c r="AF572" s="52"/>
      <c r="AG572" s="50"/>
      <c r="AH572" s="61" t="str">
        <f t="shared" si="67"/>
        <v/>
      </c>
      <c r="AI572" s="61" t="str">
        <f>IFERROR(IF(AF572-AF571&lt;=0,"",AH572/SQRT(Таблица_pr5[[#This Row],[Удельное сопротивление грунта, Ом·м]])),AH572/SQRT(Таблица_pr5[[#This Row],[Удельное сопротивление грунта, Ом·м]]))</f>
        <v/>
      </c>
      <c r="AK572" s="53"/>
      <c r="AL572" s="52"/>
      <c r="AM572" s="50"/>
      <c r="AN572" s="61" t="str">
        <f t="shared" si="72"/>
        <v/>
      </c>
      <c r="AO572" s="61" t="str">
        <f>IFERROR(IF(AL572-AL571&lt;=0,"",AN572/SQRT(Таблица_pr6[[#This Row],[Удельное сопротивление грунта, Ом·м]])),AN572/SQRT(Таблица_pr6[[#This Row],[Удельное сопротивление грунта, Ом·м]]))</f>
        <v/>
      </c>
      <c r="AQ572" s="53"/>
      <c r="AR572" s="52"/>
      <c r="AS572" s="50"/>
      <c r="AT572" s="61" t="str">
        <f t="shared" si="68"/>
        <v/>
      </c>
      <c r="AU572" s="61" t="str">
        <f>IFERROR(IF(AR572-AR571&lt;=0,"",AT572/SQRT(Таблица_pr7[[#This Row],[Удельное сопротивление грунта, Ом·м]])),AT572/SQRT(Таблица_pr7[[#This Row],[Удельное сопротивление грунта, Ом·м]]))</f>
        <v/>
      </c>
      <c r="AW572" s="53"/>
      <c r="AX572" s="52"/>
      <c r="AY572" s="50"/>
      <c r="AZ572" s="61" t="str">
        <f t="shared" si="73"/>
        <v/>
      </c>
      <c r="BA572" s="61" t="str">
        <f>IFERROR(IF(AX572-AX571&lt;=0,"",AZ572/SQRT(Таблица_pr8[[#This Row],[Удельное сопротивление грунта, Ом·м]])),AZ572/SQRT(Таблица_pr8[[#This Row],[Удельное сопротивление грунта, Ом·м]]))</f>
        <v/>
      </c>
      <c r="BC572" s="53"/>
      <c r="BD572" s="52"/>
      <c r="BE572" s="50"/>
      <c r="BF572" s="61" t="str">
        <f t="shared" si="69"/>
        <v/>
      </c>
      <c r="BG572" s="61" t="str">
        <f>IFERROR(IF(BD572-AX591&lt;=0,"",BF572/SQRT(Таблица_pr9[[#This Row],[Удельное сопротивление грунта, Ом·м]])),BF572/SQRT(Таблица_pr9[[#This Row],[Удельное сопротивление грунта, Ом·м]]))</f>
        <v/>
      </c>
      <c r="BI572" s="53"/>
      <c r="BJ572" s="52"/>
      <c r="BK572" s="50"/>
      <c r="BL572" s="61" t="str">
        <f t="shared" si="74"/>
        <v/>
      </c>
      <c r="BM572" s="61" t="str">
        <f>IFERROR(IF(BJ572-BD601&lt;=0,"",BL572/SQRT(Таблица_pr10[[#This Row],[Удельное сопротивление грунта, Ом·м]])),BL572/SQRT(Таблица_pr10[[#This Row],[Удельное сопротивление грунта, Ом·м]]))</f>
        <v/>
      </c>
    </row>
    <row r="573" spans="1:65">
      <c r="A573" s="51"/>
      <c r="B573" s="52"/>
      <c r="C573" s="50"/>
      <c r="D573" s="61" t="str">
        <f t="shared" si="64"/>
        <v/>
      </c>
      <c r="E573" s="61" t="str">
        <f>IFERROR(IF(B573-B572&lt;=0,"",D573/SQRT(Таблица_pr[[#This Row],[Удельное сопротивление грунта, Ом·м]])),D573/SQRT(Таблица_pr[[#This Row],[Удельное сопротивление грунта, Ом·м]]))</f>
        <v/>
      </c>
      <c r="G573" s="189"/>
      <c r="H573" s="185"/>
      <c r="I573" s="183"/>
      <c r="J573" s="180" t="str">
        <f t="shared" si="65"/>
        <v/>
      </c>
      <c r="K573" s="61" t="str">
        <f>IFERROR(IF(H573-H572&lt;=0,"",J573/SQRT(Таблица_pr1[[#This Row],[Удельное сопротивление грунта, Ом·м]])),J573/SQRT(Таблица_pr1[[#This Row],[Удельное сопротивление грунта, Ом·м]]))</f>
        <v/>
      </c>
      <c r="M573" s="51"/>
      <c r="N573" s="52"/>
      <c r="O573" s="50"/>
      <c r="P573" s="61" t="str">
        <f t="shared" si="70"/>
        <v/>
      </c>
      <c r="Q573" s="61" t="str">
        <f>IFERROR(IF(N573-N572&lt;=0,"",P573/SQRT(Таблица_pr2[[#This Row],[Удельное сопротивление грунта, Ом·м]])),P573/SQRT(Таблица_pr2[[#This Row],[Удельное сопротивление грунта, Ом·м]]))</f>
        <v/>
      </c>
      <c r="S573" s="51"/>
      <c r="T573" s="52"/>
      <c r="U573" s="50"/>
      <c r="V573" s="61" t="str">
        <f t="shared" si="66"/>
        <v/>
      </c>
      <c r="W573" s="61" t="str">
        <f>IFERROR(IF(T573-T572&lt;=0,"",V573/SQRT(Таблица_pr3[[#This Row],[Удельное сопротивление грунта, Ом·м]])),V573/SQRT(Таблица_pr3[[#This Row],[Удельное сопротивление грунта, Ом·м]]))</f>
        <v/>
      </c>
      <c r="Y573" s="51"/>
      <c r="Z573" s="52"/>
      <c r="AA573" s="50"/>
      <c r="AB573" s="61" t="str">
        <f t="shared" si="71"/>
        <v/>
      </c>
      <c r="AC573" s="61" t="str">
        <f>IFERROR(IF(Z573-Z572&lt;=0,"",AB573/SQRT(Таблица_pr4[[#This Row],[Удельное сопротивление грунта, Ом·м]])),AB573/SQRT(Таблица_pr4[[#This Row],[Удельное сопротивление грунта, Ом·м]]))</f>
        <v/>
      </c>
      <c r="AE573" s="51"/>
      <c r="AF573" s="52"/>
      <c r="AG573" s="50"/>
      <c r="AH573" s="61" t="str">
        <f t="shared" si="67"/>
        <v/>
      </c>
      <c r="AI573" s="61" t="str">
        <f>IFERROR(IF(AF573-AF572&lt;=0,"",AH573/SQRT(Таблица_pr5[[#This Row],[Удельное сопротивление грунта, Ом·м]])),AH573/SQRT(Таблица_pr5[[#This Row],[Удельное сопротивление грунта, Ом·м]]))</f>
        <v/>
      </c>
      <c r="AK573" s="51"/>
      <c r="AL573" s="52"/>
      <c r="AM573" s="50"/>
      <c r="AN573" s="61" t="str">
        <f t="shared" si="72"/>
        <v/>
      </c>
      <c r="AO573" s="61" t="str">
        <f>IFERROR(IF(AL573-AL572&lt;=0,"",AN573/SQRT(Таблица_pr6[[#This Row],[Удельное сопротивление грунта, Ом·м]])),AN573/SQRT(Таблица_pr6[[#This Row],[Удельное сопротивление грунта, Ом·м]]))</f>
        <v/>
      </c>
      <c r="AQ573" s="51"/>
      <c r="AR573" s="52"/>
      <c r="AS573" s="50"/>
      <c r="AT573" s="61" t="str">
        <f t="shared" si="68"/>
        <v/>
      </c>
      <c r="AU573" s="61" t="str">
        <f>IFERROR(IF(AR573-AR572&lt;=0,"",AT573/SQRT(Таблица_pr7[[#This Row],[Удельное сопротивление грунта, Ом·м]])),AT573/SQRT(Таблица_pr7[[#This Row],[Удельное сопротивление грунта, Ом·м]]))</f>
        <v/>
      </c>
      <c r="AW573" s="51"/>
      <c r="AX573" s="52"/>
      <c r="AY573" s="50"/>
      <c r="AZ573" s="61" t="str">
        <f t="shared" si="73"/>
        <v/>
      </c>
      <c r="BA573" s="61" t="str">
        <f>IFERROR(IF(AX573-AX572&lt;=0,"",AZ573/SQRT(Таблица_pr8[[#This Row],[Удельное сопротивление грунта, Ом·м]])),AZ573/SQRT(Таблица_pr8[[#This Row],[Удельное сопротивление грунта, Ом·м]]))</f>
        <v/>
      </c>
      <c r="BC573" s="51"/>
      <c r="BD573" s="52"/>
      <c r="BE573" s="50"/>
      <c r="BF573" s="61" t="str">
        <f t="shared" si="69"/>
        <v/>
      </c>
      <c r="BG573" s="61" t="str">
        <f>IFERROR(IF(BD573-AX592&lt;=0,"",BF573/SQRT(Таблица_pr9[[#This Row],[Удельное сопротивление грунта, Ом·м]])),BF573/SQRT(Таблица_pr9[[#This Row],[Удельное сопротивление грунта, Ом·м]]))</f>
        <v/>
      </c>
      <c r="BI573" s="51"/>
      <c r="BJ573" s="52"/>
      <c r="BK573" s="50"/>
      <c r="BL573" s="61" t="str">
        <f t="shared" si="74"/>
        <v/>
      </c>
      <c r="BM573" s="61" t="str">
        <f>IFERROR(IF(BJ573-BD602&lt;=0,"",BL573/SQRT(Таблица_pr10[[#This Row],[Удельное сопротивление грунта, Ом·м]])),BL573/SQRT(Таблица_pr10[[#This Row],[Удельное сопротивление грунта, Ом·м]]))</f>
        <v/>
      </c>
    </row>
    <row r="574" spans="1:65">
      <c r="A574" s="53"/>
      <c r="B574" s="52"/>
      <c r="C574" s="50"/>
      <c r="D574" s="61" t="str">
        <f t="shared" si="64"/>
        <v/>
      </c>
      <c r="E574" s="61" t="str">
        <f>IFERROR(IF(B574-B573&lt;=0,"",D574/SQRT(Таблица_pr[[#This Row],[Удельное сопротивление грунта, Ом·м]])),D574/SQRT(Таблица_pr[[#This Row],[Удельное сопротивление грунта, Ом·м]]))</f>
        <v/>
      </c>
      <c r="G574" s="188"/>
      <c r="H574" s="184"/>
      <c r="I574" s="182"/>
      <c r="J574" s="181" t="str">
        <f t="shared" si="65"/>
        <v/>
      </c>
      <c r="K574" s="61" t="str">
        <f>IFERROR(IF(H574-H573&lt;=0,"",J574/SQRT(Таблица_pr1[[#This Row],[Удельное сопротивление грунта, Ом·м]])),J574/SQRT(Таблица_pr1[[#This Row],[Удельное сопротивление грунта, Ом·м]]))</f>
        <v/>
      </c>
      <c r="M574" s="53"/>
      <c r="N574" s="52"/>
      <c r="O574" s="50"/>
      <c r="P574" s="61" t="str">
        <f t="shared" si="70"/>
        <v/>
      </c>
      <c r="Q574" s="61" t="str">
        <f>IFERROR(IF(N574-N573&lt;=0,"",P574/SQRT(Таблица_pr2[[#This Row],[Удельное сопротивление грунта, Ом·м]])),P574/SQRT(Таблица_pr2[[#This Row],[Удельное сопротивление грунта, Ом·м]]))</f>
        <v/>
      </c>
      <c r="S574" s="53"/>
      <c r="T574" s="52"/>
      <c r="U574" s="50"/>
      <c r="V574" s="61" t="str">
        <f t="shared" si="66"/>
        <v/>
      </c>
      <c r="W574" s="61" t="str">
        <f>IFERROR(IF(T574-T573&lt;=0,"",V574/SQRT(Таблица_pr3[[#This Row],[Удельное сопротивление грунта, Ом·м]])),V574/SQRT(Таблица_pr3[[#This Row],[Удельное сопротивление грунта, Ом·м]]))</f>
        <v/>
      </c>
      <c r="Y574" s="53"/>
      <c r="Z574" s="52"/>
      <c r="AA574" s="50"/>
      <c r="AB574" s="61" t="str">
        <f t="shared" si="71"/>
        <v/>
      </c>
      <c r="AC574" s="61" t="str">
        <f>IFERROR(IF(Z574-Z573&lt;=0,"",AB574/SQRT(Таблица_pr4[[#This Row],[Удельное сопротивление грунта, Ом·м]])),AB574/SQRT(Таблица_pr4[[#This Row],[Удельное сопротивление грунта, Ом·м]]))</f>
        <v/>
      </c>
      <c r="AE574" s="53"/>
      <c r="AF574" s="52"/>
      <c r="AG574" s="50"/>
      <c r="AH574" s="61" t="str">
        <f t="shared" si="67"/>
        <v/>
      </c>
      <c r="AI574" s="61" t="str">
        <f>IFERROR(IF(AF574-AF573&lt;=0,"",AH574/SQRT(Таблица_pr5[[#This Row],[Удельное сопротивление грунта, Ом·м]])),AH574/SQRT(Таблица_pr5[[#This Row],[Удельное сопротивление грунта, Ом·м]]))</f>
        <v/>
      </c>
      <c r="AK574" s="53"/>
      <c r="AL574" s="52"/>
      <c r="AM574" s="50"/>
      <c r="AN574" s="61" t="str">
        <f t="shared" si="72"/>
        <v/>
      </c>
      <c r="AO574" s="61" t="str">
        <f>IFERROR(IF(AL574-AL573&lt;=0,"",AN574/SQRT(Таблица_pr6[[#This Row],[Удельное сопротивление грунта, Ом·м]])),AN574/SQRT(Таблица_pr6[[#This Row],[Удельное сопротивление грунта, Ом·м]]))</f>
        <v/>
      </c>
      <c r="AQ574" s="53"/>
      <c r="AR574" s="52"/>
      <c r="AS574" s="50"/>
      <c r="AT574" s="61" t="str">
        <f t="shared" si="68"/>
        <v/>
      </c>
      <c r="AU574" s="61" t="str">
        <f>IFERROR(IF(AR574-AR573&lt;=0,"",AT574/SQRT(Таблица_pr7[[#This Row],[Удельное сопротивление грунта, Ом·м]])),AT574/SQRT(Таблица_pr7[[#This Row],[Удельное сопротивление грунта, Ом·м]]))</f>
        <v/>
      </c>
      <c r="AW574" s="53"/>
      <c r="AX574" s="52"/>
      <c r="AY574" s="50"/>
      <c r="AZ574" s="61" t="str">
        <f t="shared" si="73"/>
        <v/>
      </c>
      <c r="BA574" s="61" t="str">
        <f>IFERROR(IF(AX574-AX573&lt;=0,"",AZ574/SQRT(Таблица_pr8[[#This Row],[Удельное сопротивление грунта, Ом·м]])),AZ574/SQRT(Таблица_pr8[[#This Row],[Удельное сопротивление грунта, Ом·м]]))</f>
        <v/>
      </c>
      <c r="BC574" s="53"/>
      <c r="BD574" s="52"/>
      <c r="BE574" s="50"/>
      <c r="BF574" s="61" t="str">
        <f t="shared" si="69"/>
        <v/>
      </c>
      <c r="BG574" s="61" t="str">
        <f>IFERROR(IF(BD574-AX593&lt;=0,"",BF574/SQRT(Таблица_pr9[[#This Row],[Удельное сопротивление грунта, Ом·м]])),BF574/SQRT(Таблица_pr9[[#This Row],[Удельное сопротивление грунта, Ом·м]]))</f>
        <v/>
      </c>
      <c r="BI574" s="53"/>
      <c r="BJ574" s="52"/>
      <c r="BK574" s="50"/>
      <c r="BL574" s="61" t="str">
        <f t="shared" si="74"/>
        <v/>
      </c>
      <c r="BM574" s="61" t="str">
        <f>IFERROR(IF(BJ574-BD603&lt;=0,"",BL574/SQRT(Таблица_pr10[[#This Row],[Удельное сопротивление грунта, Ом·м]])),BL574/SQRT(Таблица_pr10[[#This Row],[Удельное сопротивление грунта, Ом·м]]))</f>
        <v/>
      </c>
    </row>
    <row r="575" spans="1:65">
      <c r="A575" s="51"/>
      <c r="B575" s="52"/>
      <c r="C575" s="50"/>
      <c r="D575" s="61" t="str">
        <f t="shared" si="64"/>
        <v/>
      </c>
      <c r="E575" s="61" t="str">
        <f>IFERROR(IF(B575-B574&lt;=0,"",D575/SQRT(Таблица_pr[[#This Row],[Удельное сопротивление грунта, Ом·м]])),D575/SQRT(Таблица_pr[[#This Row],[Удельное сопротивление грунта, Ом·м]]))</f>
        <v/>
      </c>
      <c r="G575" s="189"/>
      <c r="H575" s="185"/>
      <c r="I575" s="183"/>
      <c r="J575" s="180" t="str">
        <f t="shared" si="65"/>
        <v/>
      </c>
      <c r="K575" s="61" t="str">
        <f>IFERROR(IF(H575-H574&lt;=0,"",J575/SQRT(Таблица_pr1[[#This Row],[Удельное сопротивление грунта, Ом·м]])),J575/SQRT(Таблица_pr1[[#This Row],[Удельное сопротивление грунта, Ом·м]]))</f>
        <v/>
      </c>
      <c r="M575" s="51"/>
      <c r="N575" s="52"/>
      <c r="O575" s="50"/>
      <c r="P575" s="61" t="str">
        <f t="shared" si="70"/>
        <v/>
      </c>
      <c r="Q575" s="61" t="str">
        <f>IFERROR(IF(N575-N574&lt;=0,"",P575/SQRT(Таблица_pr2[[#This Row],[Удельное сопротивление грунта, Ом·м]])),P575/SQRT(Таблица_pr2[[#This Row],[Удельное сопротивление грунта, Ом·м]]))</f>
        <v/>
      </c>
      <c r="S575" s="51"/>
      <c r="T575" s="52"/>
      <c r="U575" s="50"/>
      <c r="V575" s="61" t="str">
        <f t="shared" si="66"/>
        <v/>
      </c>
      <c r="W575" s="61" t="str">
        <f>IFERROR(IF(T575-T574&lt;=0,"",V575/SQRT(Таблица_pr3[[#This Row],[Удельное сопротивление грунта, Ом·м]])),V575/SQRT(Таблица_pr3[[#This Row],[Удельное сопротивление грунта, Ом·м]]))</f>
        <v/>
      </c>
      <c r="Y575" s="51"/>
      <c r="Z575" s="52"/>
      <c r="AA575" s="50"/>
      <c r="AB575" s="61" t="str">
        <f t="shared" si="71"/>
        <v/>
      </c>
      <c r="AC575" s="61" t="str">
        <f>IFERROR(IF(Z575-Z574&lt;=0,"",AB575/SQRT(Таблица_pr4[[#This Row],[Удельное сопротивление грунта, Ом·м]])),AB575/SQRT(Таблица_pr4[[#This Row],[Удельное сопротивление грунта, Ом·м]]))</f>
        <v/>
      </c>
      <c r="AE575" s="51"/>
      <c r="AF575" s="52"/>
      <c r="AG575" s="50"/>
      <c r="AH575" s="61" t="str">
        <f t="shared" si="67"/>
        <v/>
      </c>
      <c r="AI575" s="61" t="str">
        <f>IFERROR(IF(AF575-AF574&lt;=0,"",AH575/SQRT(Таблица_pr5[[#This Row],[Удельное сопротивление грунта, Ом·м]])),AH575/SQRT(Таблица_pr5[[#This Row],[Удельное сопротивление грунта, Ом·м]]))</f>
        <v/>
      </c>
      <c r="AK575" s="51"/>
      <c r="AL575" s="52"/>
      <c r="AM575" s="50"/>
      <c r="AN575" s="61" t="str">
        <f t="shared" si="72"/>
        <v/>
      </c>
      <c r="AO575" s="61" t="str">
        <f>IFERROR(IF(AL575-AL574&lt;=0,"",AN575/SQRT(Таблица_pr6[[#This Row],[Удельное сопротивление грунта, Ом·м]])),AN575/SQRT(Таблица_pr6[[#This Row],[Удельное сопротивление грунта, Ом·м]]))</f>
        <v/>
      </c>
      <c r="AQ575" s="51"/>
      <c r="AR575" s="52"/>
      <c r="AS575" s="50"/>
      <c r="AT575" s="61" t="str">
        <f t="shared" si="68"/>
        <v/>
      </c>
      <c r="AU575" s="61" t="str">
        <f>IFERROR(IF(AR575-AR574&lt;=0,"",AT575/SQRT(Таблица_pr7[[#This Row],[Удельное сопротивление грунта, Ом·м]])),AT575/SQRT(Таблица_pr7[[#This Row],[Удельное сопротивление грунта, Ом·м]]))</f>
        <v/>
      </c>
      <c r="AW575" s="51"/>
      <c r="AX575" s="52"/>
      <c r="AY575" s="50"/>
      <c r="AZ575" s="61" t="str">
        <f t="shared" si="73"/>
        <v/>
      </c>
      <c r="BA575" s="61" t="str">
        <f>IFERROR(IF(AX575-AX574&lt;=0,"",AZ575/SQRT(Таблица_pr8[[#This Row],[Удельное сопротивление грунта, Ом·м]])),AZ575/SQRT(Таблица_pr8[[#This Row],[Удельное сопротивление грунта, Ом·м]]))</f>
        <v/>
      </c>
      <c r="BC575" s="51"/>
      <c r="BD575" s="52"/>
      <c r="BE575" s="50"/>
      <c r="BF575" s="61" t="str">
        <f t="shared" si="69"/>
        <v/>
      </c>
      <c r="BG575" s="61" t="str">
        <f>IFERROR(IF(BD575-AX594&lt;=0,"",BF575/SQRT(Таблица_pr9[[#This Row],[Удельное сопротивление грунта, Ом·м]])),BF575/SQRT(Таблица_pr9[[#This Row],[Удельное сопротивление грунта, Ом·м]]))</f>
        <v/>
      </c>
      <c r="BI575" s="51"/>
      <c r="BJ575" s="52"/>
      <c r="BK575" s="50"/>
      <c r="BL575" s="61" t="str">
        <f t="shared" si="74"/>
        <v/>
      </c>
      <c r="BM575" s="61" t="str">
        <f>IFERROR(IF(BJ575-BD604&lt;=0,"",BL575/SQRT(Таблица_pr10[[#This Row],[Удельное сопротивление грунта, Ом·м]])),BL575/SQRT(Таблица_pr10[[#This Row],[Удельное сопротивление грунта, Ом·м]]))</f>
        <v/>
      </c>
    </row>
    <row r="576" spans="1:65">
      <c r="A576" s="53"/>
      <c r="B576" s="52"/>
      <c r="C576" s="50"/>
      <c r="D576" s="61" t="str">
        <f t="shared" ref="D576:D639" si="75">IFERROR(IF(B576-B575&lt;=0,"",(B576-B575)*1000),100)</f>
        <v/>
      </c>
      <c r="E576" s="61" t="str">
        <f>IFERROR(IF(B576-B575&lt;=0,"",D576/SQRT(Таблица_pr[[#This Row],[Удельное сопротивление грунта, Ом·м]])),D576/SQRT(Таблица_pr[[#This Row],[Удельное сопротивление грунта, Ом·м]]))</f>
        <v/>
      </c>
      <c r="G576" s="188"/>
      <c r="H576" s="184"/>
      <c r="I576" s="182"/>
      <c r="J576" s="181" t="str">
        <f t="shared" ref="J576:J639" si="76">IFERROR(IF(H576-H575&lt;=0,"",(H576-H575)*1000),100)</f>
        <v/>
      </c>
      <c r="K576" s="61" t="str">
        <f>IFERROR(IF(H576-H575&lt;=0,"",J576/SQRT(Таблица_pr1[[#This Row],[Удельное сопротивление грунта, Ом·м]])),J576/SQRT(Таблица_pr1[[#This Row],[Удельное сопротивление грунта, Ом·м]]))</f>
        <v/>
      </c>
      <c r="M576" s="53"/>
      <c r="N576" s="52"/>
      <c r="O576" s="50"/>
      <c r="P576" s="61" t="str">
        <f t="shared" si="70"/>
        <v/>
      </c>
      <c r="Q576" s="61" t="str">
        <f>IFERROR(IF(N576-N575&lt;=0,"",P576/SQRT(Таблица_pr2[[#This Row],[Удельное сопротивление грунта, Ом·м]])),P576/SQRT(Таблица_pr2[[#This Row],[Удельное сопротивление грунта, Ом·м]]))</f>
        <v/>
      </c>
      <c r="S576" s="53"/>
      <c r="T576" s="52"/>
      <c r="U576" s="50"/>
      <c r="V576" s="61" t="str">
        <f t="shared" ref="V576:V639" si="77">IFERROR(IF(T576-T575&lt;=0,"",(T576-T575)*1000),100)</f>
        <v/>
      </c>
      <c r="W576" s="61" t="str">
        <f>IFERROR(IF(T576-T575&lt;=0,"",V576/SQRT(Таблица_pr3[[#This Row],[Удельное сопротивление грунта, Ом·м]])),V576/SQRT(Таблица_pr3[[#This Row],[Удельное сопротивление грунта, Ом·м]]))</f>
        <v/>
      </c>
      <c r="Y576" s="53"/>
      <c r="Z576" s="52"/>
      <c r="AA576" s="50"/>
      <c r="AB576" s="61" t="str">
        <f t="shared" si="71"/>
        <v/>
      </c>
      <c r="AC576" s="61" t="str">
        <f>IFERROR(IF(Z576-Z575&lt;=0,"",AB576/SQRT(Таблица_pr4[[#This Row],[Удельное сопротивление грунта, Ом·м]])),AB576/SQRT(Таблица_pr4[[#This Row],[Удельное сопротивление грунта, Ом·м]]))</f>
        <v/>
      </c>
      <c r="AE576" s="53"/>
      <c r="AF576" s="52"/>
      <c r="AG576" s="50"/>
      <c r="AH576" s="61" t="str">
        <f t="shared" ref="AH576:AH639" si="78">IFERROR(IF(AF576-AF575&lt;=0,"",(AF576-AF575)*1000),100)</f>
        <v/>
      </c>
      <c r="AI576" s="61" t="str">
        <f>IFERROR(IF(AF576-AF575&lt;=0,"",AH576/SQRT(Таблица_pr5[[#This Row],[Удельное сопротивление грунта, Ом·м]])),AH576/SQRT(Таблица_pr5[[#This Row],[Удельное сопротивление грунта, Ом·м]]))</f>
        <v/>
      </c>
      <c r="AK576" s="53"/>
      <c r="AL576" s="52"/>
      <c r="AM576" s="50"/>
      <c r="AN576" s="61" t="str">
        <f t="shared" si="72"/>
        <v/>
      </c>
      <c r="AO576" s="61" t="str">
        <f>IFERROR(IF(AL576-AL575&lt;=0,"",AN576/SQRT(Таблица_pr6[[#This Row],[Удельное сопротивление грунта, Ом·м]])),AN576/SQRT(Таблица_pr6[[#This Row],[Удельное сопротивление грунта, Ом·м]]))</f>
        <v/>
      </c>
      <c r="AQ576" s="53"/>
      <c r="AR576" s="52"/>
      <c r="AS576" s="50"/>
      <c r="AT576" s="61" t="str">
        <f t="shared" ref="AT576:AT639" si="79">IFERROR(IF(AR576-AR575&lt;=0,"",(AR576-AR575)*1000),100)</f>
        <v/>
      </c>
      <c r="AU576" s="61" t="str">
        <f>IFERROR(IF(AR576-AR575&lt;=0,"",AT576/SQRT(Таблица_pr7[[#This Row],[Удельное сопротивление грунта, Ом·м]])),AT576/SQRT(Таблица_pr7[[#This Row],[Удельное сопротивление грунта, Ом·м]]))</f>
        <v/>
      </c>
      <c r="AW576" s="53"/>
      <c r="AX576" s="52"/>
      <c r="AY576" s="50"/>
      <c r="AZ576" s="61" t="str">
        <f t="shared" si="73"/>
        <v/>
      </c>
      <c r="BA576" s="61" t="str">
        <f>IFERROR(IF(AX576-AX575&lt;=0,"",AZ576/SQRT(Таблица_pr8[[#This Row],[Удельное сопротивление грунта, Ом·м]])),AZ576/SQRT(Таблица_pr8[[#This Row],[Удельное сопротивление грунта, Ом·м]]))</f>
        <v/>
      </c>
      <c r="BC576" s="53"/>
      <c r="BD576" s="52"/>
      <c r="BE576" s="50"/>
      <c r="BF576" s="61" t="str">
        <f t="shared" ref="BF576:BF639" si="80">IFERROR(IF(BD576-BD575&lt;=0,"",(BD576-BD575)*1000),100)</f>
        <v/>
      </c>
      <c r="BG576" s="61" t="str">
        <f>IFERROR(IF(BD576-AX595&lt;=0,"",BF576/SQRT(Таблица_pr9[[#This Row],[Удельное сопротивление грунта, Ом·м]])),BF576/SQRT(Таблица_pr9[[#This Row],[Удельное сопротивление грунта, Ом·м]]))</f>
        <v/>
      </c>
      <c r="BI576" s="53"/>
      <c r="BJ576" s="52"/>
      <c r="BK576" s="50"/>
      <c r="BL576" s="61" t="str">
        <f t="shared" si="74"/>
        <v/>
      </c>
      <c r="BM576" s="61" t="str">
        <f>IFERROR(IF(BJ576-BD605&lt;=0,"",BL576/SQRT(Таблица_pr10[[#This Row],[Удельное сопротивление грунта, Ом·м]])),BL576/SQRT(Таблица_pr10[[#This Row],[Удельное сопротивление грунта, Ом·м]]))</f>
        <v/>
      </c>
    </row>
    <row r="577" spans="1:65">
      <c r="A577" s="51"/>
      <c r="B577" s="52"/>
      <c r="C577" s="50"/>
      <c r="D577" s="61" t="str">
        <f t="shared" si="75"/>
        <v/>
      </c>
      <c r="E577" s="61" t="str">
        <f>IFERROR(IF(B577-B576&lt;=0,"",D577/SQRT(Таблица_pr[[#This Row],[Удельное сопротивление грунта, Ом·м]])),D577/SQRT(Таблица_pr[[#This Row],[Удельное сопротивление грунта, Ом·м]]))</f>
        <v/>
      </c>
      <c r="G577" s="189"/>
      <c r="H577" s="185"/>
      <c r="I577" s="183"/>
      <c r="J577" s="180" t="str">
        <f t="shared" si="76"/>
        <v/>
      </c>
      <c r="K577" s="61" t="str">
        <f>IFERROR(IF(H577-H576&lt;=0,"",J577/SQRT(Таблица_pr1[[#This Row],[Удельное сопротивление грунта, Ом·м]])),J577/SQRT(Таблица_pr1[[#This Row],[Удельное сопротивление грунта, Ом·м]]))</f>
        <v/>
      </c>
      <c r="M577" s="51"/>
      <c r="N577" s="52"/>
      <c r="O577" s="50"/>
      <c r="P577" s="61" t="str">
        <f t="shared" si="70"/>
        <v/>
      </c>
      <c r="Q577" s="61" t="str">
        <f>IFERROR(IF(N577-N576&lt;=0,"",P577/SQRT(Таблица_pr2[[#This Row],[Удельное сопротивление грунта, Ом·м]])),P577/SQRT(Таблица_pr2[[#This Row],[Удельное сопротивление грунта, Ом·м]]))</f>
        <v/>
      </c>
      <c r="S577" s="51"/>
      <c r="T577" s="52"/>
      <c r="U577" s="50"/>
      <c r="V577" s="61" t="str">
        <f t="shared" si="77"/>
        <v/>
      </c>
      <c r="W577" s="61" t="str">
        <f>IFERROR(IF(T577-T576&lt;=0,"",V577/SQRT(Таблица_pr3[[#This Row],[Удельное сопротивление грунта, Ом·м]])),V577/SQRT(Таблица_pr3[[#This Row],[Удельное сопротивление грунта, Ом·м]]))</f>
        <v/>
      </c>
      <c r="Y577" s="51"/>
      <c r="Z577" s="52"/>
      <c r="AA577" s="50"/>
      <c r="AB577" s="61" t="str">
        <f t="shared" si="71"/>
        <v/>
      </c>
      <c r="AC577" s="61" t="str">
        <f>IFERROR(IF(Z577-Z576&lt;=0,"",AB577/SQRT(Таблица_pr4[[#This Row],[Удельное сопротивление грунта, Ом·м]])),AB577/SQRT(Таблица_pr4[[#This Row],[Удельное сопротивление грунта, Ом·м]]))</f>
        <v/>
      </c>
      <c r="AE577" s="51"/>
      <c r="AF577" s="52"/>
      <c r="AG577" s="50"/>
      <c r="AH577" s="61" t="str">
        <f t="shared" si="78"/>
        <v/>
      </c>
      <c r="AI577" s="61" t="str">
        <f>IFERROR(IF(AF577-AF576&lt;=0,"",AH577/SQRT(Таблица_pr5[[#This Row],[Удельное сопротивление грунта, Ом·м]])),AH577/SQRT(Таблица_pr5[[#This Row],[Удельное сопротивление грунта, Ом·м]]))</f>
        <v/>
      </c>
      <c r="AK577" s="51"/>
      <c r="AL577" s="52"/>
      <c r="AM577" s="50"/>
      <c r="AN577" s="61" t="str">
        <f t="shared" si="72"/>
        <v/>
      </c>
      <c r="AO577" s="61" t="str">
        <f>IFERROR(IF(AL577-AL576&lt;=0,"",AN577/SQRT(Таблица_pr6[[#This Row],[Удельное сопротивление грунта, Ом·м]])),AN577/SQRT(Таблица_pr6[[#This Row],[Удельное сопротивление грунта, Ом·м]]))</f>
        <v/>
      </c>
      <c r="AQ577" s="51"/>
      <c r="AR577" s="52"/>
      <c r="AS577" s="50"/>
      <c r="AT577" s="61" t="str">
        <f t="shared" si="79"/>
        <v/>
      </c>
      <c r="AU577" s="61" t="str">
        <f>IFERROR(IF(AR577-AR576&lt;=0,"",AT577/SQRT(Таблица_pr7[[#This Row],[Удельное сопротивление грунта, Ом·м]])),AT577/SQRT(Таблица_pr7[[#This Row],[Удельное сопротивление грунта, Ом·м]]))</f>
        <v/>
      </c>
      <c r="AW577" s="51"/>
      <c r="AX577" s="52"/>
      <c r="AY577" s="50"/>
      <c r="AZ577" s="61" t="str">
        <f t="shared" si="73"/>
        <v/>
      </c>
      <c r="BA577" s="61" t="str">
        <f>IFERROR(IF(AX577-AX576&lt;=0,"",AZ577/SQRT(Таблица_pr8[[#This Row],[Удельное сопротивление грунта, Ом·м]])),AZ577/SQRT(Таблица_pr8[[#This Row],[Удельное сопротивление грунта, Ом·м]]))</f>
        <v/>
      </c>
      <c r="BC577" s="51"/>
      <c r="BD577" s="52"/>
      <c r="BE577" s="50"/>
      <c r="BF577" s="61" t="str">
        <f t="shared" si="80"/>
        <v/>
      </c>
      <c r="BG577" s="61" t="str">
        <f>IFERROR(IF(BD577-AX596&lt;=0,"",BF577/SQRT(Таблица_pr9[[#This Row],[Удельное сопротивление грунта, Ом·м]])),BF577/SQRT(Таблица_pr9[[#This Row],[Удельное сопротивление грунта, Ом·м]]))</f>
        <v/>
      </c>
      <c r="BI577" s="51"/>
      <c r="BJ577" s="52"/>
      <c r="BK577" s="50"/>
      <c r="BL577" s="61" t="str">
        <f t="shared" si="74"/>
        <v/>
      </c>
      <c r="BM577" s="61" t="str">
        <f>IFERROR(IF(BJ577-BD606&lt;=0,"",BL577/SQRT(Таблица_pr10[[#This Row],[Удельное сопротивление грунта, Ом·м]])),BL577/SQRT(Таблица_pr10[[#This Row],[Удельное сопротивление грунта, Ом·м]]))</f>
        <v/>
      </c>
    </row>
    <row r="578" spans="1:65">
      <c r="A578" s="53"/>
      <c r="B578" s="52"/>
      <c r="C578" s="50"/>
      <c r="D578" s="61" t="str">
        <f t="shared" si="75"/>
        <v/>
      </c>
      <c r="E578" s="61" t="str">
        <f>IFERROR(IF(B578-B577&lt;=0,"",D578/SQRT(Таблица_pr[[#This Row],[Удельное сопротивление грунта, Ом·м]])),D578/SQRT(Таблица_pr[[#This Row],[Удельное сопротивление грунта, Ом·м]]))</f>
        <v/>
      </c>
      <c r="G578" s="188"/>
      <c r="H578" s="184"/>
      <c r="I578" s="182"/>
      <c r="J578" s="181" t="str">
        <f t="shared" si="76"/>
        <v/>
      </c>
      <c r="K578" s="61" t="str">
        <f>IFERROR(IF(H578-H577&lt;=0,"",J578/SQRT(Таблица_pr1[[#This Row],[Удельное сопротивление грунта, Ом·м]])),J578/SQRT(Таблица_pr1[[#This Row],[Удельное сопротивление грунта, Ом·м]]))</f>
        <v/>
      </c>
      <c r="M578" s="53"/>
      <c r="N578" s="52"/>
      <c r="O578" s="50"/>
      <c r="P578" s="61" t="str">
        <f t="shared" si="70"/>
        <v/>
      </c>
      <c r="Q578" s="61" t="str">
        <f>IFERROR(IF(N578-N577&lt;=0,"",P578/SQRT(Таблица_pr2[[#This Row],[Удельное сопротивление грунта, Ом·м]])),P578/SQRT(Таблица_pr2[[#This Row],[Удельное сопротивление грунта, Ом·м]]))</f>
        <v/>
      </c>
      <c r="S578" s="53"/>
      <c r="T578" s="52"/>
      <c r="U578" s="50"/>
      <c r="V578" s="61" t="str">
        <f t="shared" si="77"/>
        <v/>
      </c>
      <c r="W578" s="61" t="str">
        <f>IFERROR(IF(T578-T577&lt;=0,"",V578/SQRT(Таблица_pr3[[#This Row],[Удельное сопротивление грунта, Ом·м]])),V578/SQRT(Таблица_pr3[[#This Row],[Удельное сопротивление грунта, Ом·м]]))</f>
        <v/>
      </c>
      <c r="Y578" s="53"/>
      <c r="Z578" s="52"/>
      <c r="AA578" s="50"/>
      <c r="AB578" s="61" t="str">
        <f t="shared" si="71"/>
        <v/>
      </c>
      <c r="AC578" s="61" t="str">
        <f>IFERROR(IF(Z578-Z577&lt;=0,"",AB578/SQRT(Таблица_pr4[[#This Row],[Удельное сопротивление грунта, Ом·м]])),AB578/SQRT(Таблица_pr4[[#This Row],[Удельное сопротивление грунта, Ом·м]]))</f>
        <v/>
      </c>
      <c r="AE578" s="53"/>
      <c r="AF578" s="52"/>
      <c r="AG578" s="50"/>
      <c r="AH578" s="61" t="str">
        <f t="shared" si="78"/>
        <v/>
      </c>
      <c r="AI578" s="61" t="str">
        <f>IFERROR(IF(AF578-AF577&lt;=0,"",AH578/SQRT(Таблица_pr5[[#This Row],[Удельное сопротивление грунта, Ом·м]])),AH578/SQRT(Таблица_pr5[[#This Row],[Удельное сопротивление грунта, Ом·м]]))</f>
        <v/>
      </c>
      <c r="AK578" s="53"/>
      <c r="AL578" s="52"/>
      <c r="AM578" s="50"/>
      <c r="AN578" s="61" t="str">
        <f t="shared" si="72"/>
        <v/>
      </c>
      <c r="AO578" s="61" t="str">
        <f>IFERROR(IF(AL578-AL577&lt;=0,"",AN578/SQRT(Таблица_pr6[[#This Row],[Удельное сопротивление грунта, Ом·м]])),AN578/SQRT(Таблица_pr6[[#This Row],[Удельное сопротивление грунта, Ом·м]]))</f>
        <v/>
      </c>
      <c r="AQ578" s="53"/>
      <c r="AR578" s="52"/>
      <c r="AS578" s="50"/>
      <c r="AT578" s="61" t="str">
        <f t="shared" si="79"/>
        <v/>
      </c>
      <c r="AU578" s="61" t="str">
        <f>IFERROR(IF(AR578-AR577&lt;=0,"",AT578/SQRT(Таблица_pr7[[#This Row],[Удельное сопротивление грунта, Ом·м]])),AT578/SQRT(Таблица_pr7[[#This Row],[Удельное сопротивление грунта, Ом·м]]))</f>
        <v/>
      </c>
      <c r="AW578" s="53"/>
      <c r="AX578" s="52"/>
      <c r="AY578" s="50"/>
      <c r="AZ578" s="61" t="str">
        <f t="shared" si="73"/>
        <v/>
      </c>
      <c r="BA578" s="61" t="str">
        <f>IFERROR(IF(AX578-AX577&lt;=0,"",AZ578/SQRT(Таблица_pr8[[#This Row],[Удельное сопротивление грунта, Ом·м]])),AZ578/SQRT(Таблица_pr8[[#This Row],[Удельное сопротивление грунта, Ом·м]]))</f>
        <v/>
      </c>
      <c r="BC578" s="53"/>
      <c r="BD578" s="52"/>
      <c r="BE578" s="50"/>
      <c r="BF578" s="61" t="str">
        <f t="shared" si="80"/>
        <v/>
      </c>
      <c r="BG578" s="61" t="str">
        <f>IFERROR(IF(BD578-AX597&lt;=0,"",BF578/SQRT(Таблица_pr9[[#This Row],[Удельное сопротивление грунта, Ом·м]])),BF578/SQRT(Таблица_pr9[[#This Row],[Удельное сопротивление грунта, Ом·м]]))</f>
        <v/>
      </c>
      <c r="BI578" s="53"/>
      <c r="BJ578" s="52"/>
      <c r="BK578" s="50"/>
      <c r="BL578" s="61" t="str">
        <f t="shared" si="74"/>
        <v/>
      </c>
      <c r="BM578" s="61" t="str">
        <f>IFERROR(IF(BJ578-BD607&lt;=0,"",BL578/SQRT(Таблица_pr10[[#This Row],[Удельное сопротивление грунта, Ом·м]])),BL578/SQRT(Таблица_pr10[[#This Row],[Удельное сопротивление грунта, Ом·м]]))</f>
        <v/>
      </c>
    </row>
    <row r="579" spans="1:65">
      <c r="A579" s="51"/>
      <c r="B579" s="52"/>
      <c r="C579" s="50"/>
      <c r="D579" s="61" t="str">
        <f t="shared" si="75"/>
        <v/>
      </c>
      <c r="E579" s="61" t="str">
        <f>IFERROR(IF(B579-B578&lt;=0,"",D579/SQRT(Таблица_pr[[#This Row],[Удельное сопротивление грунта, Ом·м]])),D579/SQRT(Таблица_pr[[#This Row],[Удельное сопротивление грунта, Ом·м]]))</f>
        <v/>
      </c>
      <c r="G579" s="189"/>
      <c r="H579" s="185"/>
      <c r="I579" s="183"/>
      <c r="J579" s="180" t="str">
        <f t="shared" si="76"/>
        <v/>
      </c>
      <c r="K579" s="61" t="str">
        <f>IFERROR(IF(H579-H578&lt;=0,"",J579/SQRT(Таблица_pr1[[#This Row],[Удельное сопротивление грунта, Ом·м]])),J579/SQRT(Таблица_pr1[[#This Row],[Удельное сопротивление грунта, Ом·м]]))</f>
        <v/>
      </c>
      <c r="M579" s="51"/>
      <c r="N579" s="52"/>
      <c r="O579" s="50"/>
      <c r="P579" s="61" t="str">
        <f t="shared" si="70"/>
        <v/>
      </c>
      <c r="Q579" s="61" t="str">
        <f>IFERROR(IF(N579-N578&lt;=0,"",P579/SQRT(Таблица_pr2[[#This Row],[Удельное сопротивление грунта, Ом·м]])),P579/SQRT(Таблица_pr2[[#This Row],[Удельное сопротивление грунта, Ом·м]]))</f>
        <v/>
      </c>
      <c r="S579" s="51"/>
      <c r="T579" s="52"/>
      <c r="U579" s="50"/>
      <c r="V579" s="61" t="str">
        <f t="shared" si="77"/>
        <v/>
      </c>
      <c r="W579" s="61" t="str">
        <f>IFERROR(IF(T579-T578&lt;=0,"",V579/SQRT(Таблица_pr3[[#This Row],[Удельное сопротивление грунта, Ом·м]])),V579/SQRT(Таблица_pr3[[#This Row],[Удельное сопротивление грунта, Ом·м]]))</f>
        <v/>
      </c>
      <c r="Y579" s="51"/>
      <c r="Z579" s="52"/>
      <c r="AA579" s="50"/>
      <c r="AB579" s="61" t="str">
        <f t="shared" si="71"/>
        <v/>
      </c>
      <c r="AC579" s="61" t="str">
        <f>IFERROR(IF(Z579-Z578&lt;=0,"",AB579/SQRT(Таблица_pr4[[#This Row],[Удельное сопротивление грунта, Ом·м]])),AB579/SQRT(Таблица_pr4[[#This Row],[Удельное сопротивление грунта, Ом·м]]))</f>
        <v/>
      </c>
      <c r="AE579" s="51"/>
      <c r="AF579" s="52"/>
      <c r="AG579" s="50"/>
      <c r="AH579" s="61" t="str">
        <f t="shared" si="78"/>
        <v/>
      </c>
      <c r="AI579" s="61" t="str">
        <f>IFERROR(IF(AF579-AF578&lt;=0,"",AH579/SQRT(Таблица_pr5[[#This Row],[Удельное сопротивление грунта, Ом·м]])),AH579/SQRT(Таблица_pr5[[#This Row],[Удельное сопротивление грунта, Ом·м]]))</f>
        <v/>
      </c>
      <c r="AK579" s="51"/>
      <c r="AL579" s="52"/>
      <c r="AM579" s="50"/>
      <c r="AN579" s="61" t="str">
        <f t="shared" si="72"/>
        <v/>
      </c>
      <c r="AO579" s="61" t="str">
        <f>IFERROR(IF(AL579-AL578&lt;=0,"",AN579/SQRT(Таблица_pr6[[#This Row],[Удельное сопротивление грунта, Ом·м]])),AN579/SQRT(Таблица_pr6[[#This Row],[Удельное сопротивление грунта, Ом·м]]))</f>
        <v/>
      </c>
      <c r="AQ579" s="51"/>
      <c r="AR579" s="52"/>
      <c r="AS579" s="50"/>
      <c r="AT579" s="61" t="str">
        <f t="shared" si="79"/>
        <v/>
      </c>
      <c r="AU579" s="61" t="str">
        <f>IFERROR(IF(AR579-AR578&lt;=0,"",AT579/SQRT(Таблица_pr7[[#This Row],[Удельное сопротивление грунта, Ом·м]])),AT579/SQRT(Таблица_pr7[[#This Row],[Удельное сопротивление грунта, Ом·м]]))</f>
        <v/>
      </c>
      <c r="AW579" s="51"/>
      <c r="AX579" s="52"/>
      <c r="AY579" s="50"/>
      <c r="AZ579" s="61" t="str">
        <f t="shared" si="73"/>
        <v/>
      </c>
      <c r="BA579" s="61" t="str">
        <f>IFERROR(IF(AX579-AX578&lt;=0,"",AZ579/SQRT(Таблица_pr8[[#This Row],[Удельное сопротивление грунта, Ом·м]])),AZ579/SQRT(Таблица_pr8[[#This Row],[Удельное сопротивление грунта, Ом·м]]))</f>
        <v/>
      </c>
      <c r="BC579" s="51"/>
      <c r="BD579" s="52"/>
      <c r="BE579" s="50"/>
      <c r="BF579" s="61" t="str">
        <f t="shared" si="80"/>
        <v/>
      </c>
      <c r="BG579" s="61" t="str">
        <f>IFERROR(IF(BD579-AX598&lt;=0,"",BF579/SQRT(Таблица_pr9[[#This Row],[Удельное сопротивление грунта, Ом·м]])),BF579/SQRT(Таблица_pr9[[#This Row],[Удельное сопротивление грунта, Ом·м]]))</f>
        <v/>
      </c>
      <c r="BI579" s="51"/>
      <c r="BJ579" s="52"/>
      <c r="BK579" s="50"/>
      <c r="BL579" s="61" t="str">
        <f t="shared" si="74"/>
        <v/>
      </c>
      <c r="BM579" s="61" t="str">
        <f>IFERROR(IF(BJ579-BD608&lt;=0,"",BL579/SQRT(Таблица_pr10[[#This Row],[Удельное сопротивление грунта, Ом·м]])),BL579/SQRT(Таблица_pr10[[#This Row],[Удельное сопротивление грунта, Ом·м]]))</f>
        <v/>
      </c>
    </row>
    <row r="580" spans="1:65">
      <c r="A580" s="53"/>
      <c r="B580" s="52"/>
      <c r="C580" s="50"/>
      <c r="D580" s="61" t="str">
        <f t="shared" si="75"/>
        <v/>
      </c>
      <c r="E580" s="61" t="str">
        <f>IFERROR(IF(B580-B579&lt;=0,"",D580/SQRT(Таблица_pr[[#This Row],[Удельное сопротивление грунта, Ом·м]])),D580/SQRT(Таблица_pr[[#This Row],[Удельное сопротивление грунта, Ом·м]]))</f>
        <v/>
      </c>
      <c r="G580" s="188"/>
      <c r="H580" s="184"/>
      <c r="I580" s="182"/>
      <c r="J580" s="181" t="str">
        <f t="shared" si="76"/>
        <v/>
      </c>
      <c r="K580" s="61" t="str">
        <f>IFERROR(IF(H580-H579&lt;=0,"",J580/SQRT(Таблица_pr1[[#This Row],[Удельное сопротивление грунта, Ом·м]])),J580/SQRT(Таблица_pr1[[#This Row],[Удельное сопротивление грунта, Ом·м]]))</f>
        <v/>
      </c>
      <c r="M580" s="53"/>
      <c r="N580" s="52"/>
      <c r="O580" s="50"/>
      <c r="P580" s="61" t="str">
        <f t="shared" si="70"/>
        <v/>
      </c>
      <c r="Q580" s="61" t="str">
        <f>IFERROR(IF(N580-N579&lt;=0,"",P580/SQRT(Таблица_pr2[[#This Row],[Удельное сопротивление грунта, Ом·м]])),P580/SQRT(Таблица_pr2[[#This Row],[Удельное сопротивление грунта, Ом·м]]))</f>
        <v/>
      </c>
      <c r="S580" s="53"/>
      <c r="T580" s="52"/>
      <c r="U580" s="50"/>
      <c r="V580" s="61" t="str">
        <f t="shared" si="77"/>
        <v/>
      </c>
      <c r="W580" s="61" t="str">
        <f>IFERROR(IF(T580-T579&lt;=0,"",V580/SQRT(Таблица_pr3[[#This Row],[Удельное сопротивление грунта, Ом·м]])),V580/SQRT(Таблица_pr3[[#This Row],[Удельное сопротивление грунта, Ом·м]]))</f>
        <v/>
      </c>
      <c r="Y580" s="53"/>
      <c r="Z580" s="52"/>
      <c r="AA580" s="50"/>
      <c r="AB580" s="61" t="str">
        <f t="shared" si="71"/>
        <v/>
      </c>
      <c r="AC580" s="61" t="str">
        <f>IFERROR(IF(Z580-Z579&lt;=0,"",AB580/SQRT(Таблица_pr4[[#This Row],[Удельное сопротивление грунта, Ом·м]])),AB580/SQRT(Таблица_pr4[[#This Row],[Удельное сопротивление грунта, Ом·м]]))</f>
        <v/>
      </c>
      <c r="AE580" s="53"/>
      <c r="AF580" s="52"/>
      <c r="AG580" s="50"/>
      <c r="AH580" s="61" t="str">
        <f t="shared" si="78"/>
        <v/>
      </c>
      <c r="AI580" s="61" t="str">
        <f>IFERROR(IF(AF580-AF579&lt;=0,"",AH580/SQRT(Таблица_pr5[[#This Row],[Удельное сопротивление грунта, Ом·м]])),AH580/SQRT(Таблица_pr5[[#This Row],[Удельное сопротивление грунта, Ом·м]]))</f>
        <v/>
      </c>
      <c r="AK580" s="53"/>
      <c r="AL580" s="52"/>
      <c r="AM580" s="50"/>
      <c r="AN580" s="61" t="str">
        <f t="shared" si="72"/>
        <v/>
      </c>
      <c r="AO580" s="61" t="str">
        <f>IFERROR(IF(AL580-AL579&lt;=0,"",AN580/SQRT(Таблица_pr6[[#This Row],[Удельное сопротивление грунта, Ом·м]])),AN580/SQRT(Таблица_pr6[[#This Row],[Удельное сопротивление грунта, Ом·м]]))</f>
        <v/>
      </c>
      <c r="AQ580" s="53"/>
      <c r="AR580" s="52"/>
      <c r="AS580" s="50"/>
      <c r="AT580" s="61" t="str">
        <f t="shared" si="79"/>
        <v/>
      </c>
      <c r="AU580" s="61" t="str">
        <f>IFERROR(IF(AR580-AR579&lt;=0,"",AT580/SQRT(Таблица_pr7[[#This Row],[Удельное сопротивление грунта, Ом·м]])),AT580/SQRT(Таблица_pr7[[#This Row],[Удельное сопротивление грунта, Ом·м]]))</f>
        <v/>
      </c>
      <c r="AW580" s="53"/>
      <c r="AX580" s="52"/>
      <c r="AY580" s="50"/>
      <c r="AZ580" s="61" t="str">
        <f t="shared" si="73"/>
        <v/>
      </c>
      <c r="BA580" s="61" t="str">
        <f>IFERROR(IF(AX580-AX579&lt;=0,"",AZ580/SQRT(Таблица_pr8[[#This Row],[Удельное сопротивление грунта, Ом·м]])),AZ580/SQRT(Таблица_pr8[[#This Row],[Удельное сопротивление грунта, Ом·м]]))</f>
        <v/>
      </c>
      <c r="BC580" s="53"/>
      <c r="BD580" s="52"/>
      <c r="BE580" s="50"/>
      <c r="BF580" s="61" t="str">
        <f t="shared" si="80"/>
        <v/>
      </c>
      <c r="BG580" s="61" t="str">
        <f>IFERROR(IF(BD580-AX599&lt;=0,"",BF580/SQRT(Таблица_pr9[[#This Row],[Удельное сопротивление грунта, Ом·м]])),BF580/SQRT(Таблица_pr9[[#This Row],[Удельное сопротивление грунта, Ом·м]]))</f>
        <v/>
      </c>
      <c r="BI580" s="53"/>
      <c r="BJ580" s="52"/>
      <c r="BK580" s="50"/>
      <c r="BL580" s="61" t="str">
        <f t="shared" si="74"/>
        <v/>
      </c>
      <c r="BM580" s="61" t="str">
        <f>IFERROR(IF(BJ580-BD609&lt;=0,"",BL580/SQRT(Таблица_pr10[[#This Row],[Удельное сопротивление грунта, Ом·м]])),BL580/SQRT(Таблица_pr10[[#This Row],[Удельное сопротивление грунта, Ом·м]]))</f>
        <v/>
      </c>
    </row>
    <row r="581" spans="1:65">
      <c r="A581" s="51"/>
      <c r="B581" s="52"/>
      <c r="C581" s="50"/>
      <c r="D581" s="61" t="str">
        <f t="shared" si="75"/>
        <v/>
      </c>
      <c r="E581" s="61" t="str">
        <f>IFERROR(IF(B581-B580&lt;=0,"",D581/SQRT(Таблица_pr[[#This Row],[Удельное сопротивление грунта, Ом·м]])),D581/SQRT(Таблица_pr[[#This Row],[Удельное сопротивление грунта, Ом·м]]))</f>
        <v/>
      </c>
      <c r="G581" s="189"/>
      <c r="H581" s="185"/>
      <c r="I581" s="183"/>
      <c r="J581" s="180" t="str">
        <f t="shared" si="76"/>
        <v/>
      </c>
      <c r="K581" s="61" t="str">
        <f>IFERROR(IF(H581-H580&lt;=0,"",J581/SQRT(Таблица_pr1[[#This Row],[Удельное сопротивление грунта, Ом·м]])),J581/SQRT(Таблица_pr1[[#This Row],[Удельное сопротивление грунта, Ом·м]]))</f>
        <v/>
      </c>
      <c r="M581" s="51"/>
      <c r="N581" s="52"/>
      <c r="O581" s="50"/>
      <c r="P581" s="61" t="str">
        <f t="shared" si="70"/>
        <v/>
      </c>
      <c r="Q581" s="61" t="str">
        <f>IFERROR(IF(N581-N580&lt;=0,"",P581/SQRT(Таблица_pr2[[#This Row],[Удельное сопротивление грунта, Ом·м]])),P581/SQRT(Таблица_pr2[[#This Row],[Удельное сопротивление грунта, Ом·м]]))</f>
        <v/>
      </c>
      <c r="S581" s="51"/>
      <c r="T581" s="52"/>
      <c r="U581" s="50"/>
      <c r="V581" s="61" t="str">
        <f t="shared" si="77"/>
        <v/>
      </c>
      <c r="W581" s="61" t="str">
        <f>IFERROR(IF(T581-T580&lt;=0,"",V581/SQRT(Таблица_pr3[[#This Row],[Удельное сопротивление грунта, Ом·м]])),V581/SQRT(Таблица_pr3[[#This Row],[Удельное сопротивление грунта, Ом·м]]))</f>
        <v/>
      </c>
      <c r="Y581" s="51"/>
      <c r="Z581" s="52"/>
      <c r="AA581" s="50"/>
      <c r="AB581" s="61" t="str">
        <f t="shared" si="71"/>
        <v/>
      </c>
      <c r="AC581" s="61" t="str">
        <f>IFERROR(IF(Z581-Z580&lt;=0,"",AB581/SQRT(Таблица_pr4[[#This Row],[Удельное сопротивление грунта, Ом·м]])),AB581/SQRT(Таблица_pr4[[#This Row],[Удельное сопротивление грунта, Ом·м]]))</f>
        <v/>
      </c>
      <c r="AE581" s="51"/>
      <c r="AF581" s="52"/>
      <c r="AG581" s="50"/>
      <c r="AH581" s="61" t="str">
        <f t="shared" si="78"/>
        <v/>
      </c>
      <c r="AI581" s="61" t="str">
        <f>IFERROR(IF(AF581-AF580&lt;=0,"",AH581/SQRT(Таблица_pr5[[#This Row],[Удельное сопротивление грунта, Ом·м]])),AH581/SQRT(Таблица_pr5[[#This Row],[Удельное сопротивление грунта, Ом·м]]))</f>
        <v/>
      </c>
      <c r="AK581" s="51"/>
      <c r="AL581" s="52"/>
      <c r="AM581" s="50"/>
      <c r="AN581" s="61" t="str">
        <f t="shared" si="72"/>
        <v/>
      </c>
      <c r="AO581" s="61" t="str">
        <f>IFERROR(IF(AL581-AL580&lt;=0,"",AN581/SQRT(Таблица_pr6[[#This Row],[Удельное сопротивление грунта, Ом·м]])),AN581/SQRT(Таблица_pr6[[#This Row],[Удельное сопротивление грунта, Ом·м]]))</f>
        <v/>
      </c>
      <c r="AQ581" s="51"/>
      <c r="AR581" s="52"/>
      <c r="AS581" s="50"/>
      <c r="AT581" s="61" t="str">
        <f t="shared" si="79"/>
        <v/>
      </c>
      <c r="AU581" s="61" t="str">
        <f>IFERROR(IF(AR581-AR580&lt;=0,"",AT581/SQRT(Таблица_pr7[[#This Row],[Удельное сопротивление грунта, Ом·м]])),AT581/SQRT(Таблица_pr7[[#This Row],[Удельное сопротивление грунта, Ом·м]]))</f>
        <v/>
      </c>
      <c r="AW581" s="51"/>
      <c r="AX581" s="52"/>
      <c r="AY581" s="50"/>
      <c r="AZ581" s="61" t="str">
        <f t="shared" si="73"/>
        <v/>
      </c>
      <c r="BA581" s="61" t="str">
        <f>IFERROR(IF(AX581-AX580&lt;=0,"",AZ581/SQRT(Таблица_pr8[[#This Row],[Удельное сопротивление грунта, Ом·м]])),AZ581/SQRT(Таблица_pr8[[#This Row],[Удельное сопротивление грунта, Ом·м]]))</f>
        <v/>
      </c>
      <c r="BC581" s="51"/>
      <c r="BD581" s="52"/>
      <c r="BE581" s="50"/>
      <c r="BF581" s="61" t="str">
        <f t="shared" si="80"/>
        <v/>
      </c>
      <c r="BG581" s="61" t="str">
        <f>IFERROR(IF(BD581-AX600&lt;=0,"",BF581/SQRT(Таблица_pr9[[#This Row],[Удельное сопротивление грунта, Ом·м]])),BF581/SQRT(Таблица_pr9[[#This Row],[Удельное сопротивление грунта, Ом·м]]))</f>
        <v/>
      </c>
      <c r="BI581" s="51"/>
      <c r="BJ581" s="52"/>
      <c r="BK581" s="50"/>
      <c r="BL581" s="61" t="str">
        <f t="shared" si="74"/>
        <v/>
      </c>
      <c r="BM581" s="61" t="str">
        <f>IFERROR(IF(BJ581-BD610&lt;=0,"",BL581/SQRT(Таблица_pr10[[#This Row],[Удельное сопротивление грунта, Ом·м]])),BL581/SQRT(Таблица_pr10[[#This Row],[Удельное сопротивление грунта, Ом·м]]))</f>
        <v/>
      </c>
    </row>
    <row r="582" spans="1:65">
      <c r="A582" s="53"/>
      <c r="B582" s="52"/>
      <c r="C582" s="50"/>
      <c r="D582" s="61" t="str">
        <f t="shared" si="75"/>
        <v/>
      </c>
      <c r="E582" s="61" t="str">
        <f>IFERROR(IF(B582-B581&lt;=0,"",D582/SQRT(Таблица_pr[[#This Row],[Удельное сопротивление грунта, Ом·м]])),D582/SQRT(Таблица_pr[[#This Row],[Удельное сопротивление грунта, Ом·м]]))</f>
        <v/>
      </c>
      <c r="G582" s="188"/>
      <c r="H582" s="184"/>
      <c r="I582" s="182"/>
      <c r="J582" s="181" t="str">
        <f t="shared" si="76"/>
        <v/>
      </c>
      <c r="K582" s="61" t="str">
        <f>IFERROR(IF(H582-H581&lt;=0,"",J582/SQRT(Таблица_pr1[[#This Row],[Удельное сопротивление грунта, Ом·м]])),J582/SQRT(Таблица_pr1[[#This Row],[Удельное сопротивление грунта, Ом·м]]))</f>
        <v/>
      </c>
      <c r="M582" s="53"/>
      <c r="N582" s="52"/>
      <c r="O582" s="50"/>
      <c r="P582" s="61" t="str">
        <f t="shared" ref="P582:P645" si="81">IFERROR(IF(N582-N581&lt;=0,"",(N582-N581)*1000),100)</f>
        <v/>
      </c>
      <c r="Q582" s="61" t="str">
        <f>IFERROR(IF(N582-N581&lt;=0,"",P582/SQRT(Таблица_pr2[[#This Row],[Удельное сопротивление грунта, Ом·м]])),P582/SQRT(Таблица_pr2[[#This Row],[Удельное сопротивление грунта, Ом·м]]))</f>
        <v/>
      </c>
      <c r="S582" s="53"/>
      <c r="T582" s="52"/>
      <c r="U582" s="50"/>
      <c r="V582" s="61" t="str">
        <f t="shared" si="77"/>
        <v/>
      </c>
      <c r="W582" s="61" t="str">
        <f>IFERROR(IF(T582-T581&lt;=0,"",V582/SQRT(Таблица_pr3[[#This Row],[Удельное сопротивление грунта, Ом·м]])),V582/SQRT(Таблица_pr3[[#This Row],[Удельное сопротивление грунта, Ом·м]]))</f>
        <v/>
      </c>
      <c r="Y582" s="53"/>
      <c r="Z582" s="52"/>
      <c r="AA582" s="50"/>
      <c r="AB582" s="61" t="str">
        <f t="shared" si="71"/>
        <v/>
      </c>
      <c r="AC582" s="61" t="str">
        <f>IFERROR(IF(Z582-Z581&lt;=0,"",AB582/SQRT(Таблица_pr4[[#This Row],[Удельное сопротивление грунта, Ом·м]])),AB582/SQRT(Таблица_pr4[[#This Row],[Удельное сопротивление грунта, Ом·м]]))</f>
        <v/>
      </c>
      <c r="AE582" s="53"/>
      <c r="AF582" s="52"/>
      <c r="AG582" s="50"/>
      <c r="AH582" s="61" t="str">
        <f t="shared" si="78"/>
        <v/>
      </c>
      <c r="AI582" s="61" t="str">
        <f>IFERROR(IF(AF582-AF581&lt;=0,"",AH582/SQRT(Таблица_pr5[[#This Row],[Удельное сопротивление грунта, Ом·м]])),AH582/SQRT(Таблица_pr5[[#This Row],[Удельное сопротивление грунта, Ом·м]]))</f>
        <v/>
      </c>
      <c r="AK582" s="53"/>
      <c r="AL582" s="52"/>
      <c r="AM582" s="50"/>
      <c r="AN582" s="61" t="str">
        <f t="shared" si="72"/>
        <v/>
      </c>
      <c r="AO582" s="61" t="str">
        <f>IFERROR(IF(AL582-AL581&lt;=0,"",AN582/SQRT(Таблица_pr6[[#This Row],[Удельное сопротивление грунта, Ом·м]])),AN582/SQRT(Таблица_pr6[[#This Row],[Удельное сопротивление грунта, Ом·м]]))</f>
        <v/>
      </c>
      <c r="AQ582" s="53"/>
      <c r="AR582" s="52"/>
      <c r="AS582" s="50"/>
      <c r="AT582" s="61" t="str">
        <f t="shared" si="79"/>
        <v/>
      </c>
      <c r="AU582" s="61" t="str">
        <f>IFERROR(IF(AR582-AR581&lt;=0,"",AT582/SQRT(Таблица_pr7[[#This Row],[Удельное сопротивление грунта, Ом·м]])),AT582/SQRT(Таблица_pr7[[#This Row],[Удельное сопротивление грунта, Ом·м]]))</f>
        <v/>
      </c>
      <c r="AW582" s="53"/>
      <c r="AX582" s="52"/>
      <c r="AY582" s="50"/>
      <c r="AZ582" s="61" t="str">
        <f t="shared" si="73"/>
        <v/>
      </c>
      <c r="BA582" s="61" t="str">
        <f>IFERROR(IF(AX582-AX581&lt;=0,"",AZ582/SQRT(Таблица_pr8[[#This Row],[Удельное сопротивление грунта, Ом·м]])),AZ582/SQRT(Таблица_pr8[[#This Row],[Удельное сопротивление грунта, Ом·м]]))</f>
        <v/>
      </c>
      <c r="BC582" s="53"/>
      <c r="BD582" s="52"/>
      <c r="BE582" s="50"/>
      <c r="BF582" s="61" t="str">
        <f t="shared" si="80"/>
        <v/>
      </c>
      <c r="BG582" s="61" t="str">
        <f>IFERROR(IF(BD582-AX601&lt;=0,"",BF582/SQRT(Таблица_pr9[[#This Row],[Удельное сопротивление грунта, Ом·м]])),BF582/SQRT(Таблица_pr9[[#This Row],[Удельное сопротивление грунта, Ом·м]]))</f>
        <v/>
      </c>
      <c r="BI582" s="53"/>
      <c r="BJ582" s="52"/>
      <c r="BK582" s="50"/>
      <c r="BL582" s="61" t="str">
        <f t="shared" si="74"/>
        <v/>
      </c>
      <c r="BM582" s="61" t="str">
        <f>IFERROR(IF(BJ582-BD611&lt;=0,"",BL582/SQRT(Таблица_pr10[[#This Row],[Удельное сопротивление грунта, Ом·м]])),BL582/SQRT(Таблица_pr10[[#This Row],[Удельное сопротивление грунта, Ом·м]]))</f>
        <v/>
      </c>
    </row>
    <row r="583" spans="1:65">
      <c r="A583" s="51"/>
      <c r="B583" s="52"/>
      <c r="C583" s="50"/>
      <c r="D583" s="61" t="str">
        <f t="shared" si="75"/>
        <v/>
      </c>
      <c r="E583" s="61" t="str">
        <f>IFERROR(IF(B583-B582&lt;=0,"",D583/SQRT(Таблица_pr[[#This Row],[Удельное сопротивление грунта, Ом·м]])),D583/SQRT(Таблица_pr[[#This Row],[Удельное сопротивление грунта, Ом·м]]))</f>
        <v/>
      </c>
      <c r="G583" s="189"/>
      <c r="H583" s="185"/>
      <c r="I583" s="183"/>
      <c r="J583" s="180" t="str">
        <f t="shared" si="76"/>
        <v/>
      </c>
      <c r="K583" s="61" t="str">
        <f>IFERROR(IF(H583-H582&lt;=0,"",J583/SQRT(Таблица_pr1[[#This Row],[Удельное сопротивление грунта, Ом·м]])),J583/SQRT(Таблица_pr1[[#This Row],[Удельное сопротивление грунта, Ом·м]]))</f>
        <v/>
      </c>
      <c r="M583" s="51"/>
      <c r="N583" s="52"/>
      <c r="O583" s="50"/>
      <c r="P583" s="61" t="str">
        <f t="shared" si="81"/>
        <v/>
      </c>
      <c r="Q583" s="61" t="str">
        <f>IFERROR(IF(N583-N582&lt;=0,"",P583/SQRT(Таблица_pr2[[#This Row],[Удельное сопротивление грунта, Ом·м]])),P583/SQRT(Таблица_pr2[[#This Row],[Удельное сопротивление грунта, Ом·м]]))</f>
        <v/>
      </c>
      <c r="S583" s="51"/>
      <c r="T583" s="52"/>
      <c r="U583" s="50"/>
      <c r="V583" s="61" t="str">
        <f t="shared" si="77"/>
        <v/>
      </c>
      <c r="W583" s="61" t="str">
        <f>IFERROR(IF(T583-T582&lt;=0,"",V583/SQRT(Таблица_pr3[[#This Row],[Удельное сопротивление грунта, Ом·м]])),V583/SQRT(Таблица_pr3[[#This Row],[Удельное сопротивление грунта, Ом·м]]))</f>
        <v/>
      </c>
      <c r="Y583" s="51"/>
      <c r="Z583" s="52"/>
      <c r="AA583" s="50"/>
      <c r="AB583" s="61" t="str">
        <f t="shared" ref="AB583:AB646" si="82">IFERROR(IF(Z583-Z582&lt;=0,"",(Z583-Z582)*1000),100)</f>
        <v/>
      </c>
      <c r="AC583" s="61" t="str">
        <f>IFERROR(IF(Z583-Z582&lt;=0,"",AB583/SQRT(Таблица_pr4[[#This Row],[Удельное сопротивление грунта, Ом·м]])),AB583/SQRT(Таблица_pr4[[#This Row],[Удельное сопротивление грунта, Ом·м]]))</f>
        <v/>
      </c>
      <c r="AE583" s="51"/>
      <c r="AF583" s="52"/>
      <c r="AG583" s="50"/>
      <c r="AH583" s="61" t="str">
        <f t="shared" si="78"/>
        <v/>
      </c>
      <c r="AI583" s="61" t="str">
        <f>IFERROR(IF(AF583-AF582&lt;=0,"",AH583/SQRT(Таблица_pr5[[#This Row],[Удельное сопротивление грунта, Ом·м]])),AH583/SQRT(Таблица_pr5[[#This Row],[Удельное сопротивление грунта, Ом·м]]))</f>
        <v/>
      </c>
      <c r="AK583" s="51"/>
      <c r="AL583" s="52"/>
      <c r="AM583" s="50"/>
      <c r="AN583" s="61" t="str">
        <f t="shared" ref="AN583:AN646" si="83">IFERROR(IF(AL583-AL582&lt;=0,"",(AL583-AL582)*1000),100)</f>
        <v/>
      </c>
      <c r="AO583" s="61" t="str">
        <f>IFERROR(IF(AL583-AL582&lt;=0,"",AN583/SQRT(Таблица_pr6[[#This Row],[Удельное сопротивление грунта, Ом·м]])),AN583/SQRT(Таблица_pr6[[#This Row],[Удельное сопротивление грунта, Ом·м]]))</f>
        <v/>
      </c>
      <c r="AQ583" s="51"/>
      <c r="AR583" s="52"/>
      <c r="AS583" s="50"/>
      <c r="AT583" s="61" t="str">
        <f t="shared" si="79"/>
        <v/>
      </c>
      <c r="AU583" s="61" t="str">
        <f>IFERROR(IF(AR583-AR582&lt;=0,"",AT583/SQRT(Таблица_pr7[[#This Row],[Удельное сопротивление грунта, Ом·м]])),AT583/SQRT(Таблица_pr7[[#This Row],[Удельное сопротивление грунта, Ом·м]]))</f>
        <v/>
      </c>
      <c r="AW583" s="51"/>
      <c r="AX583" s="52"/>
      <c r="AY583" s="50"/>
      <c r="AZ583" s="61" t="str">
        <f t="shared" ref="AZ583:AZ646" si="84">IFERROR(IF(AX583-AX582&lt;=0,"",(AX583-AX582)*1000),100)</f>
        <v/>
      </c>
      <c r="BA583" s="61" t="str">
        <f>IFERROR(IF(AX583-AX582&lt;=0,"",AZ583/SQRT(Таблица_pr8[[#This Row],[Удельное сопротивление грунта, Ом·м]])),AZ583/SQRT(Таблица_pr8[[#This Row],[Удельное сопротивление грунта, Ом·м]]))</f>
        <v/>
      </c>
      <c r="BC583" s="51"/>
      <c r="BD583" s="52"/>
      <c r="BE583" s="50"/>
      <c r="BF583" s="61" t="str">
        <f t="shared" si="80"/>
        <v/>
      </c>
      <c r="BG583" s="61" t="str">
        <f>IFERROR(IF(BD583-AX602&lt;=0,"",BF583/SQRT(Таблица_pr9[[#This Row],[Удельное сопротивление грунта, Ом·м]])),BF583/SQRT(Таблица_pr9[[#This Row],[Удельное сопротивление грунта, Ом·м]]))</f>
        <v/>
      </c>
      <c r="BI583" s="51"/>
      <c r="BJ583" s="52"/>
      <c r="BK583" s="50"/>
      <c r="BL583" s="61" t="str">
        <f t="shared" ref="BL583:BL646" si="85">IFERROR(IF(BJ583-BJ582&lt;=0,"",(BJ583-BJ582)*1000),100)</f>
        <v/>
      </c>
      <c r="BM583" s="61" t="str">
        <f>IFERROR(IF(BJ583-BD612&lt;=0,"",BL583/SQRT(Таблица_pr10[[#This Row],[Удельное сопротивление грунта, Ом·м]])),BL583/SQRT(Таблица_pr10[[#This Row],[Удельное сопротивление грунта, Ом·м]]))</f>
        <v/>
      </c>
    </row>
    <row r="584" spans="1:65">
      <c r="A584" s="53"/>
      <c r="B584" s="52"/>
      <c r="C584" s="50"/>
      <c r="D584" s="61" t="str">
        <f t="shared" si="75"/>
        <v/>
      </c>
      <c r="E584" s="61" t="str">
        <f>IFERROR(IF(B584-B583&lt;=0,"",D584/SQRT(Таблица_pr[[#This Row],[Удельное сопротивление грунта, Ом·м]])),D584/SQRT(Таблица_pr[[#This Row],[Удельное сопротивление грунта, Ом·м]]))</f>
        <v/>
      </c>
      <c r="G584" s="188"/>
      <c r="H584" s="184"/>
      <c r="I584" s="182"/>
      <c r="J584" s="181" t="str">
        <f t="shared" si="76"/>
        <v/>
      </c>
      <c r="K584" s="61" t="str">
        <f>IFERROR(IF(H584-H583&lt;=0,"",J584/SQRT(Таблица_pr1[[#This Row],[Удельное сопротивление грунта, Ом·м]])),J584/SQRT(Таблица_pr1[[#This Row],[Удельное сопротивление грунта, Ом·м]]))</f>
        <v/>
      </c>
      <c r="M584" s="53"/>
      <c r="N584" s="52"/>
      <c r="O584" s="50"/>
      <c r="P584" s="61" t="str">
        <f t="shared" si="81"/>
        <v/>
      </c>
      <c r="Q584" s="61" t="str">
        <f>IFERROR(IF(N584-N583&lt;=0,"",P584/SQRT(Таблица_pr2[[#This Row],[Удельное сопротивление грунта, Ом·м]])),P584/SQRT(Таблица_pr2[[#This Row],[Удельное сопротивление грунта, Ом·м]]))</f>
        <v/>
      </c>
      <c r="S584" s="53"/>
      <c r="T584" s="52"/>
      <c r="U584" s="50"/>
      <c r="V584" s="61" t="str">
        <f t="shared" si="77"/>
        <v/>
      </c>
      <c r="W584" s="61" t="str">
        <f>IFERROR(IF(T584-T583&lt;=0,"",V584/SQRT(Таблица_pr3[[#This Row],[Удельное сопротивление грунта, Ом·м]])),V584/SQRT(Таблица_pr3[[#This Row],[Удельное сопротивление грунта, Ом·м]]))</f>
        <v/>
      </c>
      <c r="Y584" s="53"/>
      <c r="Z584" s="52"/>
      <c r="AA584" s="50"/>
      <c r="AB584" s="61" t="str">
        <f t="shared" si="82"/>
        <v/>
      </c>
      <c r="AC584" s="61" t="str">
        <f>IFERROR(IF(Z584-Z583&lt;=0,"",AB584/SQRT(Таблица_pr4[[#This Row],[Удельное сопротивление грунта, Ом·м]])),AB584/SQRT(Таблица_pr4[[#This Row],[Удельное сопротивление грунта, Ом·м]]))</f>
        <v/>
      </c>
      <c r="AE584" s="53"/>
      <c r="AF584" s="52"/>
      <c r="AG584" s="50"/>
      <c r="AH584" s="61" t="str">
        <f t="shared" si="78"/>
        <v/>
      </c>
      <c r="AI584" s="61" t="str">
        <f>IFERROR(IF(AF584-AF583&lt;=0,"",AH584/SQRT(Таблица_pr5[[#This Row],[Удельное сопротивление грунта, Ом·м]])),AH584/SQRT(Таблица_pr5[[#This Row],[Удельное сопротивление грунта, Ом·м]]))</f>
        <v/>
      </c>
      <c r="AK584" s="53"/>
      <c r="AL584" s="52"/>
      <c r="AM584" s="50"/>
      <c r="AN584" s="61" t="str">
        <f t="shared" si="83"/>
        <v/>
      </c>
      <c r="AO584" s="61" t="str">
        <f>IFERROR(IF(AL584-AL583&lt;=0,"",AN584/SQRT(Таблица_pr6[[#This Row],[Удельное сопротивление грунта, Ом·м]])),AN584/SQRT(Таблица_pr6[[#This Row],[Удельное сопротивление грунта, Ом·м]]))</f>
        <v/>
      </c>
      <c r="AQ584" s="53"/>
      <c r="AR584" s="52"/>
      <c r="AS584" s="50"/>
      <c r="AT584" s="61" t="str">
        <f t="shared" si="79"/>
        <v/>
      </c>
      <c r="AU584" s="61" t="str">
        <f>IFERROR(IF(AR584-AR583&lt;=0,"",AT584/SQRT(Таблица_pr7[[#This Row],[Удельное сопротивление грунта, Ом·м]])),AT584/SQRT(Таблица_pr7[[#This Row],[Удельное сопротивление грунта, Ом·м]]))</f>
        <v/>
      </c>
      <c r="AW584" s="53"/>
      <c r="AX584" s="52"/>
      <c r="AY584" s="50"/>
      <c r="AZ584" s="61" t="str">
        <f t="shared" si="84"/>
        <v/>
      </c>
      <c r="BA584" s="61" t="str">
        <f>IFERROR(IF(AX584-AX583&lt;=0,"",AZ584/SQRT(Таблица_pr8[[#This Row],[Удельное сопротивление грунта, Ом·м]])),AZ584/SQRT(Таблица_pr8[[#This Row],[Удельное сопротивление грунта, Ом·м]]))</f>
        <v/>
      </c>
      <c r="BC584" s="53"/>
      <c r="BD584" s="52"/>
      <c r="BE584" s="50"/>
      <c r="BF584" s="61" t="str">
        <f t="shared" si="80"/>
        <v/>
      </c>
      <c r="BG584" s="61" t="str">
        <f>IFERROR(IF(BD584-AX603&lt;=0,"",BF584/SQRT(Таблица_pr9[[#This Row],[Удельное сопротивление грунта, Ом·м]])),BF584/SQRT(Таблица_pr9[[#This Row],[Удельное сопротивление грунта, Ом·м]]))</f>
        <v/>
      </c>
      <c r="BI584" s="53"/>
      <c r="BJ584" s="52"/>
      <c r="BK584" s="50"/>
      <c r="BL584" s="61" t="str">
        <f t="shared" si="85"/>
        <v/>
      </c>
      <c r="BM584" s="61" t="str">
        <f>IFERROR(IF(BJ584-BD613&lt;=0,"",BL584/SQRT(Таблица_pr10[[#This Row],[Удельное сопротивление грунта, Ом·м]])),BL584/SQRT(Таблица_pr10[[#This Row],[Удельное сопротивление грунта, Ом·м]]))</f>
        <v/>
      </c>
    </row>
    <row r="585" spans="1:65">
      <c r="A585" s="51"/>
      <c r="B585" s="52"/>
      <c r="C585" s="50"/>
      <c r="D585" s="61" t="str">
        <f t="shared" si="75"/>
        <v/>
      </c>
      <c r="E585" s="61" t="str">
        <f>IFERROR(IF(B585-B584&lt;=0,"",D585/SQRT(Таблица_pr[[#This Row],[Удельное сопротивление грунта, Ом·м]])),D585/SQRT(Таблица_pr[[#This Row],[Удельное сопротивление грунта, Ом·м]]))</f>
        <v/>
      </c>
      <c r="G585" s="189"/>
      <c r="H585" s="185"/>
      <c r="I585" s="183"/>
      <c r="J585" s="180" t="str">
        <f t="shared" si="76"/>
        <v/>
      </c>
      <c r="K585" s="61" t="str">
        <f>IFERROR(IF(H585-H584&lt;=0,"",J585/SQRT(Таблица_pr1[[#This Row],[Удельное сопротивление грунта, Ом·м]])),J585/SQRT(Таблица_pr1[[#This Row],[Удельное сопротивление грунта, Ом·м]]))</f>
        <v/>
      </c>
      <c r="M585" s="51"/>
      <c r="N585" s="52"/>
      <c r="O585" s="50"/>
      <c r="P585" s="61" t="str">
        <f t="shared" si="81"/>
        <v/>
      </c>
      <c r="Q585" s="61" t="str">
        <f>IFERROR(IF(N585-N584&lt;=0,"",P585/SQRT(Таблица_pr2[[#This Row],[Удельное сопротивление грунта, Ом·м]])),P585/SQRT(Таблица_pr2[[#This Row],[Удельное сопротивление грунта, Ом·м]]))</f>
        <v/>
      </c>
      <c r="S585" s="51"/>
      <c r="T585" s="52"/>
      <c r="U585" s="50"/>
      <c r="V585" s="61" t="str">
        <f t="shared" si="77"/>
        <v/>
      </c>
      <c r="W585" s="61" t="str">
        <f>IFERROR(IF(T585-T584&lt;=0,"",V585/SQRT(Таблица_pr3[[#This Row],[Удельное сопротивление грунта, Ом·м]])),V585/SQRT(Таблица_pr3[[#This Row],[Удельное сопротивление грунта, Ом·м]]))</f>
        <v/>
      </c>
      <c r="Y585" s="51"/>
      <c r="Z585" s="52"/>
      <c r="AA585" s="50"/>
      <c r="AB585" s="61" t="str">
        <f t="shared" si="82"/>
        <v/>
      </c>
      <c r="AC585" s="61" t="str">
        <f>IFERROR(IF(Z585-Z584&lt;=0,"",AB585/SQRT(Таблица_pr4[[#This Row],[Удельное сопротивление грунта, Ом·м]])),AB585/SQRT(Таблица_pr4[[#This Row],[Удельное сопротивление грунта, Ом·м]]))</f>
        <v/>
      </c>
      <c r="AE585" s="51"/>
      <c r="AF585" s="52"/>
      <c r="AG585" s="50"/>
      <c r="AH585" s="61" t="str">
        <f t="shared" si="78"/>
        <v/>
      </c>
      <c r="AI585" s="61" t="str">
        <f>IFERROR(IF(AF585-AF584&lt;=0,"",AH585/SQRT(Таблица_pr5[[#This Row],[Удельное сопротивление грунта, Ом·м]])),AH585/SQRT(Таблица_pr5[[#This Row],[Удельное сопротивление грунта, Ом·м]]))</f>
        <v/>
      </c>
      <c r="AK585" s="51"/>
      <c r="AL585" s="52"/>
      <c r="AM585" s="50"/>
      <c r="AN585" s="61" t="str">
        <f t="shared" si="83"/>
        <v/>
      </c>
      <c r="AO585" s="61" t="str">
        <f>IFERROR(IF(AL585-AL584&lt;=0,"",AN585/SQRT(Таблица_pr6[[#This Row],[Удельное сопротивление грунта, Ом·м]])),AN585/SQRT(Таблица_pr6[[#This Row],[Удельное сопротивление грунта, Ом·м]]))</f>
        <v/>
      </c>
      <c r="AQ585" s="51"/>
      <c r="AR585" s="52"/>
      <c r="AS585" s="50"/>
      <c r="AT585" s="61" t="str">
        <f t="shared" si="79"/>
        <v/>
      </c>
      <c r="AU585" s="61" t="str">
        <f>IFERROR(IF(AR585-AR584&lt;=0,"",AT585/SQRT(Таблица_pr7[[#This Row],[Удельное сопротивление грунта, Ом·м]])),AT585/SQRT(Таблица_pr7[[#This Row],[Удельное сопротивление грунта, Ом·м]]))</f>
        <v/>
      </c>
      <c r="AW585" s="51"/>
      <c r="AX585" s="52"/>
      <c r="AY585" s="50"/>
      <c r="AZ585" s="61" t="str">
        <f t="shared" si="84"/>
        <v/>
      </c>
      <c r="BA585" s="61" t="str">
        <f>IFERROR(IF(AX585-AX584&lt;=0,"",AZ585/SQRT(Таблица_pr8[[#This Row],[Удельное сопротивление грунта, Ом·м]])),AZ585/SQRT(Таблица_pr8[[#This Row],[Удельное сопротивление грунта, Ом·м]]))</f>
        <v/>
      </c>
      <c r="BC585" s="51"/>
      <c r="BD585" s="52"/>
      <c r="BE585" s="50"/>
      <c r="BF585" s="61" t="str">
        <f t="shared" si="80"/>
        <v/>
      </c>
      <c r="BG585" s="61" t="str">
        <f>IFERROR(IF(BD585-AX604&lt;=0,"",BF585/SQRT(Таблица_pr9[[#This Row],[Удельное сопротивление грунта, Ом·м]])),BF585/SQRT(Таблица_pr9[[#This Row],[Удельное сопротивление грунта, Ом·м]]))</f>
        <v/>
      </c>
      <c r="BI585" s="51"/>
      <c r="BJ585" s="52"/>
      <c r="BK585" s="50"/>
      <c r="BL585" s="61" t="str">
        <f t="shared" si="85"/>
        <v/>
      </c>
      <c r="BM585" s="61" t="str">
        <f>IFERROR(IF(BJ585-BD614&lt;=0,"",BL585/SQRT(Таблица_pr10[[#This Row],[Удельное сопротивление грунта, Ом·м]])),BL585/SQRT(Таблица_pr10[[#This Row],[Удельное сопротивление грунта, Ом·м]]))</f>
        <v/>
      </c>
    </row>
    <row r="586" spans="1:65">
      <c r="A586" s="53"/>
      <c r="B586" s="52"/>
      <c r="C586" s="50"/>
      <c r="D586" s="61" t="str">
        <f t="shared" si="75"/>
        <v/>
      </c>
      <c r="E586" s="61" t="str">
        <f>IFERROR(IF(B586-B585&lt;=0,"",D586/SQRT(Таблица_pr[[#This Row],[Удельное сопротивление грунта, Ом·м]])),D586/SQRT(Таблица_pr[[#This Row],[Удельное сопротивление грунта, Ом·м]]))</f>
        <v/>
      </c>
      <c r="G586" s="188"/>
      <c r="H586" s="184"/>
      <c r="I586" s="182"/>
      <c r="J586" s="181" t="str">
        <f t="shared" si="76"/>
        <v/>
      </c>
      <c r="K586" s="61" t="str">
        <f>IFERROR(IF(H586-H585&lt;=0,"",J586/SQRT(Таблица_pr1[[#This Row],[Удельное сопротивление грунта, Ом·м]])),J586/SQRT(Таблица_pr1[[#This Row],[Удельное сопротивление грунта, Ом·м]]))</f>
        <v/>
      </c>
      <c r="M586" s="53"/>
      <c r="N586" s="52"/>
      <c r="O586" s="50"/>
      <c r="P586" s="61" t="str">
        <f t="shared" si="81"/>
        <v/>
      </c>
      <c r="Q586" s="61" t="str">
        <f>IFERROR(IF(N586-N585&lt;=0,"",P586/SQRT(Таблица_pr2[[#This Row],[Удельное сопротивление грунта, Ом·м]])),P586/SQRT(Таблица_pr2[[#This Row],[Удельное сопротивление грунта, Ом·м]]))</f>
        <v/>
      </c>
      <c r="S586" s="53"/>
      <c r="T586" s="52"/>
      <c r="U586" s="50"/>
      <c r="V586" s="61" t="str">
        <f t="shared" si="77"/>
        <v/>
      </c>
      <c r="W586" s="61" t="str">
        <f>IFERROR(IF(T586-T585&lt;=0,"",V586/SQRT(Таблица_pr3[[#This Row],[Удельное сопротивление грунта, Ом·м]])),V586/SQRT(Таблица_pr3[[#This Row],[Удельное сопротивление грунта, Ом·м]]))</f>
        <v/>
      </c>
      <c r="Y586" s="53"/>
      <c r="Z586" s="52"/>
      <c r="AA586" s="50"/>
      <c r="AB586" s="61" t="str">
        <f t="shared" si="82"/>
        <v/>
      </c>
      <c r="AC586" s="61" t="str">
        <f>IFERROR(IF(Z586-Z585&lt;=0,"",AB586/SQRT(Таблица_pr4[[#This Row],[Удельное сопротивление грунта, Ом·м]])),AB586/SQRT(Таблица_pr4[[#This Row],[Удельное сопротивление грунта, Ом·м]]))</f>
        <v/>
      </c>
      <c r="AE586" s="53"/>
      <c r="AF586" s="52"/>
      <c r="AG586" s="50"/>
      <c r="AH586" s="61" t="str">
        <f t="shared" si="78"/>
        <v/>
      </c>
      <c r="AI586" s="61" t="str">
        <f>IFERROR(IF(AF586-AF585&lt;=0,"",AH586/SQRT(Таблица_pr5[[#This Row],[Удельное сопротивление грунта, Ом·м]])),AH586/SQRT(Таблица_pr5[[#This Row],[Удельное сопротивление грунта, Ом·м]]))</f>
        <v/>
      </c>
      <c r="AK586" s="53"/>
      <c r="AL586" s="52"/>
      <c r="AM586" s="50"/>
      <c r="AN586" s="61" t="str">
        <f t="shared" si="83"/>
        <v/>
      </c>
      <c r="AO586" s="61" t="str">
        <f>IFERROR(IF(AL586-AL585&lt;=0,"",AN586/SQRT(Таблица_pr6[[#This Row],[Удельное сопротивление грунта, Ом·м]])),AN586/SQRT(Таблица_pr6[[#This Row],[Удельное сопротивление грунта, Ом·м]]))</f>
        <v/>
      </c>
      <c r="AQ586" s="53"/>
      <c r="AR586" s="52"/>
      <c r="AS586" s="50"/>
      <c r="AT586" s="61" t="str">
        <f t="shared" si="79"/>
        <v/>
      </c>
      <c r="AU586" s="61" t="str">
        <f>IFERROR(IF(AR586-AR585&lt;=0,"",AT586/SQRT(Таблица_pr7[[#This Row],[Удельное сопротивление грунта, Ом·м]])),AT586/SQRT(Таблица_pr7[[#This Row],[Удельное сопротивление грунта, Ом·м]]))</f>
        <v/>
      </c>
      <c r="AW586" s="53"/>
      <c r="AX586" s="52"/>
      <c r="AY586" s="50"/>
      <c r="AZ586" s="61" t="str">
        <f t="shared" si="84"/>
        <v/>
      </c>
      <c r="BA586" s="61" t="str">
        <f>IFERROR(IF(AX586-AX585&lt;=0,"",AZ586/SQRT(Таблица_pr8[[#This Row],[Удельное сопротивление грунта, Ом·м]])),AZ586/SQRT(Таблица_pr8[[#This Row],[Удельное сопротивление грунта, Ом·м]]))</f>
        <v/>
      </c>
      <c r="BC586" s="53"/>
      <c r="BD586" s="52"/>
      <c r="BE586" s="50"/>
      <c r="BF586" s="61" t="str">
        <f t="shared" si="80"/>
        <v/>
      </c>
      <c r="BG586" s="61" t="str">
        <f>IFERROR(IF(BD586-AX605&lt;=0,"",BF586/SQRT(Таблица_pr9[[#This Row],[Удельное сопротивление грунта, Ом·м]])),BF586/SQRT(Таблица_pr9[[#This Row],[Удельное сопротивление грунта, Ом·м]]))</f>
        <v/>
      </c>
      <c r="BI586" s="53"/>
      <c r="BJ586" s="52"/>
      <c r="BK586" s="50"/>
      <c r="BL586" s="61" t="str">
        <f t="shared" si="85"/>
        <v/>
      </c>
      <c r="BM586" s="61" t="str">
        <f>IFERROR(IF(BJ586-BD615&lt;=0,"",BL586/SQRT(Таблица_pr10[[#This Row],[Удельное сопротивление грунта, Ом·м]])),BL586/SQRT(Таблица_pr10[[#This Row],[Удельное сопротивление грунта, Ом·м]]))</f>
        <v/>
      </c>
    </row>
    <row r="587" spans="1:65">
      <c r="A587" s="51"/>
      <c r="B587" s="52"/>
      <c r="C587" s="50"/>
      <c r="D587" s="61" t="str">
        <f t="shared" si="75"/>
        <v/>
      </c>
      <c r="E587" s="61" t="str">
        <f>IFERROR(IF(B587-B586&lt;=0,"",D587/SQRT(Таблица_pr[[#This Row],[Удельное сопротивление грунта, Ом·м]])),D587/SQRT(Таблица_pr[[#This Row],[Удельное сопротивление грунта, Ом·м]]))</f>
        <v/>
      </c>
      <c r="G587" s="189"/>
      <c r="H587" s="185"/>
      <c r="I587" s="183"/>
      <c r="J587" s="180" t="str">
        <f t="shared" si="76"/>
        <v/>
      </c>
      <c r="K587" s="61" t="str">
        <f>IFERROR(IF(H587-H586&lt;=0,"",J587/SQRT(Таблица_pr1[[#This Row],[Удельное сопротивление грунта, Ом·м]])),J587/SQRT(Таблица_pr1[[#This Row],[Удельное сопротивление грунта, Ом·м]]))</f>
        <v/>
      </c>
      <c r="M587" s="51"/>
      <c r="N587" s="52"/>
      <c r="O587" s="50"/>
      <c r="P587" s="61" t="str">
        <f t="shared" si="81"/>
        <v/>
      </c>
      <c r="Q587" s="61" t="str">
        <f>IFERROR(IF(N587-N586&lt;=0,"",P587/SQRT(Таблица_pr2[[#This Row],[Удельное сопротивление грунта, Ом·м]])),P587/SQRT(Таблица_pr2[[#This Row],[Удельное сопротивление грунта, Ом·м]]))</f>
        <v/>
      </c>
      <c r="S587" s="51"/>
      <c r="T587" s="52"/>
      <c r="U587" s="50"/>
      <c r="V587" s="61" t="str">
        <f t="shared" si="77"/>
        <v/>
      </c>
      <c r="W587" s="61" t="str">
        <f>IFERROR(IF(T587-T586&lt;=0,"",V587/SQRT(Таблица_pr3[[#This Row],[Удельное сопротивление грунта, Ом·м]])),V587/SQRT(Таблица_pr3[[#This Row],[Удельное сопротивление грунта, Ом·м]]))</f>
        <v/>
      </c>
      <c r="Y587" s="51"/>
      <c r="Z587" s="52"/>
      <c r="AA587" s="50"/>
      <c r="AB587" s="61" t="str">
        <f t="shared" si="82"/>
        <v/>
      </c>
      <c r="AC587" s="61" t="str">
        <f>IFERROR(IF(Z587-Z586&lt;=0,"",AB587/SQRT(Таблица_pr4[[#This Row],[Удельное сопротивление грунта, Ом·м]])),AB587/SQRT(Таблица_pr4[[#This Row],[Удельное сопротивление грунта, Ом·м]]))</f>
        <v/>
      </c>
      <c r="AE587" s="51"/>
      <c r="AF587" s="52"/>
      <c r="AG587" s="50"/>
      <c r="AH587" s="61" t="str">
        <f t="shared" si="78"/>
        <v/>
      </c>
      <c r="AI587" s="61" t="str">
        <f>IFERROR(IF(AF587-AF586&lt;=0,"",AH587/SQRT(Таблица_pr5[[#This Row],[Удельное сопротивление грунта, Ом·м]])),AH587/SQRT(Таблица_pr5[[#This Row],[Удельное сопротивление грунта, Ом·м]]))</f>
        <v/>
      </c>
      <c r="AK587" s="51"/>
      <c r="AL587" s="52"/>
      <c r="AM587" s="50"/>
      <c r="AN587" s="61" t="str">
        <f t="shared" si="83"/>
        <v/>
      </c>
      <c r="AO587" s="61" t="str">
        <f>IFERROR(IF(AL587-AL586&lt;=0,"",AN587/SQRT(Таблица_pr6[[#This Row],[Удельное сопротивление грунта, Ом·м]])),AN587/SQRT(Таблица_pr6[[#This Row],[Удельное сопротивление грунта, Ом·м]]))</f>
        <v/>
      </c>
      <c r="AQ587" s="51"/>
      <c r="AR587" s="52"/>
      <c r="AS587" s="50"/>
      <c r="AT587" s="61" t="str">
        <f t="shared" si="79"/>
        <v/>
      </c>
      <c r="AU587" s="61" t="str">
        <f>IFERROR(IF(AR587-AR586&lt;=0,"",AT587/SQRT(Таблица_pr7[[#This Row],[Удельное сопротивление грунта, Ом·м]])),AT587/SQRT(Таблица_pr7[[#This Row],[Удельное сопротивление грунта, Ом·м]]))</f>
        <v/>
      </c>
      <c r="AW587" s="51"/>
      <c r="AX587" s="52"/>
      <c r="AY587" s="50"/>
      <c r="AZ587" s="61" t="str">
        <f t="shared" si="84"/>
        <v/>
      </c>
      <c r="BA587" s="61" t="str">
        <f>IFERROR(IF(AX587-AX586&lt;=0,"",AZ587/SQRT(Таблица_pr8[[#This Row],[Удельное сопротивление грунта, Ом·м]])),AZ587/SQRT(Таблица_pr8[[#This Row],[Удельное сопротивление грунта, Ом·м]]))</f>
        <v/>
      </c>
      <c r="BC587" s="51"/>
      <c r="BD587" s="52"/>
      <c r="BE587" s="50"/>
      <c r="BF587" s="61" t="str">
        <f t="shared" si="80"/>
        <v/>
      </c>
      <c r="BG587" s="61" t="str">
        <f>IFERROR(IF(BD587-AX606&lt;=0,"",BF587/SQRT(Таблица_pr9[[#This Row],[Удельное сопротивление грунта, Ом·м]])),BF587/SQRT(Таблица_pr9[[#This Row],[Удельное сопротивление грунта, Ом·м]]))</f>
        <v/>
      </c>
      <c r="BI587" s="51"/>
      <c r="BJ587" s="52"/>
      <c r="BK587" s="50"/>
      <c r="BL587" s="61" t="str">
        <f t="shared" si="85"/>
        <v/>
      </c>
      <c r="BM587" s="61" t="str">
        <f>IFERROR(IF(BJ587-BD616&lt;=0,"",BL587/SQRT(Таблица_pr10[[#This Row],[Удельное сопротивление грунта, Ом·м]])),BL587/SQRT(Таблица_pr10[[#This Row],[Удельное сопротивление грунта, Ом·м]]))</f>
        <v/>
      </c>
    </row>
    <row r="588" spans="1:65">
      <c r="A588" s="53"/>
      <c r="B588" s="52"/>
      <c r="C588" s="50"/>
      <c r="D588" s="61" t="str">
        <f t="shared" si="75"/>
        <v/>
      </c>
      <c r="E588" s="61" t="str">
        <f>IFERROR(IF(B588-B587&lt;=0,"",D588/SQRT(Таблица_pr[[#This Row],[Удельное сопротивление грунта, Ом·м]])),D588/SQRT(Таблица_pr[[#This Row],[Удельное сопротивление грунта, Ом·м]]))</f>
        <v/>
      </c>
      <c r="G588" s="188"/>
      <c r="H588" s="184"/>
      <c r="I588" s="182"/>
      <c r="J588" s="181" t="str">
        <f t="shared" si="76"/>
        <v/>
      </c>
      <c r="K588" s="61" t="str">
        <f>IFERROR(IF(H588-H587&lt;=0,"",J588/SQRT(Таблица_pr1[[#This Row],[Удельное сопротивление грунта, Ом·м]])),J588/SQRT(Таблица_pr1[[#This Row],[Удельное сопротивление грунта, Ом·м]]))</f>
        <v/>
      </c>
      <c r="M588" s="53"/>
      <c r="N588" s="52"/>
      <c r="O588" s="50"/>
      <c r="P588" s="61" t="str">
        <f t="shared" si="81"/>
        <v/>
      </c>
      <c r="Q588" s="61" t="str">
        <f>IFERROR(IF(N588-N587&lt;=0,"",P588/SQRT(Таблица_pr2[[#This Row],[Удельное сопротивление грунта, Ом·м]])),P588/SQRT(Таблица_pr2[[#This Row],[Удельное сопротивление грунта, Ом·м]]))</f>
        <v/>
      </c>
      <c r="S588" s="53"/>
      <c r="T588" s="52"/>
      <c r="U588" s="50"/>
      <c r="V588" s="61" t="str">
        <f t="shared" si="77"/>
        <v/>
      </c>
      <c r="W588" s="61" t="str">
        <f>IFERROR(IF(T588-T587&lt;=0,"",V588/SQRT(Таблица_pr3[[#This Row],[Удельное сопротивление грунта, Ом·м]])),V588/SQRT(Таблица_pr3[[#This Row],[Удельное сопротивление грунта, Ом·м]]))</f>
        <v/>
      </c>
      <c r="Y588" s="53"/>
      <c r="Z588" s="52"/>
      <c r="AA588" s="50"/>
      <c r="AB588" s="61" t="str">
        <f t="shared" si="82"/>
        <v/>
      </c>
      <c r="AC588" s="61" t="str">
        <f>IFERROR(IF(Z588-Z587&lt;=0,"",AB588/SQRT(Таблица_pr4[[#This Row],[Удельное сопротивление грунта, Ом·м]])),AB588/SQRT(Таблица_pr4[[#This Row],[Удельное сопротивление грунта, Ом·м]]))</f>
        <v/>
      </c>
      <c r="AE588" s="53"/>
      <c r="AF588" s="52"/>
      <c r="AG588" s="50"/>
      <c r="AH588" s="61" t="str">
        <f t="shared" si="78"/>
        <v/>
      </c>
      <c r="AI588" s="61" t="str">
        <f>IFERROR(IF(AF588-AF587&lt;=0,"",AH588/SQRT(Таблица_pr5[[#This Row],[Удельное сопротивление грунта, Ом·м]])),AH588/SQRT(Таблица_pr5[[#This Row],[Удельное сопротивление грунта, Ом·м]]))</f>
        <v/>
      </c>
      <c r="AK588" s="53"/>
      <c r="AL588" s="52"/>
      <c r="AM588" s="50"/>
      <c r="AN588" s="61" t="str">
        <f t="shared" si="83"/>
        <v/>
      </c>
      <c r="AO588" s="61" t="str">
        <f>IFERROR(IF(AL588-AL587&lt;=0,"",AN588/SQRT(Таблица_pr6[[#This Row],[Удельное сопротивление грунта, Ом·м]])),AN588/SQRT(Таблица_pr6[[#This Row],[Удельное сопротивление грунта, Ом·м]]))</f>
        <v/>
      </c>
      <c r="AQ588" s="53"/>
      <c r="AR588" s="52"/>
      <c r="AS588" s="50"/>
      <c r="AT588" s="61" t="str">
        <f t="shared" si="79"/>
        <v/>
      </c>
      <c r="AU588" s="61" t="str">
        <f>IFERROR(IF(AR588-AR587&lt;=0,"",AT588/SQRT(Таблица_pr7[[#This Row],[Удельное сопротивление грунта, Ом·м]])),AT588/SQRT(Таблица_pr7[[#This Row],[Удельное сопротивление грунта, Ом·м]]))</f>
        <v/>
      </c>
      <c r="AW588" s="53"/>
      <c r="AX588" s="52"/>
      <c r="AY588" s="50"/>
      <c r="AZ588" s="61" t="str">
        <f t="shared" si="84"/>
        <v/>
      </c>
      <c r="BA588" s="61" t="str">
        <f>IFERROR(IF(AX588-AX587&lt;=0,"",AZ588/SQRT(Таблица_pr8[[#This Row],[Удельное сопротивление грунта, Ом·м]])),AZ588/SQRT(Таблица_pr8[[#This Row],[Удельное сопротивление грунта, Ом·м]]))</f>
        <v/>
      </c>
      <c r="BC588" s="53"/>
      <c r="BD588" s="52"/>
      <c r="BE588" s="50"/>
      <c r="BF588" s="61" t="str">
        <f t="shared" si="80"/>
        <v/>
      </c>
      <c r="BG588" s="61" t="str">
        <f>IFERROR(IF(BD588-AX607&lt;=0,"",BF588/SQRT(Таблица_pr9[[#This Row],[Удельное сопротивление грунта, Ом·м]])),BF588/SQRT(Таблица_pr9[[#This Row],[Удельное сопротивление грунта, Ом·м]]))</f>
        <v/>
      </c>
      <c r="BI588" s="53"/>
      <c r="BJ588" s="52"/>
      <c r="BK588" s="50"/>
      <c r="BL588" s="61" t="str">
        <f t="shared" si="85"/>
        <v/>
      </c>
      <c r="BM588" s="61" t="str">
        <f>IFERROR(IF(BJ588-BD617&lt;=0,"",BL588/SQRT(Таблица_pr10[[#This Row],[Удельное сопротивление грунта, Ом·м]])),BL588/SQRT(Таблица_pr10[[#This Row],[Удельное сопротивление грунта, Ом·м]]))</f>
        <v/>
      </c>
    </row>
    <row r="589" spans="1:65">
      <c r="A589" s="51"/>
      <c r="B589" s="52"/>
      <c r="C589" s="50"/>
      <c r="D589" s="61" t="str">
        <f t="shared" si="75"/>
        <v/>
      </c>
      <c r="E589" s="61" t="str">
        <f>IFERROR(IF(B589-B588&lt;=0,"",D589/SQRT(Таблица_pr[[#This Row],[Удельное сопротивление грунта, Ом·м]])),D589/SQRT(Таблица_pr[[#This Row],[Удельное сопротивление грунта, Ом·м]]))</f>
        <v/>
      </c>
      <c r="G589" s="189"/>
      <c r="H589" s="185"/>
      <c r="I589" s="183"/>
      <c r="J589" s="180" t="str">
        <f t="shared" si="76"/>
        <v/>
      </c>
      <c r="K589" s="61" t="str">
        <f>IFERROR(IF(H589-H588&lt;=0,"",J589/SQRT(Таблица_pr1[[#This Row],[Удельное сопротивление грунта, Ом·м]])),J589/SQRT(Таблица_pr1[[#This Row],[Удельное сопротивление грунта, Ом·м]]))</f>
        <v/>
      </c>
      <c r="M589" s="51"/>
      <c r="N589" s="52"/>
      <c r="O589" s="50"/>
      <c r="P589" s="61" t="str">
        <f t="shared" si="81"/>
        <v/>
      </c>
      <c r="Q589" s="61" t="str">
        <f>IFERROR(IF(N589-N588&lt;=0,"",P589/SQRT(Таблица_pr2[[#This Row],[Удельное сопротивление грунта, Ом·м]])),P589/SQRT(Таблица_pr2[[#This Row],[Удельное сопротивление грунта, Ом·м]]))</f>
        <v/>
      </c>
      <c r="S589" s="51"/>
      <c r="T589" s="52"/>
      <c r="U589" s="50"/>
      <c r="V589" s="61" t="str">
        <f t="shared" si="77"/>
        <v/>
      </c>
      <c r="W589" s="61" t="str">
        <f>IFERROR(IF(T589-T588&lt;=0,"",V589/SQRT(Таблица_pr3[[#This Row],[Удельное сопротивление грунта, Ом·м]])),V589/SQRT(Таблица_pr3[[#This Row],[Удельное сопротивление грунта, Ом·м]]))</f>
        <v/>
      </c>
      <c r="Y589" s="51"/>
      <c r="Z589" s="52"/>
      <c r="AA589" s="50"/>
      <c r="AB589" s="61" t="str">
        <f t="shared" si="82"/>
        <v/>
      </c>
      <c r="AC589" s="61" t="str">
        <f>IFERROR(IF(Z589-Z588&lt;=0,"",AB589/SQRT(Таблица_pr4[[#This Row],[Удельное сопротивление грунта, Ом·м]])),AB589/SQRT(Таблица_pr4[[#This Row],[Удельное сопротивление грунта, Ом·м]]))</f>
        <v/>
      </c>
      <c r="AE589" s="51"/>
      <c r="AF589" s="52"/>
      <c r="AG589" s="50"/>
      <c r="AH589" s="61" t="str">
        <f t="shared" si="78"/>
        <v/>
      </c>
      <c r="AI589" s="61" t="str">
        <f>IFERROR(IF(AF589-AF588&lt;=0,"",AH589/SQRT(Таблица_pr5[[#This Row],[Удельное сопротивление грунта, Ом·м]])),AH589/SQRT(Таблица_pr5[[#This Row],[Удельное сопротивление грунта, Ом·м]]))</f>
        <v/>
      </c>
      <c r="AK589" s="51"/>
      <c r="AL589" s="52"/>
      <c r="AM589" s="50"/>
      <c r="AN589" s="61" t="str">
        <f t="shared" si="83"/>
        <v/>
      </c>
      <c r="AO589" s="61" t="str">
        <f>IFERROR(IF(AL589-AL588&lt;=0,"",AN589/SQRT(Таблица_pr6[[#This Row],[Удельное сопротивление грунта, Ом·м]])),AN589/SQRT(Таблица_pr6[[#This Row],[Удельное сопротивление грунта, Ом·м]]))</f>
        <v/>
      </c>
      <c r="AQ589" s="51"/>
      <c r="AR589" s="52"/>
      <c r="AS589" s="50"/>
      <c r="AT589" s="61" t="str">
        <f t="shared" si="79"/>
        <v/>
      </c>
      <c r="AU589" s="61" t="str">
        <f>IFERROR(IF(AR589-AR588&lt;=0,"",AT589/SQRT(Таблица_pr7[[#This Row],[Удельное сопротивление грунта, Ом·м]])),AT589/SQRT(Таблица_pr7[[#This Row],[Удельное сопротивление грунта, Ом·м]]))</f>
        <v/>
      </c>
      <c r="AW589" s="51"/>
      <c r="AX589" s="52"/>
      <c r="AY589" s="50"/>
      <c r="AZ589" s="61" t="str">
        <f t="shared" si="84"/>
        <v/>
      </c>
      <c r="BA589" s="61" t="str">
        <f>IFERROR(IF(AX589-AX588&lt;=0,"",AZ589/SQRT(Таблица_pr8[[#This Row],[Удельное сопротивление грунта, Ом·м]])),AZ589/SQRT(Таблица_pr8[[#This Row],[Удельное сопротивление грунта, Ом·м]]))</f>
        <v/>
      </c>
      <c r="BC589" s="51"/>
      <c r="BD589" s="52"/>
      <c r="BE589" s="50"/>
      <c r="BF589" s="61" t="str">
        <f t="shared" si="80"/>
        <v/>
      </c>
      <c r="BG589" s="61" t="str">
        <f>IFERROR(IF(BD589-AX608&lt;=0,"",BF589/SQRT(Таблица_pr9[[#This Row],[Удельное сопротивление грунта, Ом·м]])),BF589/SQRT(Таблица_pr9[[#This Row],[Удельное сопротивление грунта, Ом·м]]))</f>
        <v/>
      </c>
      <c r="BI589" s="51"/>
      <c r="BJ589" s="52"/>
      <c r="BK589" s="50"/>
      <c r="BL589" s="61" t="str">
        <f t="shared" si="85"/>
        <v/>
      </c>
      <c r="BM589" s="61" t="str">
        <f>IFERROR(IF(BJ589-BD618&lt;=0,"",BL589/SQRT(Таблица_pr10[[#This Row],[Удельное сопротивление грунта, Ом·м]])),BL589/SQRT(Таблица_pr10[[#This Row],[Удельное сопротивление грунта, Ом·м]]))</f>
        <v/>
      </c>
    </row>
    <row r="590" spans="1:65">
      <c r="A590" s="53"/>
      <c r="B590" s="52"/>
      <c r="C590" s="50"/>
      <c r="D590" s="61" t="str">
        <f t="shared" si="75"/>
        <v/>
      </c>
      <c r="E590" s="61" t="str">
        <f>IFERROR(IF(B590-B589&lt;=0,"",D590/SQRT(Таблица_pr[[#This Row],[Удельное сопротивление грунта, Ом·м]])),D590/SQRT(Таблица_pr[[#This Row],[Удельное сопротивление грунта, Ом·м]]))</f>
        <v/>
      </c>
      <c r="G590" s="188"/>
      <c r="H590" s="184"/>
      <c r="I590" s="182"/>
      <c r="J590" s="181" t="str">
        <f t="shared" si="76"/>
        <v/>
      </c>
      <c r="K590" s="61" t="str">
        <f>IFERROR(IF(H590-H589&lt;=0,"",J590/SQRT(Таблица_pr1[[#This Row],[Удельное сопротивление грунта, Ом·м]])),J590/SQRT(Таблица_pr1[[#This Row],[Удельное сопротивление грунта, Ом·м]]))</f>
        <v/>
      </c>
      <c r="M590" s="53"/>
      <c r="N590" s="52"/>
      <c r="O590" s="50"/>
      <c r="P590" s="61" t="str">
        <f t="shared" si="81"/>
        <v/>
      </c>
      <c r="Q590" s="61" t="str">
        <f>IFERROR(IF(N590-N589&lt;=0,"",P590/SQRT(Таблица_pr2[[#This Row],[Удельное сопротивление грунта, Ом·м]])),P590/SQRT(Таблица_pr2[[#This Row],[Удельное сопротивление грунта, Ом·м]]))</f>
        <v/>
      </c>
      <c r="S590" s="53"/>
      <c r="T590" s="52"/>
      <c r="U590" s="50"/>
      <c r="V590" s="61" t="str">
        <f t="shared" si="77"/>
        <v/>
      </c>
      <c r="W590" s="61" t="str">
        <f>IFERROR(IF(T590-T589&lt;=0,"",V590/SQRT(Таблица_pr3[[#This Row],[Удельное сопротивление грунта, Ом·м]])),V590/SQRT(Таблица_pr3[[#This Row],[Удельное сопротивление грунта, Ом·м]]))</f>
        <v/>
      </c>
      <c r="Y590" s="53"/>
      <c r="Z590" s="52"/>
      <c r="AA590" s="50"/>
      <c r="AB590" s="61" t="str">
        <f t="shared" si="82"/>
        <v/>
      </c>
      <c r="AC590" s="61" t="str">
        <f>IFERROR(IF(Z590-Z589&lt;=0,"",AB590/SQRT(Таблица_pr4[[#This Row],[Удельное сопротивление грунта, Ом·м]])),AB590/SQRT(Таблица_pr4[[#This Row],[Удельное сопротивление грунта, Ом·м]]))</f>
        <v/>
      </c>
      <c r="AE590" s="53"/>
      <c r="AF590" s="52"/>
      <c r="AG590" s="50"/>
      <c r="AH590" s="61" t="str">
        <f t="shared" si="78"/>
        <v/>
      </c>
      <c r="AI590" s="61" t="str">
        <f>IFERROR(IF(AF590-AF589&lt;=0,"",AH590/SQRT(Таблица_pr5[[#This Row],[Удельное сопротивление грунта, Ом·м]])),AH590/SQRT(Таблица_pr5[[#This Row],[Удельное сопротивление грунта, Ом·м]]))</f>
        <v/>
      </c>
      <c r="AK590" s="53"/>
      <c r="AL590" s="52"/>
      <c r="AM590" s="50"/>
      <c r="AN590" s="61" t="str">
        <f t="shared" si="83"/>
        <v/>
      </c>
      <c r="AO590" s="61" t="str">
        <f>IFERROR(IF(AL590-AL589&lt;=0,"",AN590/SQRT(Таблица_pr6[[#This Row],[Удельное сопротивление грунта, Ом·м]])),AN590/SQRT(Таблица_pr6[[#This Row],[Удельное сопротивление грунта, Ом·м]]))</f>
        <v/>
      </c>
      <c r="AQ590" s="53"/>
      <c r="AR590" s="52"/>
      <c r="AS590" s="50"/>
      <c r="AT590" s="61" t="str">
        <f t="shared" si="79"/>
        <v/>
      </c>
      <c r="AU590" s="61" t="str">
        <f>IFERROR(IF(AR590-AR589&lt;=0,"",AT590/SQRT(Таблица_pr7[[#This Row],[Удельное сопротивление грунта, Ом·м]])),AT590/SQRT(Таблица_pr7[[#This Row],[Удельное сопротивление грунта, Ом·м]]))</f>
        <v/>
      </c>
      <c r="AW590" s="53"/>
      <c r="AX590" s="52"/>
      <c r="AY590" s="50"/>
      <c r="AZ590" s="61" t="str">
        <f t="shared" si="84"/>
        <v/>
      </c>
      <c r="BA590" s="61" t="str">
        <f>IFERROR(IF(AX590-AX589&lt;=0,"",AZ590/SQRT(Таблица_pr8[[#This Row],[Удельное сопротивление грунта, Ом·м]])),AZ590/SQRT(Таблица_pr8[[#This Row],[Удельное сопротивление грунта, Ом·м]]))</f>
        <v/>
      </c>
      <c r="BC590" s="53"/>
      <c r="BD590" s="52"/>
      <c r="BE590" s="50"/>
      <c r="BF590" s="61" t="str">
        <f t="shared" si="80"/>
        <v/>
      </c>
      <c r="BG590" s="61" t="str">
        <f>IFERROR(IF(BD590-AX609&lt;=0,"",BF590/SQRT(Таблица_pr9[[#This Row],[Удельное сопротивление грунта, Ом·м]])),BF590/SQRT(Таблица_pr9[[#This Row],[Удельное сопротивление грунта, Ом·м]]))</f>
        <v/>
      </c>
      <c r="BI590" s="53"/>
      <c r="BJ590" s="52"/>
      <c r="BK590" s="50"/>
      <c r="BL590" s="61" t="str">
        <f t="shared" si="85"/>
        <v/>
      </c>
      <c r="BM590" s="61" t="str">
        <f>IFERROR(IF(BJ590-BD619&lt;=0,"",BL590/SQRT(Таблица_pr10[[#This Row],[Удельное сопротивление грунта, Ом·м]])),BL590/SQRT(Таблица_pr10[[#This Row],[Удельное сопротивление грунта, Ом·м]]))</f>
        <v/>
      </c>
    </row>
    <row r="591" spans="1:65">
      <c r="A591" s="51"/>
      <c r="B591" s="52"/>
      <c r="C591" s="50"/>
      <c r="D591" s="61" t="str">
        <f t="shared" si="75"/>
        <v/>
      </c>
      <c r="E591" s="61" t="str">
        <f>IFERROR(IF(B591-B590&lt;=0,"",D591/SQRT(Таблица_pr[[#This Row],[Удельное сопротивление грунта, Ом·м]])),D591/SQRT(Таблица_pr[[#This Row],[Удельное сопротивление грунта, Ом·м]]))</f>
        <v/>
      </c>
      <c r="G591" s="189"/>
      <c r="H591" s="185"/>
      <c r="I591" s="183"/>
      <c r="J591" s="180" t="str">
        <f t="shared" si="76"/>
        <v/>
      </c>
      <c r="K591" s="61" t="str">
        <f>IFERROR(IF(H591-H590&lt;=0,"",J591/SQRT(Таблица_pr1[[#This Row],[Удельное сопротивление грунта, Ом·м]])),J591/SQRT(Таблица_pr1[[#This Row],[Удельное сопротивление грунта, Ом·м]]))</f>
        <v/>
      </c>
      <c r="M591" s="51"/>
      <c r="N591" s="52"/>
      <c r="O591" s="50"/>
      <c r="P591" s="61" t="str">
        <f t="shared" si="81"/>
        <v/>
      </c>
      <c r="Q591" s="61" t="str">
        <f>IFERROR(IF(N591-N590&lt;=0,"",P591/SQRT(Таблица_pr2[[#This Row],[Удельное сопротивление грунта, Ом·м]])),P591/SQRT(Таблица_pr2[[#This Row],[Удельное сопротивление грунта, Ом·м]]))</f>
        <v/>
      </c>
      <c r="S591" s="51"/>
      <c r="T591" s="52"/>
      <c r="U591" s="50"/>
      <c r="V591" s="61" t="str">
        <f t="shared" si="77"/>
        <v/>
      </c>
      <c r="W591" s="61" t="str">
        <f>IFERROR(IF(T591-T590&lt;=0,"",V591/SQRT(Таблица_pr3[[#This Row],[Удельное сопротивление грунта, Ом·м]])),V591/SQRT(Таблица_pr3[[#This Row],[Удельное сопротивление грунта, Ом·м]]))</f>
        <v/>
      </c>
      <c r="Y591" s="51"/>
      <c r="Z591" s="52"/>
      <c r="AA591" s="50"/>
      <c r="AB591" s="61" t="str">
        <f t="shared" si="82"/>
        <v/>
      </c>
      <c r="AC591" s="61" t="str">
        <f>IFERROR(IF(Z591-Z590&lt;=0,"",AB591/SQRT(Таблица_pr4[[#This Row],[Удельное сопротивление грунта, Ом·м]])),AB591/SQRT(Таблица_pr4[[#This Row],[Удельное сопротивление грунта, Ом·м]]))</f>
        <v/>
      </c>
      <c r="AE591" s="51"/>
      <c r="AF591" s="52"/>
      <c r="AG591" s="50"/>
      <c r="AH591" s="61" t="str">
        <f t="shared" si="78"/>
        <v/>
      </c>
      <c r="AI591" s="61" t="str">
        <f>IFERROR(IF(AF591-AF590&lt;=0,"",AH591/SQRT(Таблица_pr5[[#This Row],[Удельное сопротивление грунта, Ом·м]])),AH591/SQRT(Таблица_pr5[[#This Row],[Удельное сопротивление грунта, Ом·м]]))</f>
        <v/>
      </c>
      <c r="AK591" s="51"/>
      <c r="AL591" s="52"/>
      <c r="AM591" s="50"/>
      <c r="AN591" s="61" t="str">
        <f t="shared" si="83"/>
        <v/>
      </c>
      <c r="AO591" s="61" t="str">
        <f>IFERROR(IF(AL591-AL590&lt;=0,"",AN591/SQRT(Таблица_pr6[[#This Row],[Удельное сопротивление грунта, Ом·м]])),AN591/SQRT(Таблица_pr6[[#This Row],[Удельное сопротивление грунта, Ом·м]]))</f>
        <v/>
      </c>
      <c r="AQ591" s="51"/>
      <c r="AR591" s="52"/>
      <c r="AS591" s="50"/>
      <c r="AT591" s="61" t="str">
        <f t="shared" si="79"/>
        <v/>
      </c>
      <c r="AU591" s="61" t="str">
        <f>IFERROR(IF(AR591-AR590&lt;=0,"",AT591/SQRT(Таблица_pr7[[#This Row],[Удельное сопротивление грунта, Ом·м]])),AT591/SQRT(Таблица_pr7[[#This Row],[Удельное сопротивление грунта, Ом·м]]))</f>
        <v/>
      </c>
      <c r="AW591" s="51"/>
      <c r="AX591" s="52"/>
      <c r="AY591" s="50"/>
      <c r="AZ591" s="61" t="str">
        <f t="shared" si="84"/>
        <v/>
      </c>
      <c r="BA591" s="61" t="str">
        <f>IFERROR(IF(AX591-AX590&lt;=0,"",AZ591/SQRT(Таблица_pr8[[#This Row],[Удельное сопротивление грунта, Ом·м]])),AZ591/SQRT(Таблица_pr8[[#This Row],[Удельное сопротивление грунта, Ом·м]]))</f>
        <v/>
      </c>
      <c r="BC591" s="51"/>
      <c r="BD591" s="52"/>
      <c r="BE591" s="50"/>
      <c r="BF591" s="61" t="str">
        <f t="shared" si="80"/>
        <v/>
      </c>
      <c r="BG591" s="61" t="str">
        <f>IFERROR(IF(BD591-AX610&lt;=0,"",BF591/SQRT(Таблица_pr9[[#This Row],[Удельное сопротивление грунта, Ом·м]])),BF591/SQRT(Таблица_pr9[[#This Row],[Удельное сопротивление грунта, Ом·м]]))</f>
        <v/>
      </c>
      <c r="BI591" s="51"/>
      <c r="BJ591" s="52"/>
      <c r="BK591" s="50"/>
      <c r="BL591" s="61" t="str">
        <f t="shared" si="85"/>
        <v/>
      </c>
      <c r="BM591" s="61" t="str">
        <f>IFERROR(IF(BJ591-BD620&lt;=0,"",BL591/SQRT(Таблица_pr10[[#This Row],[Удельное сопротивление грунта, Ом·м]])),BL591/SQRT(Таблица_pr10[[#This Row],[Удельное сопротивление грунта, Ом·м]]))</f>
        <v/>
      </c>
    </row>
    <row r="592" spans="1:65">
      <c r="A592" s="53"/>
      <c r="B592" s="52"/>
      <c r="C592" s="50"/>
      <c r="D592" s="61" t="str">
        <f t="shared" si="75"/>
        <v/>
      </c>
      <c r="E592" s="61" t="str">
        <f>IFERROR(IF(B592-B591&lt;=0,"",D592/SQRT(Таблица_pr[[#This Row],[Удельное сопротивление грунта, Ом·м]])),D592/SQRT(Таблица_pr[[#This Row],[Удельное сопротивление грунта, Ом·м]]))</f>
        <v/>
      </c>
      <c r="G592" s="188"/>
      <c r="H592" s="184"/>
      <c r="I592" s="182"/>
      <c r="J592" s="181" t="str">
        <f t="shared" si="76"/>
        <v/>
      </c>
      <c r="K592" s="61" t="str">
        <f>IFERROR(IF(H592-H591&lt;=0,"",J592/SQRT(Таблица_pr1[[#This Row],[Удельное сопротивление грунта, Ом·м]])),J592/SQRT(Таблица_pr1[[#This Row],[Удельное сопротивление грунта, Ом·м]]))</f>
        <v/>
      </c>
      <c r="M592" s="53"/>
      <c r="N592" s="52"/>
      <c r="O592" s="50"/>
      <c r="P592" s="61" t="str">
        <f t="shared" si="81"/>
        <v/>
      </c>
      <c r="Q592" s="61" t="str">
        <f>IFERROR(IF(N592-N591&lt;=0,"",P592/SQRT(Таблица_pr2[[#This Row],[Удельное сопротивление грунта, Ом·м]])),P592/SQRT(Таблица_pr2[[#This Row],[Удельное сопротивление грунта, Ом·м]]))</f>
        <v/>
      </c>
      <c r="S592" s="53"/>
      <c r="T592" s="52"/>
      <c r="U592" s="50"/>
      <c r="V592" s="61" t="str">
        <f t="shared" si="77"/>
        <v/>
      </c>
      <c r="W592" s="61" t="str">
        <f>IFERROR(IF(T592-T591&lt;=0,"",V592/SQRT(Таблица_pr3[[#This Row],[Удельное сопротивление грунта, Ом·м]])),V592/SQRT(Таблица_pr3[[#This Row],[Удельное сопротивление грунта, Ом·м]]))</f>
        <v/>
      </c>
      <c r="Y592" s="53"/>
      <c r="Z592" s="52"/>
      <c r="AA592" s="50"/>
      <c r="AB592" s="61" t="str">
        <f t="shared" si="82"/>
        <v/>
      </c>
      <c r="AC592" s="61" t="str">
        <f>IFERROR(IF(Z592-Z591&lt;=0,"",AB592/SQRT(Таблица_pr4[[#This Row],[Удельное сопротивление грунта, Ом·м]])),AB592/SQRT(Таблица_pr4[[#This Row],[Удельное сопротивление грунта, Ом·м]]))</f>
        <v/>
      </c>
      <c r="AE592" s="53"/>
      <c r="AF592" s="52"/>
      <c r="AG592" s="50"/>
      <c r="AH592" s="61" t="str">
        <f t="shared" si="78"/>
        <v/>
      </c>
      <c r="AI592" s="61" t="str">
        <f>IFERROR(IF(AF592-AF591&lt;=0,"",AH592/SQRT(Таблица_pr5[[#This Row],[Удельное сопротивление грунта, Ом·м]])),AH592/SQRT(Таблица_pr5[[#This Row],[Удельное сопротивление грунта, Ом·м]]))</f>
        <v/>
      </c>
      <c r="AK592" s="53"/>
      <c r="AL592" s="52"/>
      <c r="AM592" s="50"/>
      <c r="AN592" s="61" t="str">
        <f t="shared" si="83"/>
        <v/>
      </c>
      <c r="AO592" s="61" t="str">
        <f>IFERROR(IF(AL592-AL591&lt;=0,"",AN592/SQRT(Таблица_pr6[[#This Row],[Удельное сопротивление грунта, Ом·м]])),AN592/SQRT(Таблица_pr6[[#This Row],[Удельное сопротивление грунта, Ом·м]]))</f>
        <v/>
      </c>
      <c r="AQ592" s="53"/>
      <c r="AR592" s="52"/>
      <c r="AS592" s="50"/>
      <c r="AT592" s="61" t="str">
        <f t="shared" si="79"/>
        <v/>
      </c>
      <c r="AU592" s="61" t="str">
        <f>IFERROR(IF(AR592-AR591&lt;=0,"",AT592/SQRT(Таблица_pr7[[#This Row],[Удельное сопротивление грунта, Ом·м]])),AT592/SQRT(Таблица_pr7[[#This Row],[Удельное сопротивление грунта, Ом·м]]))</f>
        <v/>
      </c>
      <c r="AW592" s="53"/>
      <c r="AX592" s="52"/>
      <c r="AY592" s="50"/>
      <c r="AZ592" s="61" t="str">
        <f t="shared" si="84"/>
        <v/>
      </c>
      <c r="BA592" s="61" t="str">
        <f>IFERROR(IF(AX592-AX591&lt;=0,"",AZ592/SQRT(Таблица_pr8[[#This Row],[Удельное сопротивление грунта, Ом·м]])),AZ592/SQRT(Таблица_pr8[[#This Row],[Удельное сопротивление грунта, Ом·м]]))</f>
        <v/>
      </c>
      <c r="BC592" s="53"/>
      <c r="BD592" s="52"/>
      <c r="BE592" s="50"/>
      <c r="BF592" s="61" t="str">
        <f t="shared" si="80"/>
        <v/>
      </c>
      <c r="BG592" s="61" t="str">
        <f>IFERROR(IF(BD592-AX611&lt;=0,"",BF592/SQRT(Таблица_pr9[[#This Row],[Удельное сопротивление грунта, Ом·м]])),BF592/SQRT(Таблица_pr9[[#This Row],[Удельное сопротивление грунта, Ом·м]]))</f>
        <v/>
      </c>
      <c r="BI592" s="53"/>
      <c r="BJ592" s="52"/>
      <c r="BK592" s="50"/>
      <c r="BL592" s="61" t="str">
        <f t="shared" si="85"/>
        <v/>
      </c>
      <c r="BM592" s="61" t="str">
        <f>IFERROR(IF(BJ592-BD621&lt;=0,"",BL592/SQRT(Таблица_pr10[[#This Row],[Удельное сопротивление грунта, Ом·м]])),BL592/SQRT(Таблица_pr10[[#This Row],[Удельное сопротивление грунта, Ом·м]]))</f>
        <v/>
      </c>
    </row>
    <row r="593" spans="1:65">
      <c r="A593" s="51"/>
      <c r="B593" s="52"/>
      <c r="C593" s="50"/>
      <c r="D593" s="61" t="str">
        <f t="shared" si="75"/>
        <v/>
      </c>
      <c r="E593" s="61" t="str">
        <f>IFERROR(IF(B593-B592&lt;=0,"",D593/SQRT(Таблица_pr[[#This Row],[Удельное сопротивление грунта, Ом·м]])),D593/SQRT(Таблица_pr[[#This Row],[Удельное сопротивление грунта, Ом·м]]))</f>
        <v/>
      </c>
      <c r="G593" s="189"/>
      <c r="H593" s="185"/>
      <c r="I593" s="183"/>
      <c r="J593" s="180" t="str">
        <f t="shared" si="76"/>
        <v/>
      </c>
      <c r="K593" s="61" t="str">
        <f>IFERROR(IF(H593-H592&lt;=0,"",J593/SQRT(Таблица_pr1[[#This Row],[Удельное сопротивление грунта, Ом·м]])),J593/SQRT(Таблица_pr1[[#This Row],[Удельное сопротивление грунта, Ом·м]]))</f>
        <v/>
      </c>
      <c r="M593" s="51"/>
      <c r="N593" s="52"/>
      <c r="O593" s="50"/>
      <c r="P593" s="61" t="str">
        <f t="shared" si="81"/>
        <v/>
      </c>
      <c r="Q593" s="61" t="str">
        <f>IFERROR(IF(N593-N592&lt;=0,"",P593/SQRT(Таблица_pr2[[#This Row],[Удельное сопротивление грунта, Ом·м]])),P593/SQRT(Таблица_pr2[[#This Row],[Удельное сопротивление грунта, Ом·м]]))</f>
        <v/>
      </c>
      <c r="S593" s="51"/>
      <c r="T593" s="52"/>
      <c r="U593" s="50"/>
      <c r="V593" s="61" t="str">
        <f t="shared" si="77"/>
        <v/>
      </c>
      <c r="W593" s="61" t="str">
        <f>IFERROR(IF(T593-T592&lt;=0,"",V593/SQRT(Таблица_pr3[[#This Row],[Удельное сопротивление грунта, Ом·м]])),V593/SQRT(Таблица_pr3[[#This Row],[Удельное сопротивление грунта, Ом·м]]))</f>
        <v/>
      </c>
      <c r="Y593" s="51"/>
      <c r="Z593" s="52"/>
      <c r="AA593" s="50"/>
      <c r="AB593" s="61" t="str">
        <f t="shared" si="82"/>
        <v/>
      </c>
      <c r="AC593" s="61" t="str">
        <f>IFERROR(IF(Z593-Z592&lt;=0,"",AB593/SQRT(Таблица_pr4[[#This Row],[Удельное сопротивление грунта, Ом·м]])),AB593/SQRT(Таблица_pr4[[#This Row],[Удельное сопротивление грунта, Ом·м]]))</f>
        <v/>
      </c>
      <c r="AE593" s="51"/>
      <c r="AF593" s="52"/>
      <c r="AG593" s="50"/>
      <c r="AH593" s="61" t="str">
        <f t="shared" si="78"/>
        <v/>
      </c>
      <c r="AI593" s="61" t="str">
        <f>IFERROR(IF(AF593-AF592&lt;=0,"",AH593/SQRT(Таблица_pr5[[#This Row],[Удельное сопротивление грунта, Ом·м]])),AH593/SQRT(Таблица_pr5[[#This Row],[Удельное сопротивление грунта, Ом·м]]))</f>
        <v/>
      </c>
      <c r="AK593" s="51"/>
      <c r="AL593" s="52"/>
      <c r="AM593" s="50"/>
      <c r="AN593" s="61" t="str">
        <f t="shared" si="83"/>
        <v/>
      </c>
      <c r="AO593" s="61" t="str">
        <f>IFERROR(IF(AL593-AL592&lt;=0,"",AN593/SQRT(Таблица_pr6[[#This Row],[Удельное сопротивление грунта, Ом·м]])),AN593/SQRT(Таблица_pr6[[#This Row],[Удельное сопротивление грунта, Ом·м]]))</f>
        <v/>
      </c>
      <c r="AQ593" s="51"/>
      <c r="AR593" s="52"/>
      <c r="AS593" s="50"/>
      <c r="AT593" s="61" t="str">
        <f t="shared" si="79"/>
        <v/>
      </c>
      <c r="AU593" s="61" t="str">
        <f>IFERROR(IF(AR593-AR592&lt;=0,"",AT593/SQRT(Таблица_pr7[[#This Row],[Удельное сопротивление грунта, Ом·м]])),AT593/SQRT(Таблица_pr7[[#This Row],[Удельное сопротивление грунта, Ом·м]]))</f>
        <v/>
      </c>
      <c r="AW593" s="51"/>
      <c r="AX593" s="52"/>
      <c r="AY593" s="50"/>
      <c r="AZ593" s="61" t="str">
        <f t="shared" si="84"/>
        <v/>
      </c>
      <c r="BA593" s="61" t="str">
        <f>IFERROR(IF(AX593-AX592&lt;=0,"",AZ593/SQRT(Таблица_pr8[[#This Row],[Удельное сопротивление грунта, Ом·м]])),AZ593/SQRT(Таблица_pr8[[#This Row],[Удельное сопротивление грунта, Ом·м]]))</f>
        <v/>
      </c>
      <c r="BC593" s="51"/>
      <c r="BD593" s="52"/>
      <c r="BE593" s="50"/>
      <c r="BF593" s="61" t="str">
        <f t="shared" si="80"/>
        <v/>
      </c>
      <c r="BG593" s="61" t="str">
        <f>IFERROR(IF(BD593-AX612&lt;=0,"",BF593/SQRT(Таблица_pr9[[#This Row],[Удельное сопротивление грунта, Ом·м]])),BF593/SQRT(Таблица_pr9[[#This Row],[Удельное сопротивление грунта, Ом·м]]))</f>
        <v/>
      </c>
      <c r="BI593" s="51"/>
      <c r="BJ593" s="52"/>
      <c r="BK593" s="50"/>
      <c r="BL593" s="61" t="str">
        <f t="shared" si="85"/>
        <v/>
      </c>
      <c r="BM593" s="61" t="str">
        <f>IFERROR(IF(BJ593-BD622&lt;=0,"",BL593/SQRT(Таблица_pr10[[#This Row],[Удельное сопротивление грунта, Ом·м]])),BL593/SQRT(Таблица_pr10[[#This Row],[Удельное сопротивление грунта, Ом·м]]))</f>
        <v/>
      </c>
    </row>
    <row r="594" spans="1:65">
      <c r="A594" s="53"/>
      <c r="B594" s="52"/>
      <c r="C594" s="50"/>
      <c r="D594" s="61" t="str">
        <f t="shared" si="75"/>
        <v/>
      </c>
      <c r="E594" s="61" t="str">
        <f>IFERROR(IF(B594-B593&lt;=0,"",D594/SQRT(Таблица_pr[[#This Row],[Удельное сопротивление грунта, Ом·м]])),D594/SQRT(Таблица_pr[[#This Row],[Удельное сопротивление грунта, Ом·м]]))</f>
        <v/>
      </c>
      <c r="G594" s="188"/>
      <c r="H594" s="184"/>
      <c r="I594" s="182"/>
      <c r="J594" s="181" t="str">
        <f t="shared" si="76"/>
        <v/>
      </c>
      <c r="K594" s="61" t="str">
        <f>IFERROR(IF(H594-H593&lt;=0,"",J594/SQRT(Таблица_pr1[[#This Row],[Удельное сопротивление грунта, Ом·м]])),J594/SQRT(Таблица_pr1[[#This Row],[Удельное сопротивление грунта, Ом·м]]))</f>
        <v/>
      </c>
      <c r="M594" s="53"/>
      <c r="N594" s="52"/>
      <c r="O594" s="50"/>
      <c r="P594" s="61" t="str">
        <f t="shared" si="81"/>
        <v/>
      </c>
      <c r="Q594" s="61" t="str">
        <f>IFERROR(IF(N594-N593&lt;=0,"",P594/SQRT(Таблица_pr2[[#This Row],[Удельное сопротивление грунта, Ом·м]])),P594/SQRT(Таблица_pr2[[#This Row],[Удельное сопротивление грунта, Ом·м]]))</f>
        <v/>
      </c>
      <c r="S594" s="53"/>
      <c r="T594" s="52"/>
      <c r="U594" s="50"/>
      <c r="V594" s="61" t="str">
        <f t="shared" si="77"/>
        <v/>
      </c>
      <c r="W594" s="61" t="str">
        <f>IFERROR(IF(T594-T593&lt;=0,"",V594/SQRT(Таблица_pr3[[#This Row],[Удельное сопротивление грунта, Ом·м]])),V594/SQRT(Таблица_pr3[[#This Row],[Удельное сопротивление грунта, Ом·м]]))</f>
        <v/>
      </c>
      <c r="Y594" s="53"/>
      <c r="Z594" s="52"/>
      <c r="AA594" s="50"/>
      <c r="AB594" s="61" t="str">
        <f t="shared" si="82"/>
        <v/>
      </c>
      <c r="AC594" s="61" t="str">
        <f>IFERROR(IF(Z594-Z593&lt;=0,"",AB594/SQRT(Таблица_pr4[[#This Row],[Удельное сопротивление грунта, Ом·м]])),AB594/SQRT(Таблица_pr4[[#This Row],[Удельное сопротивление грунта, Ом·м]]))</f>
        <v/>
      </c>
      <c r="AE594" s="53"/>
      <c r="AF594" s="52"/>
      <c r="AG594" s="50"/>
      <c r="AH594" s="61" t="str">
        <f t="shared" si="78"/>
        <v/>
      </c>
      <c r="AI594" s="61" t="str">
        <f>IFERROR(IF(AF594-AF593&lt;=0,"",AH594/SQRT(Таблица_pr5[[#This Row],[Удельное сопротивление грунта, Ом·м]])),AH594/SQRT(Таблица_pr5[[#This Row],[Удельное сопротивление грунта, Ом·м]]))</f>
        <v/>
      </c>
      <c r="AK594" s="53"/>
      <c r="AL594" s="52"/>
      <c r="AM594" s="50"/>
      <c r="AN594" s="61" t="str">
        <f t="shared" si="83"/>
        <v/>
      </c>
      <c r="AO594" s="61" t="str">
        <f>IFERROR(IF(AL594-AL593&lt;=0,"",AN594/SQRT(Таблица_pr6[[#This Row],[Удельное сопротивление грунта, Ом·м]])),AN594/SQRT(Таблица_pr6[[#This Row],[Удельное сопротивление грунта, Ом·м]]))</f>
        <v/>
      </c>
      <c r="AQ594" s="53"/>
      <c r="AR594" s="52"/>
      <c r="AS594" s="50"/>
      <c r="AT594" s="61" t="str">
        <f t="shared" si="79"/>
        <v/>
      </c>
      <c r="AU594" s="61" t="str">
        <f>IFERROR(IF(AR594-AR593&lt;=0,"",AT594/SQRT(Таблица_pr7[[#This Row],[Удельное сопротивление грунта, Ом·м]])),AT594/SQRT(Таблица_pr7[[#This Row],[Удельное сопротивление грунта, Ом·м]]))</f>
        <v/>
      </c>
      <c r="AW594" s="53"/>
      <c r="AX594" s="52"/>
      <c r="AY594" s="50"/>
      <c r="AZ594" s="61" t="str">
        <f t="shared" si="84"/>
        <v/>
      </c>
      <c r="BA594" s="61" t="str">
        <f>IFERROR(IF(AX594-AX593&lt;=0,"",AZ594/SQRT(Таблица_pr8[[#This Row],[Удельное сопротивление грунта, Ом·м]])),AZ594/SQRT(Таблица_pr8[[#This Row],[Удельное сопротивление грунта, Ом·м]]))</f>
        <v/>
      </c>
      <c r="BC594" s="53"/>
      <c r="BD594" s="52"/>
      <c r="BE594" s="50"/>
      <c r="BF594" s="61" t="str">
        <f t="shared" si="80"/>
        <v/>
      </c>
      <c r="BG594" s="61" t="str">
        <f>IFERROR(IF(BD594-AX613&lt;=0,"",BF594/SQRT(Таблица_pr9[[#This Row],[Удельное сопротивление грунта, Ом·м]])),BF594/SQRT(Таблица_pr9[[#This Row],[Удельное сопротивление грунта, Ом·м]]))</f>
        <v/>
      </c>
      <c r="BI594" s="53"/>
      <c r="BJ594" s="52"/>
      <c r="BK594" s="50"/>
      <c r="BL594" s="61" t="str">
        <f t="shared" si="85"/>
        <v/>
      </c>
      <c r="BM594" s="61" t="str">
        <f>IFERROR(IF(BJ594-BD623&lt;=0,"",BL594/SQRT(Таблица_pr10[[#This Row],[Удельное сопротивление грунта, Ом·м]])),BL594/SQRT(Таблица_pr10[[#This Row],[Удельное сопротивление грунта, Ом·м]]))</f>
        <v/>
      </c>
    </row>
    <row r="595" spans="1:65">
      <c r="A595" s="51"/>
      <c r="B595" s="52"/>
      <c r="C595" s="50"/>
      <c r="D595" s="61" t="str">
        <f t="shared" si="75"/>
        <v/>
      </c>
      <c r="E595" s="61" t="str">
        <f>IFERROR(IF(B595-B594&lt;=0,"",D595/SQRT(Таблица_pr[[#This Row],[Удельное сопротивление грунта, Ом·м]])),D595/SQRT(Таблица_pr[[#This Row],[Удельное сопротивление грунта, Ом·м]]))</f>
        <v/>
      </c>
      <c r="G595" s="189"/>
      <c r="H595" s="185"/>
      <c r="I595" s="183"/>
      <c r="J595" s="180" t="str">
        <f t="shared" si="76"/>
        <v/>
      </c>
      <c r="K595" s="61" t="str">
        <f>IFERROR(IF(H595-H594&lt;=0,"",J595/SQRT(Таблица_pr1[[#This Row],[Удельное сопротивление грунта, Ом·м]])),J595/SQRT(Таблица_pr1[[#This Row],[Удельное сопротивление грунта, Ом·м]]))</f>
        <v/>
      </c>
      <c r="M595" s="51"/>
      <c r="N595" s="52"/>
      <c r="O595" s="50"/>
      <c r="P595" s="61" t="str">
        <f t="shared" si="81"/>
        <v/>
      </c>
      <c r="Q595" s="61" t="str">
        <f>IFERROR(IF(N595-N594&lt;=0,"",P595/SQRT(Таблица_pr2[[#This Row],[Удельное сопротивление грунта, Ом·м]])),P595/SQRT(Таблица_pr2[[#This Row],[Удельное сопротивление грунта, Ом·м]]))</f>
        <v/>
      </c>
      <c r="S595" s="51"/>
      <c r="T595" s="52"/>
      <c r="U595" s="50"/>
      <c r="V595" s="61" t="str">
        <f t="shared" si="77"/>
        <v/>
      </c>
      <c r="W595" s="61" t="str">
        <f>IFERROR(IF(T595-T594&lt;=0,"",V595/SQRT(Таблица_pr3[[#This Row],[Удельное сопротивление грунта, Ом·м]])),V595/SQRT(Таблица_pr3[[#This Row],[Удельное сопротивление грунта, Ом·м]]))</f>
        <v/>
      </c>
      <c r="Y595" s="51"/>
      <c r="Z595" s="52"/>
      <c r="AA595" s="50"/>
      <c r="AB595" s="61" t="str">
        <f t="shared" si="82"/>
        <v/>
      </c>
      <c r="AC595" s="61" t="str">
        <f>IFERROR(IF(Z595-Z594&lt;=0,"",AB595/SQRT(Таблица_pr4[[#This Row],[Удельное сопротивление грунта, Ом·м]])),AB595/SQRT(Таблица_pr4[[#This Row],[Удельное сопротивление грунта, Ом·м]]))</f>
        <v/>
      </c>
      <c r="AE595" s="51"/>
      <c r="AF595" s="52"/>
      <c r="AG595" s="50"/>
      <c r="AH595" s="61" t="str">
        <f t="shared" si="78"/>
        <v/>
      </c>
      <c r="AI595" s="61" t="str">
        <f>IFERROR(IF(AF595-AF594&lt;=0,"",AH595/SQRT(Таблица_pr5[[#This Row],[Удельное сопротивление грунта, Ом·м]])),AH595/SQRT(Таблица_pr5[[#This Row],[Удельное сопротивление грунта, Ом·м]]))</f>
        <v/>
      </c>
      <c r="AK595" s="51"/>
      <c r="AL595" s="52"/>
      <c r="AM595" s="50"/>
      <c r="AN595" s="61" t="str">
        <f t="shared" si="83"/>
        <v/>
      </c>
      <c r="AO595" s="61" t="str">
        <f>IFERROR(IF(AL595-AL594&lt;=0,"",AN595/SQRT(Таблица_pr6[[#This Row],[Удельное сопротивление грунта, Ом·м]])),AN595/SQRT(Таблица_pr6[[#This Row],[Удельное сопротивление грунта, Ом·м]]))</f>
        <v/>
      </c>
      <c r="AQ595" s="51"/>
      <c r="AR595" s="52"/>
      <c r="AS595" s="50"/>
      <c r="AT595" s="61" t="str">
        <f t="shared" si="79"/>
        <v/>
      </c>
      <c r="AU595" s="61" t="str">
        <f>IFERROR(IF(AR595-AR594&lt;=0,"",AT595/SQRT(Таблица_pr7[[#This Row],[Удельное сопротивление грунта, Ом·м]])),AT595/SQRT(Таблица_pr7[[#This Row],[Удельное сопротивление грунта, Ом·м]]))</f>
        <v/>
      </c>
      <c r="AW595" s="51"/>
      <c r="AX595" s="52"/>
      <c r="AY595" s="50"/>
      <c r="AZ595" s="61" t="str">
        <f t="shared" si="84"/>
        <v/>
      </c>
      <c r="BA595" s="61" t="str">
        <f>IFERROR(IF(AX595-AX594&lt;=0,"",AZ595/SQRT(Таблица_pr8[[#This Row],[Удельное сопротивление грунта, Ом·м]])),AZ595/SQRT(Таблица_pr8[[#This Row],[Удельное сопротивление грунта, Ом·м]]))</f>
        <v/>
      </c>
      <c r="BC595" s="51"/>
      <c r="BD595" s="52"/>
      <c r="BE595" s="50"/>
      <c r="BF595" s="61" t="str">
        <f t="shared" si="80"/>
        <v/>
      </c>
      <c r="BG595" s="61" t="str">
        <f>IFERROR(IF(BD595-AX614&lt;=0,"",BF595/SQRT(Таблица_pr9[[#This Row],[Удельное сопротивление грунта, Ом·м]])),BF595/SQRT(Таблица_pr9[[#This Row],[Удельное сопротивление грунта, Ом·м]]))</f>
        <v/>
      </c>
      <c r="BI595" s="51"/>
      <c r="BJ595" s="52"/>
      <c r="BK595" s="50"/>
      <c r="BL595" s="61" t="str">
        <f t="shared" si="85"/>
        <v/>
      </c>
      <c r="BM595" s="61" t="str">
        <f>IFERROR(IF(BJ595-BD624&lt;=0,"",BL595/SQRT(Таблица_pr10[[#This Row],[Удельное сопротивление грунта, Ом·м]])),BL595/SQRT(Таблица_pr10[[#This Row],[Удельное сопротивление грунта, Ом·м]]))</f>
        <v/>
      </c>
    </row>
    <row r="596" spans="1:65">
      <c r="A596" s="53"/>
      <c r="B596" s="52"/>
      <c r="C596" s="50"/>
      <c r="D596" s="61" t="str">
        <f t="shared" si="75"/>
        <v/>
      </c>
      <c r="E596" s="61" t="str">
        <f>IFERROR(IF(B596-B595&lt;=0,"",D596/SQRT(Таблица_pr[[#This Row],[Удельное сопротивление грунта, Ом·м]])),D596/SQRT(Таблица_pr[[#This Row],[Удельное сопротивление грунта, Ом·м]]))</f>
        <v/>
      </c>
      <c r="G596" s="188"/>
      <c r="H596" s="184"/>
      <c r="I596" s="182"/>
      <c r="J596" s="181" t="str">
        <f t="shared" si="76"/>
        <v/>
      </c>
      <c r="K596" s="61" t="str">
        <f>IFERROR(IF(H596-H595&lt;=0,"",J596/SQRT(Таблица_pr1[[#This Row],[Удельное сопротивление грунта, Ом·м]])),J596/SQRT(Таблица_pr1[[#This Row],[Удельное сопротивление грунта, Ом·м]]))</f>
        <v/>
      </c>
      <c r="M596" s="53"/>
      <c r="N596" s="52"/>
      <c r="O596" s="50"/>
      <c r="P596" s="61" t="str">
        <f t="shared" si="81"/>
        <v/>
      </c>
      <c r="Q596" s="61" t="str">
        <f>IFERROR(IF(N596-N595&lt;=0,"",P596/SQRT(Таблица_pr2[[#This Row],[Удельное сопротивление грунта, Ом·м]])),P596/SQRT(Таблица_pr2[[#This Row],[Удельное сопротивление грунта, Ом·м]]))</f>
        <v/>
      </c>
      <c r="S596" s="53"/>
      <c r="T596" s="52"/>
      <c r="U596" s="50"/>
      <c r="V596" s="61" t="str">
        <f t="shared" si="77"/>
        <v/>
      </c>
      <c r="W596" s="61" t="str">
        <f>IFERROR(IF(T596-T595&lt;=0,"",V596/SQRT(Таблица_pr3[[#This Row],[Удельное сопротивление грунта, Ом·м]])),V596/SQRT(Таблица_pr3[[#This Row],[Удельное сопротивление грунта, Ом·м]]))</f>
        <v/>
      </c>
      <c r="Y596" s="53"/>
      <c r="Z596" s="52"/>
      <c r="AA596" s="50"/>
      <c r="AB596" s="61" t="str">
        <f t="shared" si="82"/>
        <v/>
      </c>
      <c r="AC596" s="61" t="str">
        <f>IFERROR(IF(Z596-Z595&lt;=0,"",AB596/SQRT(Таблица_pr4[[#This Row],[Удельное сопротивление грунта, Ом·м]])),AB596/SQRT(Таблица_pr4[[#This Row],[Удельное сопротивление грунта, Ом·м]]))</f>
        <v/>
      </c>
      <c r="AE596" s="53"/>
      <c r="AF596" s="52"/>
      <c r="AG596" s="50"/>
      <c r="AH596" s="61" t="str">
        <f t="shared" si="78"/>
        <v/>
      </c>
      <c r="AI596" s="61" t="str">
        <f>IFERROR(IF(AF596-AF595&lt;=0,"",AH596/SQRT(Таблица_pr5[[#This Row],[Удельное сопротивление грунта, Ом·м]])),AH596/SQRT(Таблица_pr5[[#This Row],[Удельное сопротивление грунта, Ом·м]]))</f>
        <v/>
      </c>
      <c r="AK596" s="53"/>
      <c r="AL596" s="52"/>
      <c r="AM596" s="50"/>
      <c r="AN596" s="61" t="str">
        <f t="shared" si="83"/>
        <v/>
      </c>
      <c r="AO596" s="61" t="str">
        <f>IFERROR(IF(AL596-AL595&lt;=0,"",AN596/SQRT(Таблица_pr6[[#This Row],[Удельное сопротивление грунта, Ом·м]])),AN596/SQRT(Таблица_pr6[[#This Row],[Удельное сопротивление грунта, Ом·м]]))</f>
        <v/>
      </c>
      <c r="AQ596" s="53"/>
      <c r="AR596" s="52"/>
      <c r="AS596" s="50"/>
      <c r="AT596" s="61" t="str">
        <f t="shared" si="79"/>
        <v/>
      </c>
      <c r="AU596" s="61" t="str">
        <f>IFERROR(IF(AR596-AR595&lt;=0,"",AT596/SQRT(Таблица_pr7[[#This Row],[Удельное сопротивление грунта, Ом·м]])),AT596/SQRT(Таблица_pr7[[#This Row],[Удельное сопротивление грунта, Ом·м]]))</f>
        <v/>
      </c>
      <c r="AW596" s="53"/>
      <c r="AX596" s="52"/>
      <c r="AY596" s="50"/>
      <c r="AZ596" s="61" t="str">
        <f t="shared" si="84"/>
        <v/>
      </c>
      <c r="BA596" s="61" t="str">
        <f>IFERROR(IF(AX596-AX595&lt;=0,"",AZ596/SQRT(Таблица_pr8[[#This Row],[Удельное сопротивление грунта, Ом·м]])),AZ596/SQRT(Таблица_pr8[[#This Row],[Удельное сопротивление грунта, Ом·м]]))</f>
        <v/>
      </c>
      <c r="BC596" s="53"/>
      <c r="BD596" s="52"/>
      <c r="BE596" s="50"/>
      <c r="BF596" s="61" t="str">
        <f t="shared" si="80"/>
        <v/>
      </c>
      <c r="BG596" s="61" t="str">
        <f>IFERROR(IF(BD596-AX615&lt;=0,"",BF596/SQRT(Таблица_pr9[[#This Row],[Удельное сопротивление грунта, Ом·м]])),BF596/SQRT(Таблица_pr9[[#This Row],[Удельное сопротивление грунта, Ом·м]]))</f>
        <v/>
      </c>
      <c r="BI596" s="53"/>
      <c r="BJ596" s="52"/>
      <c r="BK596" s="50"/>
      <c r="BL596" s="61" t="str">
        <f t="shared" si="85"/>
        <v/>
      </c>
      <c r="BM596" s="61" t="str">
        <f>IFERROR(IF(BJ596-BD625&lt;=0,"",BL596/SQRT(Таблица_pr10[[#This Row],[Удельное сопротивление грунта, Ом·м]])),BL596/SQRT(Таблица_pr10[[#This Row],[Удельное сопротивление грунта, Ом·м]]))</f>
        <v/>
      </c>
    </row>
    <row r="597" spans="1:65">
      <c r="A597" s="51"/>
      <c r="B597" s="52"/>
      <c r="C597" s="50"/>
      <c r="D597" s="61" t="str">
        <f t="shared" si="75"/>
        <v/>
      </c>
      <c r="E597" s="61" t="str">
        <f>IFERROR(IF(B597-B596&lt;=0,"",D597/SQRT(Таблица_pr[[#This Row],[Удельное сопротивление грунта, Ом·м]])),D597/SQRT(Таблица_pr[[#This Row],[Удельное сопротивление грунта, Ом·м]]))</f>
        <v/>
      </c>
      <c r="G597" s="189"/>
      <c r="H597" s="185"/>
      <c r="I597" s="183"/>
      <c r="J597" s="180" t="str">
        <f t="shared" si="76"/>
        <v/>
      </c>
      <c r="K597" s="61" t="str">
        <f>IFERROR(IF(H597-H596&lt;=0,"",J597/SQRT(Таблица_pr1[[#This Row],[Удельное сопротивление грунта, Ом·м]])),J597/SQRT(Таблица_pr1[[#This Row],[Удельное сопротивление грунта, Ом·м]]))</f>
        <v/>
      </c>
      <c r="M597" s="51"/>
      <c r="N597" s="52"/>
      <c r="O597" s="50"/>
      <c r="P597" s="61" t="str">
        <f t="shared" si="81"/>
        <v/>
      </c>
      <c r="Q597" s="61" t="str">
        <f>IFERROR(IF(N597-N596&lt;=0,"",P597/SQRT(Таблица_pr2[[#This Row],[Удельное сопротивление грунта, Ом·м]])),P597/SQRT(Таблица_pr2[[#This Row],[Удельное сопротивление грунта, Ом·м]]))</f>
        <v/>
      </c>
      <c r="S597" s="51"/>
      <c r="T597" s="52"/>
      <c r="U597" s="50"/>
      <c r="V597" s="61" t="str">
        <f t="shared" si="77"/>
        <v/>
      </c>
      <c r="W597" s="61" t="str">
        <f>IFERROR(IF(T597-T596&lt;=0,"",V597/SQRT(Таблица_pr3[[#This Row],[Удельное сопротивление грунта, Ом·м]])),V597/SQRT(Таблица_pr3[[#This Row],[Удельное сопротивление грунта, Ом·м]]))</f>
        <v/>
      </c>
      <c r="Y597" s="51"/>
      <c r="Z597" s="52"/>
      <c r="AA597" s="50"/>
      <c r="AB597" s="61" t="str">
        <f t="shared" si="82"/>
        <v/>
      </c>
      <c r="AC597" s="61" t="str">
        <f>IFERROR(IF(Z597-Z596&lt;=0,"",AB597/SQRT(Таблица_pr4[[#This Row],[Удельное сопротивление грунта, Ом·м]])),AB597/SQRT(Таблица_pr4[[#This Row],[Удельное сопротивление грунта, Ом·м]]))</f>
        <v/>
      </c>
      <c r="AE597" s="51"/>
      <c r="AF597" s="52"/>
      <c r="AG597" s="50"/>
      <c r="AH597" s="61" t="str">
        <f t="shared" si="78"/>
        <v/>
      </c>
      <c r="AI597" s="61" t="str">
        <f>IFERROR(IF(AF597-AF596&lt;=0,"",AH597/SQRT(Таблица_pr5[[#This Row],[Удельное сопротивление грунта, Ом·м]])),AH597/SQRT(Таблица_pr5[[#This Row],[Удельное сопротивление грунта, Ом·м]]))</f>
        <v/>
      </c>
      <c r="AK597" s="51"/>
      <c r="AL597" s="52"/>
      <c r="AM597" s="50"/>
      <c r="AN597" s="61" t="str">
        <f t="shared" si="83"/>
        <v/>
      </c>
      <c r="AO597" s="61" t="str">
        <f>IFERROR(IF(AL597-AL596&lt;=0,"",AN597/SQRT(Таблица_pr6[[#This Row],[Удельное сопротивление грунта, Ом·м]])),AN597/SQRT(Таблица_pr6[[#This Row],[Удельное сопротивление грунта, Ом·м]]))</f>
        <v/>
      </c>
      <c r="AQ597" s="51"/>
      <c r="AR597" s="52"/>
      <c r="AS597" s="50"/>
      <c r="AT597" s="61" t="str">
        <f t="shared" si="79"/>
        <v/>
      </c>
      <c r="AU597" s="61" t="str">
        <f>IFERROR(IF(AR597-AR596&lt;=0,"",AT597/SQRT(Таблица_pr7[[#This Row],[Удельное сопротивление грунта, Ом·м]])),AT597/SQRT(Таблица_pr7[[#This Row],[Удельное сопротивление грунта, Ом·м]]))</f>
        <v/>
      </c>
      <c r="AW597" s="51"/>
      <c r="AX597" s="52"/>
      <c r="AY597" s="50"/>
      <c r="AZ597" s="61" t="str">
        <f t="shared" si="84"/>
        <v/>
      </c>
      <c r="BA597" s="61" t="str">
        <f>IFERROR(IF(AX597-AX596&lt;=0,"",AZ597/SQRT(Таблица_pr8[[#This Row],[Удельное сопротивление грунта, Ом·м]])),AZ597/SQRT(Таблица_pr8[[#This Row],[Удельное сопротивление грунта, Ом·м]]))</f>
        <v/>
      </c>
      <c r="BC597" s="51"/>
      <c r="BD597" s="52"/>
      <c r="BE597" s="50"/>
      <c r="BF597" s="61" t="str">
        <f t="shared" si="80"/>
        <v/>
      </c>
      <c r="BG597" s="61" t="str">
        <f>IFERROR(IF(BD597-AX616&lt;=0,"",BF597/SQRT(Таблица_pr9[[#This Row],[Удельное сопротивление грунта, Ом·м]])),BF597/SQRT(Таблица_pr9[[#This Row],[Удельное сопротивление грунта, Ом·м]]))</f>
        <v/>
      </c>
      <c r="BI597" s="51"/>
      <c r="BJ597" s="52"/>
      <c r="BK597" s="50"/>
      <c r="BL597" s="61" t="str">
        <f t="shared" si="85"/>
        <v/>
      </c>
      <c r="BM597" s="61" t="str">
        <f>IFERROR(IF(BJ597-BD626&lt;=0,"",BL597/SQRT(Таблица_pr10[[#This Row],[Удельное сопротивление грунта, Ом·м]])),BL597/SQRT(Таблица_pr10[[#This Row],[Удельное сопротивление грунта, Ом·м]]))</f>
        <v/>
      </c>
    </row>
    <row r="598" spans="1:65">
      <c r="A598" s="53"/>
      <c r="B598" s="52"/>
      <c r="C598" s="50"/>
      <c r="D598" s="61" t="str">
        <f t="shared" si="75"/>
        <v/>
      </c>
      <c r="E598" s="61" t="str">
        <f>IFERROR(IF(B598-B597&lt;=0,"",D598/SQRT(Таблица_pr[[#This Row],[Удельное сопротивление грунта, Ом·м]])),D598/SQRT(Таблица_pr[[#This Row],[Удельное сопротивление грунта, Ом·м]]))</f>
        <v/>
      </c>
      <c r="G598" s="188"/>
      <c r="H598" s="184"/>
      <c r="I598" s="182"/>
      <c r="J598" s="181" t="str">
        <f t="shared" si="76"/>
        <v/>
      </c>
      <c r="K598" s="61" t="str">
        <f>IFERROR(IF(H598-H597&lt;=0,"",J598/SQRT(Таблица_pr1[[#This Row],[Удельное сопротивление грунта, Ом·м]])),J598/SQRT(Таблица_pr1[[#This Row],[Удельное сопротивление грунта, Ом·м]]))</f>
        <v/>
      </c>
      <c r="M598" s="53"/>
      <c r="N598" s="52"/>
      <c r="O598" s="50"/>
      <c r="P598" s="61" t="str">
        <f t="shared" si="81"/>
        <v/>
      </c>
      <c r="Q598" s="61" t="str">
        <f>IFERROR(IF(N598-N597&lt;=0,"",P598/SQRT(Таблица_pr2[[#This Row],[Удельное сопротивление грунта, Ом·м]])),P598/SQRT(Таблица_pr2[[#This Row],[Удельное сопротивление грунта, Ом·м]]))</f>
        <v/>
      </c>
      <c r="S598" s="53"/>
      <c r="T598" s="52"/>
      <c r="U598" s="50"/>
      <c r="V598" s="61" t="str">
        <f t="shared" si="77"/>
        <v/>
      </c>
      <c r="W598" s="61" t="str">
        <f>IFERROR(IF(T598-T597&lt;=0,"",V598/SQRT(Таблица_pr3[[#This Row],[Удельное сопротивление грунта, Ом·м]])),V598/SQRT(Таблица_pr3[[#This Row],[Удельное сопротивление грунта, Ом·м]]))</f>
        <v/>
      </c>
      <c r="Y598" s="53"/>
      <c r="Z598" s="52"/>
      <c r="AA598" s="50"/>
      <c r="AB598" s="61" t="str">
        <f t="shared" si="82"/>
        <v/>
      </c>
      <c r="AC598" s="61" t="str">
        <f>IFERROR(IF(Z598-Z597&lt;=0,"",AB598/SQRT(Таблица_pr4[[#This Row],[Удельное сопротивление грунта, Ом·м]])),AB598/SQRT(Таблица_pr4[[#This Row],[Удельное сопротивление грунта, Ом·м]]))</f>
        <v/>
      </c>
      <c r="AE598" s="53"/>
      <c r="AF598" s="52"/>
      <c r="AG598" s="50"/>
      <c r="AH598" s="61" t="str">
        <f t="shared" si="78"/>
        <v/>
      </c>
      <c r="AI598" s="61" t="str">
        <f>IFERROR(IF(AF598-AF597&lt;=0,"",AH598/SQRT(Таблица_pr5[[#This Row],[Удельное сопротивление грунта, Ом·м]])),AH598/SQRT(Таблица_pr5[[#This Row],[Удельное сопротивление грунта, Ом·м]]))</f>
        <v/>
      </c>
      <c r="AK598" s="53"/>
      <c r="AL598" s="52"/>
      <c r="AM598" s="50"/>
      <c r="AN598" s="61" t="str">
        <f t="shared" si="83"/>
        <v/>
      </c>
      <c r="AO598" s="61" t="str">
        <f>IFERROR(IF(AL598-AL597&lt;=0,"",AN598/SQRT(Таблица_pr6[[#This Row],[Удельное сопротивление грунта, Ом·м]])),AN598/SQRT(Таблица_pr6[[#This Row],[Удельное сопротивление грунта, Ом·м]]))</f>
        <v/>
      </c>
      <c r="AQ598" s="53"/>
      <c r="AR598" s="52"/>
      <c r="AS598" s="50"/>
      <c r="AT598" s="61" t="str">
        <f t="shared" si="79"/>
        <v/>
      </c>
      <c r="AU598" s="61" t="str">
        <f>IFERROR(IF(AR598-AR597&lt;=0,"",AT598/SQRT(Таблица_pr7[[#This Row],[Удельное сопротивление грунта, Ом·м]])),AT598/SQRT(Таблица_pr7[[#This Row],[Удельное сопротивление грунта, Ом·м]]))</f>
        <v/>
      </c>
      <c r="AW598" s="53"/>
      <c r="AX598" s="52"/>
      <c r="AY598" s="50"/>
      <c r="AZ598" s="61" t="str">
        <f t="shared" si="84"/>
        <v/>
      </c>
      <c r="BA598" s="61" t="str">
        <f>IFERROR(IF(AX598-AX597&lt;=0,"",AZ598/SQRT(Таблица_pr8[[#This Row],[Удельное сопротивление грунта, Ом·м]])),AZ598/SQRT(Таблица_pr8[[#This Row],[Удельное сопротивление грунта, Ом·м]]))</f>
        <v/>
      </c>
      <c r="BC598" s="53"/>
      <c r="BD598" s="52"/>
      <c r="BE598" s="50"/>
      <c r="BF598" s="61" t="str">
        <f t="shared" si="80"/>
        <v/>
      </c>
      <c r="BG598" s="61" t="str">
        <f>IFERROR(IF(BD598-AX617&lt;=0,"",BF598/SQRT(Таблица_pr9[[#This Row],[Удельное сопротивление грунта, Ом·м]])),BF598/SQRT(Таблица_pr9[[#This Row],[Удельное сопротивление грунта, Ом·м]]))</f>
        <v/>
      </c>
      <c r="BI598" s="53"/>
      <c r="BJ598" s="52"/>
      <c r="BK598" s="50"/>
      <c r="BL598" s="61" t="str">
        <f t="shared" si="85"/>
        <v/>
      </c>
      <c r="BM598" s="61" t="str">
        <f>IFERROR(IF(BJ598-BD627&lt;=0,"",BL598/SQRT(Таблица_pr10[[#This Row],[Удельное сопротивление грунта, Ом·м]])),BL598/SQRT(Таблица_pr10[[#This Row],[Удельное сопротивление грунта, Ом·м]]))</f>
        <v/>
      </c>
    </row>
    <row r="599" spans="1:65">
      <c r="A599" s="51"/>
      <c r="B599" s="52"/>
      <c r="C599" s="50"/>
      <c r="D599" s="61" t="str">
        <f t="shared" si="75"/>
        <v/>
      </c>
      <c r="E599" s="61" t="str">
        <f>IFERROR(IF(B599-B598&lt;=0,"",D599/SQRT(Таблица_pr[[#This Row],[Удельное сопротивление грунта, Ом·м]])),D599/SQRT(Таблица_pr[[#This Row],[Удельное сопротивление грунта, Ом·м]]))</f>
        <v/>
      </c>
      <c r="G599" s="189"/>
      <c r="H599" s="185"/>
      <c r="I599" s="183"/>
      <c r="J599" s="180" t="str">
        <f t="shared" si="76"/>
        <v/>
      </c>
      <c r="K599" s="61" t="str">
        <f>IFERROR(IF(H599-H598&lt;=0,"",J599/SQRT(Таблица_pr1[[#This Row],[Удельное сопротивление грунта, Ом·м]])),J599/SQRT(Таблица_pr1[[#This Row],[Удельное сопротивление грунта, Ом·м]]))</f>
        <v/>
      </c>
      <c r="M599" s="51"/>
      <c r="N599" s="52"/>
      <c r="O599" s="50"/>
      <c r="P599" s="61" t="str">
        <f t="shared" si="81"/>
        <v/>
      </c>
      <c r="Q599" s="61" t="str">
        <f>IFERROR(IF(N599-N598&lt;=0,"",P599/SQRT(Таблица_pr2[[#This Row],[Удельное сопротивление грунта, Ом·м]])),P599/SQRT(Таблица_pr2[[#This Row],[Удельное сопротивление грунта, Ом·м]]))</f>
        <v/>
      </c>
      <c r="S599" s="51"/>
      <c r="T599" s="52"/>
      <c r="U599" s="50"/>
      <c r="V599" s="61" t="str">
        <f t="shared" si="77"/>
        <v/>
      </c>
      <c r="W599" s="61" t="str">
        <f>IFERROR(IF(T599-T598&lt;=0,"",V599/SQRT(Таблица_pr3[[#This Row],[Удельное сопротивление грунта, Ом·м]])),V599/SQRT(Таблица_pr3[[#This Row],[Удельное сопротивление грунта, Ом·м]]))</f>
        <v/>
      </c>
      <c r="Y599" s="51"/>
      <c r="Z599" s="52"/>
      <c r="AA599" s="50"/>
      <c r="AB599" s="61" t="str">
        <f t="shared" si="82"/>
        <v/>
      </c>
      <c r="AC599" s="61" t="str">
        <f>IFERROR(IF(Z599-Z598&lt;=0,"",AB599/SQRT(Таблица_pr4[[#This Row],[Удельное сопротивление грунта, Ом·м]])),AB599/SQRT(Таблица_pr4[[#This Row],[Удельное сопротивление грунта, Ом·м]]))</f>
        <v/>
      </c>
      <c r="AE599" s="51"/>
      <c r="AF599" s="52"/>
      <c r="AG599" s="50"/>
      <c r="AH599" s="61" t="str">
        <f t="shared" si="78"/>
        <v/>
      </c>
      <c r="AI599" s="61" t="str">
        <f>IFERROR(IF(AF599-AF598&lt;=0,"",AH599/SQRT(Таблица_pr5[[#This Row],[Удельное сопротивление грунта, Ом·м]])),AH599/SQRT(Таблица_pr5[[#This Row],[Удельное сопротивление грунта, Ом·м]]))</f>
        <v/>
      </c>
      <c r="AK599" s="51"/>
      <c r="AL599" s="52"/>
      <c r="AM599" s="50"/>
      <c r="AN599" s="61" t="str">
        <f t="shared" si="83"/>
        <v/>
      </c>
      <c r="AO599" s="61" t="str">
        <f>IFERROR(IF(AL599-AL598&lt;=0,"",AN599/SQRT(Таблица_pr6[[#This Row],[Удельное сопротивление грунта, Ом·м]])),AN599/SQRT(Таблица_pr6[[#This Row],[Удельное сопротивление грунта, Ом·м]]))</f>
        <v/>
      </c>
      <c r="AQ599" s="51"/>
      <c r="AR599" s="52"/>
      <c r="AS599" s="50"/>
      <c r="AT599" s="61" t="str">
        <f t="shared" si="79"/>
        <v/>
      </c>
      <c r="AU599" s="61" t="str">
        <f>IFERROR(IF(AR599-AR598&lt;=0,"",AT599/SQRT(Таблица_pr7[[#This Row],[Удельное сопротивление грунта, Ом·м]])),AT599/SQRT(Таблица_pr7[[#This Row],[Удельное сопротивление грунта, Ом·м]]))</f>
        <v/>
      </c>
      <c r="AW599" s="51"/>
      <c r="AX599" s="52"/>
      <c r="AY599" s="50"/>
      <c r="AZ599" s="61" t="str">
        <f t="shared" si="84"/>
        <v/>
      </c>
      <c r="BA599" s="61" t="str">
        <f>IFERROR(IF(AX599-AX598&lt;=0,"",AZ599/SQRT(Таблица_pr8[[#This Row],[Удельное сопротивление грунта, Ом·м]])),AZ599/SQRT(Таблица_pr8[[#This Row],[Удельное сопротивление грунта, Ом·м]]))</f>
        <v/>
      </c>
      <c r="BC599" s="51"/>
      <c r="BD599" s="52"/>
      <c r="BE599" s="50"/>
      <c r="BF599" s="61" t="str">
        <f t="shared" si="80"/>
        <v/>
      </c>
      <c r="BG599" s="61" t="str">
        <f>IFERROR(IF(BD599-AX618&lt;=0,"",BF599/SQRT(Таблица_pr9[[#This Row],[Удельное сопротивление грунта, Ом·м]])),BF599/SQRT(Таблица_pr9[[#This Row],[Удельное сопротивление грунта, Ом·м]]))</f>
        <v/>
      </c>
      <c r="BI599" s="51"/>
      <c r="BJ599" s="52"/>
      <c r="BK599" s="50"/>
      <c r="BL599" s="61" t="str">
        <f t="shared" si="85"/>
        <v/>
      </c>
      <c r="BM599" s="61" t="str">
        <f>IFERROR(IF(BJ599-BD628&lt;=0,"",BL599/SQRT(Таблица_pr10[[#This Row],[Удельное сопротивление грунта, Ом·м]])),BL599/SQRT(Таблица_pr10[[#This Row],[Удельное сопротивление грунта, Ом·м]]))</f>
        <v/>
      </c>
    </row>
    <row r="600" spans="1:65">
      <c r="A600" s="53"/>
      <c r="B600" s="52"/>
      <c r="C600" s="50"/>
      <c r="D600" s="61" t="str">
        <f t="shared" si="75"/>
        <v/>
      </c>
      <c r="E600" s="61" t="str">
        <f>IFERROR(IF(B600-B599&lt;=0,"",D600/SQRT(Таблица_pr[[#This Row],[Удельное сопротивление грунта, Ом·м]])),D600/SQRT(Таблица_pr[[#This Row],[Удельное сопротивление грунта, Ом·м]]))</f>
        <v/>
      </c>
      <c r="G600" s="188"/>
      <c r="H600" s="184"/>
      <c r="I600" s="182"/>
      <c r="J600" s="181" t="str">
        <f t="shared" si="76"/>
        <v/>
      </c>
      <c r="K600" s="61" t="str">
        <f>IFERROR(IF(H600-H599&lt;=0,"",J600/SQRT(Таблица_pr1[[#This Row],[Удельное сопротивление грунта, Ом·м]])),J600/SQRT(Таблица_pr1[[#This Row],[Удельное сопротивление грунта, Ом·м]]))</f>
        <v/>
      </c>
      <c r="M600" s="53"/>
      <c r="N600" s="52"/>
      <c r="O600" s="50"/>
      <c r="P600" s="61" t="str">
        <f t="shared" si="81"/>
        <v/>
      </c>
      <c r="Q600" s="61" t="str">
        <f>IFERROR(IF(N600-N599&lt;=0,"",P600/SQRT(Таблица_pr2[[#This Row],[Удельное сопротивление грунта, Ом·м]])),P600/SQRT(Таблица_pr2[[#This Row],[Удельное сопротивление грунта, Ом·м]]))</f>
        <v/>
      </c>
      <c r="S600" s="53"/>
      <c r="T600" s="52"/>
      <c r="U600" s="50"/>
      <c r="V600" s="61" t="str">
        <f t="shared" si="77"/>
        <v/>
      </c>
      <c r="W600" s="61" t="str">
        <f>IFERROR(IF(T600-T599&lt;=0,"",V600/SQRT(Таблица_pr3[[#This Row],[Удельное сопротивление грунта, Ом·м]])),V600/SQRT(Таблица_pr3[[#This Row],[Удельное сопротивление грунта, Ом·м]]))</f>
        <v/>
      </c>
      <c r="Y600" s="53"/>
      <c r="Z600" s="52"/>
      <c r="AA600" s="50"/>
      <c r="AB600" s="61" t="str">
        <f t="shared" si="82"/>
        <v/>
      </c>
      <c r="AC600" s="61" t="str">
        <f>IFERROR(IF(Z600-Z599&lt;=0,"",AB600/SQRT(Таблица_pr4[[#This Row],[Удельное сопротивление грунта, Ом·м]])),AB600/SQRT(Таблица_pr4[[#This Row],[Удельное сопротивление грунта, Ом·м]]))</f>
        <v/>
      </c>
      <c r="AE600" s="53"/>
      <c r="AF600" s="52"/>
      <c r="AG600" s="50"/>
      <c r="AH600" s="61" t="str">
        <f t="shared" si="78"/>
        <v/>
      </c>
      <c r="AI600" s="61" t="str">
        <f>IFERROR(IF(AF600-AF599&lt;=0,"",AH600/SQRT(Таблица_pr5[[#This Row],[Удельное сопротивление грунта, Ом·м]])),AH600/SQRT(Таблица_pr5[[#This Row],[Удельное сопротивление грунта, Ом·м]]))</f>
        <v/>
      </c>
      <c r="AK600" s="53"/>
      <c r="AL600" s="52"/>
      <c r="AM600" s="50"/>
      <c r="AN600" s="61" t="str">
        <f t="shared" si="83"/>
        <v/>
      </c>
      <c r="AO600" s="61" t="str">
        <f>IFERROR(IF(AL600-AL599&lt;=0,"",AN600/SQRT(Таблица_pr6[[#This Row],[Удельное сопротивление грунта, Ом·м]])),AN600/SQRT(Таблица_pr6[[#This Row],[Удельное сопротивление грунта, Ом·м]]))</f>
        <v/>
      </c>
      <c r="AQ600" s="53"/>
      <c r="AR600" s="52"/>
      <c r="AS600" s="50"/>
      <c r="AT600" s="61" t="str">
        <f t="shared" si="79"/>
        <v/>
      </c>
      <c r="AU600" s="61" t="str">
        <f>IFERROR(IF(AR600-AR599&lt;=0,"",AT600/SQRT(Таблица_pr7[[#This Row],[Удельное сопротивление грунта, Ом·м]])),AT600/SQRT(Таблица_pr7[[#This Row],[Удельное сопротивление грунта, Ом·м]]))</f>
        <v/>
      </c>
      <c r="AW600" s="53"/>
      <c r="AX600" s="52"/>
      <c r="AY600" s="50"/>
      <c r="AZ600" s="61" t="str">
        <f t="shared" si="84"/>
        <v/>
      </c>
      <c r="BA600" s="61" t="str">
        <f>IFERROR(IF(AX600-AX599&lt;=0,"",AZ600/SQRT(Таблица_pr8[[#This Row],[Удельное сопротивление грунта, Ом·м]])),AZ600/SQRT(Таблица_pr8[[#This Row],[Удельное сопротивление грунта, Ом·м]]))</f>
        <v/>
      </c>
      <c r="BC600" s="53"/>
      <c r="BD600" s="52"/>
      <c r="BE600" s="50"/>
      <c r="BF600" s="61" t="str">
        <f t="shared" si="80"/>
        <v/>
      </c>
      <c r="BG600" s="61" t="str">
        <f>IFERROR(IF(BD600-AX619&lt;=0,"",BF600/SQRT(Таблица_pr9[[#This Row],[Удельное сопротивление грунта, Ом·м]])),BF600/SQRT(Таблица_pr9[[#This Row],[Удельное сопротивление грунта, Ом·м]]))</f>
        <v/>
      </c>
      <c r="BI600" s="53"/>
      <c r="BJ600" s="52"/>
      <c r="BK600" s="50"/>
      <c r="BL600" s="61" t="str">
        <f t="shared" si="85"/>
        <v/>
      </c>
      <c r="BM600" s="61" t="str">
        <f>IFERROR(IF(BJ600-BD629&lt;=0,"",BL600/SQRT(Таблица_pr10[[#This Row],[Удельное сопротивление грунта, Ом·м]])),BL600/SQRT(Таблица_pr10[[#This Row],[Удельное сопротивление грунта, Ом·м]]))</f>
        <v/>
      </c>
    </row>
    <row r="601" spans="1:65">
      <c r="A601" s="51"/>
      <c r="B601" s="52"/>
      <c r="C601" s="50"/>
      <c r="D601" s="61" t="str">
        <f t="shared" si="75"/>
        <v/>
      </c>
      <c r="E601" s="61" t="str">
        <f>IFERROR(IF(B601-B600&lt;=0,"",D601/SQRT(Таблица_pr[[#This Row],[Удельное сопротивление грунта, Ом·м]])),D601/SQRT(Таблица_pr[[#This Row],[Удельное сопротивление грунта, Ом·м]]))</f>
        <v/>
      </c>
      <c r="G601" s="189"/>
      <c r="H601" s="185"/>
      <c r="I601" s="183"/>
      <c r="J601" s="180" t="str">
        <f t="shared" si="76"/>
        <v/>
      </c>
      <c r="K601" s="61" t="str">
        <f>IFERROR(IF(H601-H600&lt;=0,"",J601/SQRT(Таблица_pr1[[#This Row],[Удельное сопротивление грунта, Ом·м]])),J601/SQRT(Таблица_pr1[[#This Row],[Удельное сопротивление грунта, Ом·м]]))</f>
        <v/>
      </c>
      <c r="M601" s="51"/>
      <c r="N601" s="52"/>
      <c r="O601" s="50"/>
      <c r="P601" s="61" t="str">
        <f t="shared" si="81"/>
        <v/>
      </c>
      <c r="Q601" s="61" t="str">
        <f>IFERROR(IF(N601-N600&lt;=0,"",P601/SQRT(Таблица_pr2[[#This Row],[Удельное сопротивление грунта, Ом·м]])),P601/SQRT(Таблица_pr2[[#This Row],[Удельное сопротивление грунта, Ом·м]]))</f>
        <v/>
      </c>
      <c r="S601" s="51"/>
      <c r="T601" s="52"/>
      <c r="U601" s="50"/>
      <c r="V601" s="61" t="str">
        <f t="shared" si="77"/>
        <v/>
      </c>
      <c r="W601" s="61" t="str">
        <f>IFERROR(IF(T601-T600&lt;=0,"",V601/SQRT(Таблица_pr3[[#This Row],[Удельное сопротивление грунта, Ом·м]])),V601/SQRT(Таблица_pr3[[#This Row],[Удельное сопротивление грунта, Ом·м]]))</f>
        <v/>
      </c>
      <c r="Y601" s="51"/>
      <c r="Z601" s="52"/>
      <c r="AA601" s="50"/>
      <c r="AB601" s="61" t="str">
        <f t="shared" si="82"/>
        <v/>
      </c>
      <c r="AC601" s="61" t="str">
        <f>IFERROR(IF(Z601-Z600&lt;=0,"",AB601/SQRT(Таблица_pr4[[#This Row],[Удельное сопротивление грунта, Ом·м]])),AB601/SQRT(Таблица_pr4[[#This Row],[Удельное сопротивление грунта, Ом·м]]))</f>
        <v/>
      </c>
      <c r="AE601" s="51"/>
      <c r="AF601" s="52"/>
      <c r="AG601" s="50"/>
      <c r="AH601" s="61" t="str">
        <f t="shared" si="78"/>
        <v/>
      </c>
      <c r="AI601" s="61" t="str">
        <f>IFERROR(IF(AF601-AF600&lt;=0,"",AH601/SQRT(Таблица_pr5[[#This Row],[Удельное сопротивление грунта, Ом·м]])),AH601/SQRT(Таблица_pr5[[#This Row],[Удельное сопротивление грунта, Ом·м]]))</f>
        <v/>
      </c>
      <c r="AK601" s="51"/>
      <c r="AL601" s="52"/>
      <c r="AM601" s="50"/>
      <c r="AN601" s="61" t="str">
        <f t="shared" si="83"/>
        <v/>
      </c>
      <c r="AO601" s="61" t="str">
        <f>IFERROR(IF(AL601-AL600&lt;=0,"",AN601/SQRT(Таблица_pr6[[#This Row],[Удельное сопротивление грунта, Ом·м]])),AN601/SQRT(Таблица_pr6[[#This Row],[Удельное сопротивление грунта, Ом·м]]))</f>
        <v/>
      </c>
      <c r="AQ601" s="51"/>
      <c r="AR601" s="52"/>
      <c r="AS601" s="50"/>
      <c r="AT601" s="61" t="str">
        <f t="shared" si="79"/>
        <v/>
      </c>
      <c r="AU601" s="61" t="str">
        <f>IFERROR(IF(AR601-AR600&lt;=0,"",AT601/SQRT(Таблица_pr7[[#This Row],[Удельное сопротивление грунта, Ом·м]])),AT601/SQRT(Таблица_pr7[[#This Row],[Удельное сопротивление грунта, Ом·м]]))</f>
        <v/>
      </c>
      <c r="AW601" s="51"/>
      <c r="AX601" s="52"/>
      <c r="AY601" s="50"/>
      <c r="AZ601" s="61" t="str">
        <f t="shared" si="84"/>
        <v/>
      </c>
      <c r="BA601" s="61" t="str">
        <f>IFERROR(IF(AX601-AX600&lt;=0,"",AZ601/SQRT(Таблица_pr8[[#This Row],[Удельное сопротивление грунта, Ом·м]])),AZ601/SQRT(Таблица_pr8[[#This Row],[Удельное сопротивление грунта, Ом·м]]))</f>
        <v/>
      </c>
      <c r="BC601" s="51"/>
      <c r="BD601" s="52"/>
      <c r="BE601" s="50"/>
      <c r="BF601" s="61" t="str">
        <f t="shared" si="80"/>
        <v/>
      </c>
      <c r="BG601" s="61" t="str">
        <f>IFERROR(IF(BD601-AX620&lt;=0,"",BF601/SQRT(Таблица_pr9[[#This Row],[Удельное сопротивление грунта, Ом·м]])),BF601/SQRT(Таблица_pr9[[#This Row],[Удельное сопротивление грунта, Ом·м]]))</f>
        <v/>
      </c>
      <c r="BI601" s="51"/>
      <c r="BJ601" s="52"/>
      <c r="BK601" s="50"/>
      <c r="BL601" s="61" t="str">
        <f t="shared" si="85"/>
        <v/>
      </c>
      <c r="BM601" s="61" t="str">
        <f>IFERROR(IF(BJ601-BD630&lt;=0,"",BL601/SQRT(Таблица_pr10[[#This Row],[Удельное сопротивление грунта, Ом·м]])),BL601/SQRT(Таблица_pr10[[#This Row],[Удельное сопротивление грунта, Ом·м]]))</f>
        <v/>
      </c>
    </row>
    <row r="602" spans="1:65">
      <c r="A602" s="53"/>
      <c r="B602" s="52"/>
      <c r="C602" s="50"/>
      <c r="D602" s="61" t="str">
        <f t="shared" si="75"/>
        <v/>
      </c>
      <c r="E602" s="61" t="str">
        <f>IFERROR(IF(B602-B601&lt;=0,"",D602/SQRT(Таблица_pr[[#This Row],[Удельное сопротивление грунта, Ом·м]])),D602/SQRT(Таблица_pr[[#This Row],[Удельное сопротивление грунта, Ом·м]]))</f>
        <v/>
      </c>
      <c r="G602" s="188"/>
      <c r="H602" s="184"/>
      <c r="I602" s="182"/>
      <c r="J602" s="181" t="str">
        <f t="shared" si="76"/>
        <v/>
      </c>
      <c r="K602" s="61" t="str">
        <f>IFERROR(IF(H602-H601&lt;=0,"",J602/SQRT(Таблица_pr1[[#This Row],[Удельное сопротивление грунта, Ом·м]])),J602/SQRT(Таблица_pr1[[#This Row],[Удельное сопротивление грунта, Ом·м]]))</f>
        <v/>
      </c>
      <c r="M602" s="53"/>
      <c r="N602" s="52"/>
      <c r="O602" s="50"/>
      <c r="P602" s="61" t="str">
        <f t="shared" si="81"/>
        <v/>
      </c>
      <c r="Q602" s="61" t="str">
        <f>IFERROR(IF(N602-N601&lt;=0,"",P602/SQRT(Таблица_pr2[[#This Row],[Удельное сопротивление грунта, Ом·м]])),P602/SQRT(Таблица_pr2[[#This Row],[Удельное сопротивление грунта, Ом·м]]))</f>
        <v/>
      </c>
      <c r="S602" s="53"/>
      <c r="T602" s="52"/>
      <c r="U602" s="50"/>
      <c r="V602" s="61" t="str">
        <f t="shared" si="77"/>
        <v/>
      </c>
      <c r="W602" s="61" t="str">
        <f>IFERROR(IF(T602-T601&lt;=0,"",V602/SQRT(Таблица_pr3[[#This Row],[Удельное сопротивление грунта, Ом·м]])),V602/SQRT(Таблица_pr3[[#This Row],[Удельное сопротивление грунта, Ом·м]]))</f>
        <v/>
      </c>
      <c r="Y602" s="53"/>
      <c r="Z602" s="52"/>
      <c r="AA602" s="50"/>
      <c r="AB602" s="61" t="str">
        <f t="shared" si="82"/>
        <v/>
      </c>
      <c r="AC602" s="61" t="str">
        <f>IFERROR(IF(Z602-Z601&lt;=0,"",AB602/SQRT(Таблица_pr4[[#This Row],[Удельное сопротивление грунта, Ом·м]])),AB602/SQRT(Таблица_pr4[[#This Row],[Удельное сопротивление грунта, Ом·м]]))</f>
        <v/>
      </c>
      <c r="AE602" s="53"/>
      <c r="AF602" s="52"/>
      <c r="AG602" s="50"/>
      <c r="AH602" s="61" t="str">
        <f t="shared" si="78"/>
        <v/>
      </c>
      <c r="AI602" s="61" t="str">
        <f>IFERROR(IF(AF602-AF601&lt;=0,"",AH602/SQRT(Таблица_pr5[[#This Row],[Удельное сопротивление грунта, Ом·м]])),AH602/SQRT(Таблица_pr5[[#This Row],[Удельное сопротивление грунта, Ом·м]]))</f>
        <v/>
      </c>
      <c r="AK602" s="53"/>
      <c r="AL602" s="52"/>
      <c r="AM602" s="50"/>
      <c r="AN602" s="61" t="str">
        <f t="shared" si="83"/>
        <v/>
      </c>
      <c r="AO602" s="61" t="str">
        <f>IFERROR(IF(AL602-AL601&lt;=0,"",AN602/SQRT(Таблица_pr6[[#This Row],[Удельное сопротивление грунта, Ом·м]])),AN602/SQRT(Таблица_pr6[[#This Row],[Удельное сопротивление грунта, Ом·м]]))</f>
        <v/>
      </c>
      <c r="AQ602" s="53"/>
      <c r="AR602" s="52"/>
      <c r="AS602" s="50"/>
      <c r="AT602" s="61" t="str">
        <f t="shared" si="79"/>
        <v/>
      </c>
      <c r="AU602" s="61" t="str">
        <f>IFERROR(IF(AR602-AR601&lt;=0,"",AT602/SQRT(Таблица_pr7[[#This Row],[Удельное сопротивление грунта, Ом·м]])),AT602/SQRT(Таблица_pr7[[#This Row],[Удельное сопротивление грунта, Ом·м]]))</f>
        <v/>
      </c>
      <c r="AW602" s="53"/>
      <c r="AX602" s="52"/>
      <c r="AY602" s="50"/>
      <c r="AZ602" s="61" t="str">
        <f t="shared" si="84"/>
        <v/>
      </c>
      <c r="BA602" s="61" t="str">
        <f>IFERROR(IF(AX602-AX601&lt;=0,"",AZ602/SQRT(Таблица_pr8[[#This Row],[Удельное сопротивление грунта, Ом·м]])),AZ602/SQRT(Таблица_pr8[[#This Row],[Удельное сопротивление грунта, Ом·м]]))</f>
        <v/>
      </c>
      <c r="BC602" s="53"/>
      <c r="BD602" s="52"/>
      <c r="BE602" s="50"/>
      <c r="BF602" s="61" t="str">
        <f t="shared" si="80"/>
        <v/>
      </c>
      <c r="BG602" s="61" t="str">
        <f>IFERROR(IF(BD602-AX621&lt;=0,"",BF602/SQRT(Таблица_pr9[[#This Row],[Удельное сопротивление грунта, Ом·м]])),BF602/SQRT(Таблица_pr9[[#This Row],[Удельное сопротивление грунта, Ом·м]]))</f>
        <v/>
      </c>
      <c r="BI602" s="53"/>
      <c r="BJ602" s="52"/>
      <c r="BK602" s="50"/>
      <c r="BL602" s="61" t="str">
        <f t="shared" si="85"/>
        <v/>
      </c>
      <c r="BM602" s="61" t="str">
        <f>IFERROR(IF(BJ602-BD631&lt;=0,"",BL602/SQRT(Таблица_pr10[[#This Row],[Удельное сопротивление грунта, Ом·м]])),BL602/SQRT(Таблица_pr10[[#This Row],[Удельное сопротивление грунта, Ом·м]]))</f>
        <v/>
      </c>
    </row>
    <row r="603" spans="1:65">
      <c r="A603" s="51"/>
      <c r="B603" s="52"/>
      <c r="C603" s="50"/>
      <c r="D603" s="61" t="str">
        <f t="shared" si="75"/>
        <v/>
      </c>
      <c r="E603" s="61" t="str">
        <f>IFERROR(IF(B603-B602&lt;=0,"",D603/SQRT(Таблица_pr[[#This Row],[Удельное сопротивление грунта, Ом·м]])),D603/SQRT(Таблица_pr[[#This Row],[Удельное сопротивление грунта, Ом·м]]))</f>
        <v/>
      </c>
      <c r="G603" s="189"/>
      <c r="H603" s="185"/>
      <c r="I603" s="183"/>
      <c r="J603" s="180" t="str">
        <f t="shared" si="76"/>
        <v/>
      </c>
      <c r="K603" s="61" t="str">
        <f>IFERROR(IF(H603-H602&lt;=0,"",J603/SQRT(Таблица_pr1[[#This Row],[Удельное сопротивление грунта, Ом·м]])),J603/SQRT(Таблица_pr1[[#This Row],[Удельное сопротивление грунта, Ом·м]]))</f>
        <v/>
      </c>
      <c r="M603" s="51"/>
      <c r="N603" s="52"/>
      <c r="O603" s="50"/>
      <c r="P603" s="61" t="str">
        <f t="shared" si="81"/>
        <v/>
      </c>
      <c r="Q603" s="61" t="str">
        <f>IFERROR(IF(N603-N602&lt;=0,"",P603/SQRT(Таблица_pr2[[#This Row],[Удельное сопротивление грунта, Ом·м]])),P603/SQRT(Таблица_pr2[[#This Row],[Удельное сопротивление грунта, Ом·м]]))</f>
        <v/>
      </c>
      <c r="S603" s="51"/>
      <c r="T603" s="52"/>
      <c r="U603" s="50"/>
      <c r="V603" s="61" t="str">
        <f t="shared" si="77"/>
        <v/>
      </c>
      <c r="W603" s="61" t="str">
        <f>IFERROR(IF(T603-T602&lt;=0,"",V603/SQRT(Таблица_pr3[[#This Row],[Удельное сопротивление грунта, Ом·м]])),V603/SQRT(Таблица_pr3[[#This Row],[Удельное сопротивление грунта, Ом·м]]))</f>
        <v/>
      </c>
      <c r="Y603" s="51"/>
      <c r="Z603" s="52"/>
      <c r="AA603" s="50"/>
      <c r="AB603" s="61" t="str">
        <f t="shared" si="82"/>
        <v/>
      </c>
      <c r="AC603" s="61" t="str">
        <f>IFERROR(IF(Z603-Z602&lt;=0,"",AB603/SQRT(Таблица_pr4[[#This Row],[Удельное сопротивление грунта, Ом·м]])),AB603/SQRT(Таблица_pr4[[#This Row],[Удельное сопротивление грунта, Ом·м]]))</f>
        <v/>
      </c>
      <c r="AE603" s="51"/>
      <c r="AF603" s="52"/>
      <c r="AG603" s="50"/>
      <c r="AH603" s="61" t="str">
        <f t="shared" si="78"/>
        <v/>
      </c>
      <c r="AI603" s="61" t="str">
        <f>IFERROR(IF(AF603-AF602&lt;=0,"",AH603/SQRT(Таблица_pr5[[#This Row],[Удельное сопротивление грунта, Ом·м]])),AH603/SQRT(Таблица_pr5[[#This Row],[Удельное сопротивление грунта, Ом·м]]))</f>
        <v/>
      </c>
      <c r="AK603" s="51"/>
      <c r="AL603" s="52"/>
      <c r="AM603" s="50"/>
      <c r="AN603" s="61" t="str">
        <f t="shared" si="83"/>
        <v/>
      </c>
      <c r="AO603" s="61" t="str">
        <f>IFERROR(IF(AL603-AL602&lt;=0,"",AN603/SQRT(Таблица_pr6[[#This Row],[Удельное сопротивление грунта, Ом·м]])),AN603/SQRT(Таблица_pr6[[#This Row],[Удельное сопротивление грунта, Ом·м]]))</f>
        <v/>
      </c>
      <c r="AQ603" s="51"/>
      <c r="AR603" s="52"/>
      <c r="AS603" s="50"/>
      <c r="AT603" s="61" t="str">
        <f t="shared" si="79"/>
        <v/>
      </c>
      <c r="AU603" s="61" t="str">
        <f>IFERROR(IF(AR603-AR602&lt;=0,"",AT603/SQRT(Таблица_pr7[[#This Row],[Удельное сопротивление грунта, Ом·м]])),AT603/SQRT(Таблица_pr7[[#This Row],[Удельное сопротивление грунта, Ом·м]]))</f>
        <v/>
      </c>
      <c r="AW603" s="51"/>
      <c r="AX603" s="52"/>
      <c r="AY603" s="50"/>
      <c r="AZ603" s="61" t="str">
        <f t="shared" si="84"/>
        <v/>
      </c>
      <c r="BA603" s="61" t="str">
        <f>IFERROR(IF(AX603-AX602&lt;=0,"",AZ603/SQRT(Таблица_pr8[[#This Row],[Удельное сопротивление грунта, Ом·м]])),AZ603/SQRT(Таблица_pr8[[#This Row],[Удельное сопротивление грунта, Ом·м]]))</f>
        <v/>
      </c>
      <c r="BC603" s="51"/>
      <c r="BD603" s="52"/>
      <c r="BE603" s="50"/>
      <c r="BF603" s="61" t="str">
        <f t="shared" si="80"/>
        <v/>
      </c>
      <c r="BG603" s="61" t="str">
        <f>IFERROR(IF(BD603-AX622&lt;=0,"",BF603/SQRT(Таблица_pr9[[#This Row],[Удельное сопротивление грунта, Ом·м]])),BF603/SQRT(Таблица_pr9[[#This Row],[Удельное сопротивление грунта, Ом·м]]))</f>
        <v/>
      </c>
      <c r="BI603" s="51"/>
      <c r="BJ603" s="52"/>
      <c r="BK603" s="50"/>
      <c r="BL603" s="61" t="str">
        <f t="shared" si="85"/>
        <v/>
      </c>
      <c r="BM603" s="61" t="str">
        <f>IFERROR(IF(BJ603-BD632&lt;=0,"",BL603/SQRT(Таблица_pr10[[#This Row],[Удельное сопротивление грунта, Ом·м]])),BL603/SQRT(Таблица_pr10[[#This Row],[Удельное сопротивление грунта, Ом·м]]))</f>
        <v/>
      </c>
    </row>
    <row r="604" spans="1:65">
      <c r="A604" s="53"/>
      <c r="B604" s="52"/>
      <c r="C604" s="50"/>
      <c r="D604" s="61" t="str">
        <f t="shared" si="75"/>
        <v/>
      </c>
      <c r="E604" s="61" t="str">
        <f>IFERROR(IF(B604-B603&lt;=0,"",D604/SQRT(Таблица_pr[[#This Row],[Удельное сопротивление грунта, Ом·м]])),D604/SQRT(Таблица_pr[[#This Row],[Удельное сопротивление грунта, Ом·м]]))</f>
        <v/>
      </c>
      <c r="G604" s="188"/>
      <c r="H604" s="184"/>
      <c r="I604" s="182"/>
      <c r="J604" s="181" t="str">
        <f t="shared" si="76"/>
        <v/>
      </c>
      <c r="K604" s="61" t="str">
        <f>IFERROR(IF(H604-H603&lt;=0,"",J604/SQRT(Таблица_pr1[[#This Row],[Удельное сопротивление грунта, Ом·м]])),J604/SQRT(Таблица_pr1[[#This Row],[Удельное сопротивление грунта, Ом·м]]))</f>
        <v/>
      </c>
      <c r="M604" s="53"/>
      <c r="N604" s="52"/>
      <c r="O604" s="50"/>
      <c r="P604" s="61" t="str">
        <f t="shared" si="81"/>
        <v/>
      </c>
      <c r="Q604" s="61" t="str">
        <f>IFERROR(IF(N604-N603&lt;=0,"",P604/SQRT(Таблица_pr2[[#This Row],[Удельное сопротивление грунта, Ом·м]])),P604/SQRT(Таблица_pr2[[#This Row],[Удельное сопротивление грунта, Ом·м]]))</f>
        <v/>
      </c>
      <c r="S604" s="53"/>
      <c r="T604" s="52"/>
      <c r="U604" s="50"/>
      <c r="V604" s="61" t="str">
        <f t="shared" si="77"/>
        <v/>
      </c>
      <c r="W604" s="61" t="str">
        <f>IFERROR(IF(T604-T603&lt;=0,"",V604/SQRT(Таблица_pr3[[#This Row],[Удельное сопротивление грунта, Ом·м]])),V604/SQRT(Таблица_pr3[[#This Row],[Удельное сопротивление грунта, Ом·м]]))</f>
        <v/>
      </c>
      <c r="Y604" s="53"/>
      <c r="Z604" s="52"/>
      <c r="AA604" s="50"/>
      <c r="AB604" s="61" t="str">
        <f t="shared" si="82"/>
        <v/>
      </c>
      <c r="AC604" s="61" t="str">
        <f>IFERROR(IF(Z604-Z603&lt;=0,"",AB604/SQRT(Таблица_pr4[[#This Row],[Удельное сопротивление грунта, Ом·м]])),AB604/SQRT(Таблица_pr4[[#This Row],[Удельное сопротивление грунта, Ом·м]]))</f>
        <v/>
      </c>
      <c r="AE604" s="53"/>
      <c r="AF604" s="52"/>
      <c r="AG604" s="50"/>
      <c r="AH604" s="61" t="str">
        <f t="shared" si="78"/>
        <v/>
      </c>
      <c r="AI604" s="61" t="str">
        <f>IFERROR(IF(AF604-AF603&lt;=0,"",AH604/SQRT(Таблица_pr5[[#This Row],[Удельное сопротивление грунта, Ом·м]])),AH604/SQRT(Таблица_pr5[[#This Row],[Удельное сопротивление грунта, Ом·м]]))</f>
        <v/>
      </c>
      <c r="AK604" s="53"/>
      <c r="AL604" s="52"/>
      <c r="AM604" s="50"/>
      <c r="AN604" s="61" t="str">
        <f t="shared" si="83"/>
        <v/>
      </c>
      <c r="AO604" s="61" t="str">
        <f>IFERROR(IF(AL604-AL603&lt;=0,"",AN604/SQRT(Таблица_pr6[[#This Row],[Удельное сопротивление грунта, Ом·м]])),AN604/SQRT(Таблица_pr6[[#This Row],[Удельное сопротивление грунта, Ом·м]]))</f>
        <v/>
      </c>
      <c r="AQ604" s="53"/>
      <c r="AR604" s="52"/>
      <c r="AS604" s="50"/>
      <c r="AT604" s="61" t="str">
        <f t="shared" si="79"/>
        <v/>
      </c>
      <c r="AU604" s="61" t="str">
        <f>IFERROR(IF(AR604-AR603&lt;=0,"",AT604/SQRT(Таблица_pr7[[#This Row],[Удельное сопротивление грунта, Ом·м]])),AT604/SQRT(Таблица_pr7[[#This Row],[Удельное сопротивление грунта, Ом·м]]))</f>
        <v/>
      </c>
      <c r="AW604" s="53"/>
      <c r="AX604" s="52"/>
      <c r="AY604" s="50"/>
      <c r="AZ604" s="61" t="str">
        <f t="shared" si="84"/>
        <v/>
      </c>
      <c r="BA604" s="61" t="str">
        <f>IFERROR(IF(AX604-AX603&lt;=0,"",AZ604/SQRT(Таблица_pr8[[#This Row],[Удельное сопротивление грунта, Ом·м]])),AZ604/SQRT(Таблица_pr8[[#This Row],[Удельное сопротивление грунта, Ом·м]]))</f>
        <v/>
      </c>
      <c r="BC604" s="53"/>
      <c r="BD604" s="52"/>
      <c r="BE604" s="50"/>
      <c r="BF604" s="61" t="str">
        <f t="shared" si="80"/>
        <v/>
      </c>
      <c r="BG604" s="61" t="str">
        <f>IFERROR(IF(BD604-AX623&lt;=0,"",BF604/SQRT(Таблица_pr9[[#This Row],[Удельное сопротивление грунта, Ом·м]])),BF604/SQRT(Таблица_pr9[[#This Row],[Удельное сопротивление грунта, Ом·м]]))</f>
        <v/>
      </c>
      <c r="BI604" s="53"/>
      <c r="BJ604" s="52"/>
      <c r="BK604" s="50"/>
      <c r="BL604" s="61" t="str">
        <f t="shared" si="85"/>
        <v/>
      </c>
      <c r="BM604" s="61" t="str">
        <f>IFERROR(IF(BJ604-BD633&lt;=0,"",BL604/SQRT(Таблица_pr10[[#This Row],[Удельное сопротивление грунта, Ом·м]])),BL604/SQRT(Таблица_pr10[[#This Row],[Удельное сопротивление грунта, Ом·м]]))</f>
        <v/>
      </c>
    </row>
    <row r="605" spans="1:65">
      <c r="A605" s="51"/>
      <c r="B605" s="52"/>
      <c r="C605" s="50"/>
      <c r="D605" s="61" t="str">
        <f t="shared" si="75"/>
        <v/>
      </c>
      <c r="E605" s="61" t="str">
        <f>IFERROR(IF(B605-B604&lt;=0,"",D605/SQRT(Таблица_pr[[#This Row],[Удельное сопротивление грунта, Ом·м]])),D605/SQRT(Таблица_pr[[#This Row],[Удельное сопротивление грунта, Ом·м]]))</f>
        <v/>
      </c>
      <c r="G605" s="189"/>
      <c r="H605" s="185"/>
      <c r="I605" s="183"/>
      <c r="J605" s="180" t="str">
        <f t="shared" si="76"/>
        <v/>
      </c>
      <c r="K605" s="61" t="str">
        <f>IFERROR(IF(H605-H604&lt;=0,"",J605/SQRT(Таблица_pr1[[#This Row],[Удельное сопротивление грунта, Ом·м]])),J605/SQRT(Таблица_pr1[[#This Row],[Удельное сопротивление грунта, Ом·м]]))</f>
        <v/>
      </c>
      <c r="M605" s="51"/>
      <c r="N605" s="52"/>
      <c r="O605" s="50"/>
      <c r="P605" s="61" t="str">
        <f t="shared" si="81"/>
        <v/>
      </c>
      <c r="Q605" s="61" t="str">
        <f>IFERROR(IF(N605-N604&lt;=0,"",P605/SQRT(Таблица_pr2[[#This Row],[Удельное сопротивление грунта, Ом·м]])),P605/SQRT(Таблица_pr2[[#This Row],[Удельное сопротивление грунта, Ом·м]]))</f>
        <v/>
      </c>
      <c r="S605" s="51"/>
      <c r="T605" s="52"/>
      <c r="U605" s="50"/>
      <c r="V605" s="61" t="str">
        <f t="shared" si="77"/>
        <v/>
      </c>
      <c r="W605" s="61" t="str">
        <f>IFERROR(IF(T605-T604&lt;=0,"",V605/SQRT(Таблица_pr3[[#This Row],[Удельное сопротивление грунта, Ом·м]])),V605/SQRT(Таблица_pr3[[#This Row],[Удельное сопротивление грунта, Ом·м]]))</f>
        <v/>
      </c>
      <c r="Y605" s="51"/>
      <c r="Z605" s="52"/>
      <c r="AA605" s="50"/>
      <c r="AB605" s="61" t="str">
        <f t="shared" si="82"/>
        <v/>
      </c>
      <c r="AC605" s="61" t="str">
        <f>IFERROR(IF(Z605-Z604&lt;=0,"",AB605/SQRT(Таблица_pr4[[#This Row],[Удельное сопротивление грунта, Ом·м]])),AB605/SQRT(Таблица_pr4[[#This Row],[Удельное сопротивление грунта, Ом·м]]))</f>
        <v/>
      </c>
      <c r="AE605" s="51"/>
      <c r="AF605" s="52"/>
      <c r="AG605" s="50"/>
      <c r="AH605" s="61" t="str">
        <f t="shared" si="78"/>
        <v/>
      </c>
      <c r="AI605" s="61" t="str">
        <f>IFERROR(IF(AF605-AF604&lt;=0,"",AH605/SQRT(Таблица_pr5[[#This Row],[Удельное сопротивление грунта, Ом·м]])),AH605/SQRT(Таблица_pr5[[#This Row],[Удельное сопротивление грунта, Ом·м]]))</f>
        <v/>
      </c>
      <c r="AK605" s="51"/>
      <c r="AL605" s="52"/>
      <c r="AM605" s="50"/>
      <c r="AN605" s="61" t="str">
        <f t="shared" si="83"/>
        <v/>
      </c>
      <c r="AO605" s="61" t="str">
        <f>IFERROR(IF(AL605-AL604&lt;=0,"",AN605/SQRT(Таблица_pr6[[#This Row],[Удельное сопротивление грунта, Ом·м]])),AN605/SQRT(Таблица_pr6[[#This Row],[Удельное сопротивление грунта, Ом·м]]))</f>
        <v/>
      </c>
      <c r="AQ605" s="51"/>
      <c r="AR605" s="52"/>
      <c r="AS605" s="50"/>
      <c r="AT605" s="61" t="str">
        <f t="shared" si="79"/>
        <v/>
      </c>
      <c r="AU605" s="61" t="str">
        <f>IFERROR(IF(AR605-AR604&lt;=0,"",AT605/SQRT(Таблица_pr7[[#This Row],[Удельное сопротивление грунта, Ом·м]])),AT605/SQRT(Таблица_pr7[[#This Row],[Удельное сопротивление грунта, Ом·м]]))</f>
        <v/>
      </c>
      <c r="AW605" s="51"/>
      <c r="AX605" s="52"/>
      <c r="AY605" s="50"/>
      <c r="AZ605" s="61" t="str">
        <f t="shared" si="84"/>
        <v/>
      </c>
      <c r="BA605" s="61" t="str">
        <f>IFERROR(IF(AX605-AX604&lt;=0,"",AZ605/SQRT(Таблица_pr8[[#This Row],[Удельное сопротивление грунта, Ом·м]])),AZ605/SQRT(Таблица_pr8[[#This Row],[Удельное сопротивление грунта, Ом·м]]))</f>
        <v/>
      </c>
      <c r="BC605" s="51"/>
      <c r="BD605" s="52"/>
      <c r="BE605" s="50"/>
      <c r="BF605" s="61" t="str">
        <f t="shared" si="80"/>
        <v/>
      </c>
      <c r="BG605" s="61" t="str">
        <f>IFERROR(IF(BD605-AX624&lt;=0,"",BF605/SQRT(Таблица_pr9[[#This Row],[Удельное сопротивление грунта, Ом·м]])),BF605/SQRT(Таблица_pr9[[#This Row],[Удельное сопротивление грунта, Ом·м]]))</f>
        <v/>
      </c>
      <c r="BI605" s="51"/>
      <c r="BJ605" s="52"/>
      <c r="BK605" s="50"/>
      <c r="BL605" s="61" t="str">
        <f t="shared" si="85"/>
        <v/>
      </c>
      <c r="BM605" s="61" t="str">
        <f>IFERROR(IF(BJ605-BD634&lt;=0,"",BL605/SQRT(Таблица_pr10[[#This Row],[Удельное сопротивление грунта, Ом·м]])),BL605/SQRT(Таблица_pr10[[#This Row],[Удельное сопротивление грунта, Ом·м]]))</f>
        <v/>
      </c>
    </row>
    <row r="606" spans="1:65">
      <c r="A606" s="53"/>
      <c r="B606" s="52"/>
      <c r="C606" s="50"/>
      <c r="D606" s="61" t="str">
        <f t="shared" si="75"/>
        <v/>
      </c>
      <c r="E606" s="61" t="str">
        <f>IFERROR(IF(B606-B605&lt;=0,"",D606/SQRT(Таблица_pr[[#This Row],[Удельное сопротивление грунта, Ом·м]])),D606/SQRT(Таблица_pr[[#This Row],[Удельное сопротивление грунта, Ом·м]]))</f>
        <v/>
      </c>
      <c r="G606" s="188"/>
      <c r="H606" s="184"/>
      <c r="I606" s="182"/>
      <c r="J606" s="181" t="str">
        <f t="shared" si="76"/>
        <v/>
      </c>
      <c r="K606" s="61" t="str">
        <f>IFERROR(IF(H606-H605&lt;=0,"",J606/SQRT(Таблица_pr1[[#This Row],[Удельное сопротивление грунта, Ом·м]])),J606/SQRT(Таблица_pr1[[#This Row],[Удельное сопротивление грунта, Ом·м]]))</f>
        <v/>
      </c>
      <c r="M606" s="53"/>
      <c r="N606" s="52"/>
      <c r="O606" s="50"/>
      <c r="P606" s="61" t="str">
        <f t="shared" si="81"/>
        <v/>
      </c>
      <c r="Q606" s="61" t="str">
        <f>IFERROR(IF(N606-N605&lt;=0,"",P606/SQRT(Таблица_pr2[[#This Row],[Удельное сопротивление грунта, Ом·м]])),P606/SQRT(Таблица_pr2[[#This Row],[Удельное сопротивление грунта, Ом·м]]))</f>
        <v/>
      </c>
      <c r="S606" s="53"/>
      <c r="T606" s="52"/>
      <c r="U606" s="50"/>
      <c r="V606" s="61" t="str">
        <f t="shared" si="77"/>
        <v/>
      </c>
      <c r="W606" s="61" t="str">
        <f>IFERROR(IF(T606-T605&lt;=0,"",V606/SQRT(Таблица_pr3[[#This Row],[Удельное сопротивление грунта, Ом·м]])),V606/SQRT(Таблица_pr3[[#This Row],[Удельное сопротивление грунта, Ом·м]]))</f>
        <v/>
      </c>
      <c r="Y606" s="53"/>
      <c r="Z606" s="52"/>
      <c r="AA606" s="50"/>
      <c r="AB606" s="61" t="str">
        <f t="shared" si="82"/>
        <v/>
      </c>
      <c r="AC606" s="61" t="str">
        <f>IFERROR(IF(Z606-Z605&lt;=0,"",AB606/SQRT(Таблица_pr4[[#This Row],[Удельное сопротивление грунта, Ом·м]])),AB606/SQRT(Таблица_pr4[[#This Row],[Удельное сопротивление грунта, Ом·м]]))</f>
        <v/>
      </c>
      <c r="AE606" s="53"/>
      <c r="AF606" s="52"/>
      <c r="AG606" s="50"/>
      <c r="AH606" s="61" t="str">
        <f t="shared" si="78"/>
        <v/>
      </c>
      <c r="AI606" s="61" t="str">
        <f>IFERROR(IF(AF606-AF605&lt;=0,"",AH606/SQRT(Таблица_pr5[[#This Row],[Удельное сопротивление грунта, Ом·м]])),AH606/SQRT(Таблица_pr5[[#This Row],[Удельное сопротивление грунта, Ом·м]]))</f>
        <v/>
      </c>
      <c r="AK606" s="53"/>
      <c r="AL606" s="52"/>
      <c r="AM606" s="50"/>
      <c r="AN606" s="61" t="str">
        <f t="shared" si="83"/>
        <v/>
      </c>
      <c r="AO606" s="61" t="str">
        <f>IFERROR(IF(AL606-AL605&lt;=0,"",AN606/SQRT(Таблица_pr6[[#This Row],[Удельное сопротивление грунта, Ом·м]])),AN606/SQRT(Таблица_pr6[[#This Row],[Удельное сопротивление грунта, Ом·м]]))</f>
        <v/>
      </c>
      <c r="AQ606" s="53"/>
      <c r="AR606" s="52"/>
      <c r="AS606" s="50"/>
      <c r="AT606" s="61" t="str">
        <f t="shared" si="79"/>
        <v/>
      </c>
      <c r="AU606" s="61" t="str">
        <f>IFERROR(IF(AR606-AR605&lt;=0,"",AT606/SQRT(Таблица_pr7[[#This Row],[Удельное сопротивление грунта, Ом·м]])),AT606/SQRT(Таблица_pr7[[#This Row],[Удельное сопротивление грунта, Ом·м]]))</f>
        <v/>
      </c>
      <c r="AW606" s="53"/>
      <c r="AX606" s="52"/>
      <c r="AY606" s="50"/>
      <c r="AZ606" s="61" t="str">
        <f t="shared" si="84"/>
        <v/>
      </c>
      <c r="BA606" s="61" t="str">
        <f>IFERROR(IF(AX606-AX605&lt;=0,"",AZ606/SQRT(Таблица_pr8[[#This Row],[Удельное сопротивление грунта, Ом·м]])),AZ606/SQRT(Таблица_pr8[[#This Row],[Удельное сопротивление грунта, Ом·м]]))</f>
        <v/>
      </c>
      <c r="BC606" s="53"/>
      <c r="BD606" s="52"/>
      <c r="BE606" s="50"/>
      <c r="BF606" s="61" t="str">
        <f t="shared" si="80"/>
        <v/>
      </c>
      <c r="BG606" s="61" t="str">
        <f>IFERROR(IF(BD606-AX625&lt;=0,"",BF606/SQRT(Таблица_pr9[[#This Row],[Удельное сопротивление грунта, Ом·м]])),BF606/SQRT(Таблица_pr9[[#This Row],[Удельное сопротивление грунта, Ом·м]]))</f>
        <v/>
      </c>
      <c r="BI606" s="53"/>
      <c r="BJ606" s="52"/>
      <c r="BK606" s="50"/>
      <c r="BL606" s="61" t="str">
        <f t="shared" si="85"/>
        <v/>
      </c>
      <c r="BM606" s="61" t="str">
        <f>IFERROR(IF(BJ606-BD635&lt;=0,"",BL606/SQRT(Таблица_pr10[[#This Row],[Удельное сопротивление грунта, Ом·м]])),BL606/SQRT(Таблица_pr10[[#This Row],[Удельное сопротивление грунта, Ом·м]]))</f>
        <v/>
      </c>
    </row>
    <row r="607" spans="1:65">
      <c r="A607" s="51"/>
      <c r="B607" s="52"/>
      <c r="C607" s="50"/>
      <c r="D607" s="61" t="str">
        <f t="shared" si="75"/>
        <v/>
      </c>
      <c r="E607" s="61" t="str">
        <f>IFERROR(IF(B607-B606&lt;=0,"",D607/SQRT(Таблица_pr[[#This Row],[Удельное сопротивление грунта, Ом·м]])),D607/SQRT(Таблица_pr[[#This Row],[Удельное сопротивление грунта, Ом·м]]))</f>
        <v/>
      </c>
      <c r="G607" s="189"/>
      <c r="H607" s="185"/>
      <c r="I607" s="183"/>
      <c r="J607" s="180" t="str">
        <f t="shared" si="76"/>
        <v/>
      </c>
      <c r="K607" s="61" t="str">
        <f>IFERROR(IF(H607-H606&lt;=0,"",J607/SQRT(Таблица_pr1[[#This Row],[Удельное сопротивление грунта, Ом·м]])),J607/SQRT(Таблица_pr1[[#This Row],[Удельное сопротивление грунта, Ом·м]]))</f>
        <v/>
      </c>
      <c r="M607" s="51"/>
      <c r="N607" s="52"/>
      <c r="O607" s="50"/>
      <c r="P607" s="61" t="str">
        <f t="shared" si="81"/>
        <v/>
      </c>
      <c r="Q607" s="61" t="str">
        <f>IFERROR(IF(N607-N606&lt;=0,"",P607/SQRT(Таблица_pr2[[#This Row],[Удельное сопротивление грунта, Ом·м]])),P607/SQRT(Таблица_pr2[[#This Row],[Удельное сопротивление грунта, Ом·м]]))</f>
        <v/>
      </c>
      <c r="S607" s="51"/>
      <c r="T607" s="52"/>
      <c r="U607" s="50"/>
      <c r="V607" s="61" t="str">
        <f t="shared" si="77"/>
        <v/>
      </c>
      <c r="W607" s="61" t="str">
        <f>IFERROR(IF(T607-T606&lt;=0,"",V607/SQRT(Таблица_pr3[[#This Row],[Удельное сопротивление грунта, Ом·м]])),V607/SQRT(Таблица_pr3[[#This Row],[Удельное сопротивление грунта, Ом·м]]))</f>
        <v/>
      </c>
      <c r="Y607" s="51"/>
      <c r="Z607" s="52"/>
      <c r="AA607" s="50"/>
      <c r="AB607" s="61" t="str">
        <f t="shared" si="82"/>
        <v/>
      </c>
      <c r="AC607" s="61" t="str">
        <f>IFERROR(IF(Z607-Z606&lt;=0,"",AB607/SQRT(Таблица_pr4[[#This Row],[Удельное сопротивление грунта, Ом·м]])),AB607/SQRT(Таблица_pr4[[#This Row],[Удельное сопротивление грунта, Ом·м]]))</f>
        <v/>
      </c>
      <c r="AE607" s="51"/>
      <c r="AF607" s="52"/>
      <c r="AG607" s="50"/>
      <c r="AH607" s="61" t="str">
        <f t="shared" si="78"/>
        <v/>
      </c>
      <c r="AI607" s="61" t="str">
        <f>IFERROR(IF(AF607-AF606&lt;=0,"",AH607/SQRT(Таблица_pr5[[#This Row],[Удельное сопротивление грунта, Ом·м]])),AH607/SQRT(Таблица_pr5[[#This Row],[Удельное сопротивление грунта, Ом·м]]))</f>
        <v/>
      </c>
      <c r="AK607" s="51"/>
      <c r="AL607" s="52"/>
      <c r="AM607" s="50"/>
      <c r="AN607" s="61" t="str">
        <f t="shared" si="83"/>
        <v/>
      </c>
      <c r="AO607" s="61" t="str">
        <f>IFERROR(IF(AL607-AL606&lt;=0,"",AN607/SQRT(Таблица_pr6[[#This Row],[Удельное сопротивление грунта, Ом·м]])),AN607/SQRT(Таблица_pr6[[#This Row],[Удельное сопротивление грунта, Ом·м]]))</f>
        <v/>
      </c>
      <c r="AQ607" s="51"/>
      <c r="AR607" s="52"/>
      <c r="AS607" s="50"/>
      <c r="AT607" s="61" t="str">
        <f t="shared" si="79"/>
        <v/>
      </c>
      <c r="AU607" s="61" t="str">
        <f>IFERROR(IF(AR607-AR606&lt;=0,"",AT607/SQRT(Таблица_pr7[[#This Row],[Удельное сопротивление грунта, Ом·м]])),AT607/SQRT(Таблица_pr7[[#This Row],[Удельное сопротивление грунта, Ом·м]]))</f>
        <v/>
      </c>
      <c r="AW607" s="51"/>
      <c r="AX607" s="52"/>
      <c r="AY607" s="50"/>
      <c r="AZ607" s="61" t="str">
        <f t="shared" si="84"/>
        <v/>
      </c>
      <c r="BA607" s="61" t="str">
        <f>IFERROR(IF(AX607-AX606&lt;=0,"",AZ607/SQRT(Таблица_pr8[[#This Row],[Удельное сопротивление грунта, Ом·м]])),AZ607/SQRT(Таблица_pr8[[#This Row],[Удельное сопротивление грунта, Ом·м]]))</f>
        <v/>
      </c>
      <c r="BC607" s="51"/>
      <c r="BD607" s="52"/>
      <c r="BE607" s="50"/>
      <c r="BF607" s="61" t="str">
        <f t="shared" si="80"/>
        <v/>
      </c>
      <c r="BG607" s="61" t="str">
        <f>IFERROR(IF(BD607-AX626&lt;=0,"",BF607/SQRT(Таблица_pr9[[#This Row],[Удельное сопротивление грунта, Ом·м]])),BF607/SQRT(Таблица_pr9[[#This Row],[Удельное сопротивление грунта, Ом·м]]))</f>
        <v/>
      </c>
      <c r="BI607" s="51"/>
      <c r="BJ607" s="52"/>
      <c r="BK607" s="50"/>
      <c r="BL607" s="61" t="str">
        <f t="shared" si="85"/>
        <v/>
      </c>
      <c r="BM607" s="61" t="str">
        <f>IFERROR(IF(BJ607-BD636&lt;=0,"",BL607/SQRT(Таблица_pr10[[#This Row],[Удельное сопротивление грунта, Ом·м]])),BL607/SQRT(Таблица_pr10[[#This Row],[Удельное сопротивление грунта, Ом·м]]))</f>
        <v/>
      </c>
    </row>
    <row r="608" spans="1:65">
      <c r="A608" s="53"/>
      <c r="B608" s="52"/>
      <c r="C608" s="50"/>
      <c r="D608" s="61" t="str">
        <f t="shared" si="75"/>
        <v/>
      </c>
      <c r="E608" s="61" t="str">
        <f>IFERROR(IF(B608-B607&lt;=0,"",D608/SQRT(Таблица_pr[[#This Row],[Удельное сопротивление грунта, Ом·м]])),D608/SQRT(Таблица_pr[[#This Row],[Удельное сопротивление грунта, Ом·м]]))</f>
        <v/>
      </c>
      <c r="G608" s="188"/>
      <c r="H608" s="184"/>
      <c r="I608" s="182"/>
      <c r="J608" s="181" t="str">
        <f t="shared" si="76"/>
        <v/>
      </c>
      <c r="K608" s="61" t="str">
        <f>IFERROR(IF(H608-H607&lt;=0,"",J608/SQRT(Таблица_pr1[[#This Row],[Удельное сопротивление грунта, Ом·м]])),J608/SQRT(Таблица_pr1[[#This Row],[Удельное сопротивление грунта, Ом·м]]))</f>
        <v/>
      </c>
      <c r="M608" s="53"/>
      <c r="N608" s="52"/>
      <c r="O608" s="50"/>
      <c r="P608" s="61" t="str">
        <f t="shared" si="81"/>
        <v/>
      </c>
      <c r="Q608" s="61" t="str">
        <f>IFERROR(IF(N608-N607&lt;=0,"",P608/SQRT(Таблица_pr2[[#This Row],[Удельное сопротивление грунта, Ом·м]])),P608/SQRT(Таблица_pr2[[#This Row],[Удельное сопротивление грунта, Ом·м]]))</f>
        <v/>
      </c>
      <c r="S608" s="53"/>
      <c r="T608" s="52"/>
      <c r="U608" s="50"/>
      <c r="V608" s="61" t="str">
        <f t="shared" si="77"/>
        <v/>
      </c>
      <c r="W608" s="61" t="str">
        <f>IFERROR(IF(T608-T607&lt;=0,"",V608/SQRT(Таблица_pr3[[#This Row],[Удельное сопротивление грунта, Ом·м]])),V608/SQRT(Таблица_pr3[[#This Row],[Удельное сопротивление грунта, Ом·м]]))</f>
        <v/>
      </c>
      <c r="Y608" s="53"/>
      <c r="Z608" s="52"/>
      <c r="AA608" s="50"/>
      <c r="AB608" s="61" t="str">
        <f t="shared" si="82"/>
        <v/>
      </c>
      <c r="AC608" s="61" t="str">
        <f>IFERROR(IF(Z608-Z607&lt;=0,"",AB608/SQRT(Таблица_pr4[[#This Row],[Удельное сопротивление грунта, Ом·м]])),AB608/SQRT(Таблица_pr4[[#This Row],[Удельное сопротивление грунта, Ом·м]]))</f>
        <v/>
      </c>
      <c r="AE608" s="53"/>
      <c r="AF608" s="52"/>
      <c r="AG608" s="50"/>
      <c r="AH608" s="61" t="str">
        <f t="shared" si="78"/>
        <v/>
      </c>
      <c r="AI608" s="61" t="str">
        <f>IFERROR(IF(AF608-AF607&lt;=0,"",AH608/SQRT(Таблица_pr5[[#This Row],[Удельное сопротивление грунта, Ом·м]])),AH608/SQRT(Таблица_pr5[[#This Row],[Удельное сопротивление грунта, Ом·м]]))</f>
        <v/>
      </c>
      <c r="AK608" s="53"/>
      <c r="AL608" s="52"/>
      <c r="AM608" s="50"/>
      <c r="AN608" s="61" t="str">
        <f t="shared" si="83"/>
        <v/>
      </c>
      <c r="AO608" s="61" t="str">
        <f>IFERROR(IF(AL608-AL607&lt;=0,"",AN608/SQRT(Таблица_pr6[[#This Row],[Удельное сопротивление грунта, Ом·м]])),AN608/SQRT(Таблица_pr6[[#This Row],[Удельное сопротивление грунта, Ом·м]]))</f>
        <v/>
      </c>
      <c r="AQ608" s="53"/>
      <c r="AR608" s="52"/>
      <c r="AS608" s="50"/>
      <c r="AT608" s="61" t="str">
        <f t="shared" si="79"/>
        <v/>
      </c>
      <c r="AU608" s="61" t="str">
        <f>IFERROR(IF(AR608-AR607&lt;=0,"",AT608/SQRT(Таблица_pr7[[#This Row],[Удельное сопротивление грунта, Ом·м]])),AT608/SQRT(Таблица_pr7[[#This Row],[Удельное сопротивление грунта, Ом·м]]))</f>
        <v/>
      </c>
      <c r="AW608" s="53"/>
      <c r="AX608" s="52"/>
      <c r="AY608" s="50"/>
      <c r="AZ608" s="61" t="str">
        <f t="shared" si="84"/>
        <v/>
      </c>
      <c r="BA608" s="61" t="str">
        <f>IFERROR(IF(AX608-AX607&lt;=0,"",AZ608/SQRT(Таблица_pr8[[#This Row],[Удельное сопротивление грунта, Ом·м]])),AZ608/SQRT(Таблица_pr8[[#This Row],[Удельное сопротивление грунта, Ом·м]]))</f>
        <v/>
      </c>
      <c r="BC608" s="53"/>
      <c r="BD608" s="52"/>
      <c r="BE608" s="50"/>
      <c r="BF608" s="61" t="str">
        <f t="shared" si="80"/>
        <v/>
      </c>
      <c r="BG608" s="61" t="str">
        <f>IFERROR(IF(BD608-AX627&lt;=0,"",BF608/SQRT(Таблица_pr9[[#This Row],[Удельное сопротивление грунта, Ом·м]])),BF608/SQRT(Таблица_pr9[[#This Row],[Удельное сопротивление грунта, Ом·м]]))</f>
        <v/>
      </c>
      <c r="BI608" s="53"/>
      <c r="BJ608" s="52"/>
      <c r="BK608" s="50"/>
      <c r="BL608" s="61" t="str">
        <f t="shared" si="85"/>
        <v/>
      </c>
      <c r="BM608" s="61" t="str">
        <f>IFERROR(IF(BJ608-BD637&lt;=0,"",BL608/SQRT(Таблица_pr10[[#This Row],[Удельное сопротивление грунта, Ом·м]])),BL608/SQRT(Таблица_pr10[[#This Row],[Удельное сопротивление грунта, Ом·м]]))</f>
        <v/>
      </c>
    </row>
    <row r="609" spans="1:65">
      <c r="A609" s="51"/>
      <c r="B609" s="52"/>
      <c r="C609" s="50"/>
      <c r="D609" s="61" t="str">
        <f t="shared" si="75"/>
        <v/>
      </c>
      <c r="E609" s="61" t="str">
        <f>IFERROR(IF(B609-B608&lt;=0,"",D609/SQRT(Таблица_pr[[#This Row],[Удельное сопротивление грунта, Ом·м]])),D609/SQRT(Таблица_pr[[#This Row],[Удельное сопротивление грунта, Ом·м]]))</f>
        <v/>
      </c>
      <c r="G609" s="189"/>
      <c r="H609" s="185"/>
      <c r="I609" s="183"/>
      <c r="J609" s="180" t="str">
        <f t="shared" si="76"/>
        <v/>
      </c>
      <c r="K609" s="61" t="str">
        <f>IFERROR(IF(H609-H608&lt;=0,"",J609/SQRT(Таблица_pr1[[#This Row],[Удельное сопротивление грунта, Ом·м]])),J609/SQRT(Таблица_pr1[[#This Row],[Удельное сопротивление грунта, Ом·м]]))</f>
        <v/>
      </c>
      <c r="M609" s="51"/>
      <c r="N609" s="52"/>
      <c r="O609" s="50"/>
      <c r="P609" s="61" t="str">
        <f t="shared" si="81"/>
        <v/>
      </c>
      <c r="Q609" s="61" t="str">
        <f>IFERROR(IF(N609-N608&lt;=0,"",P609/SQRT(Таблица_pr2[[#This Row],[Удельное сопротивление грунта, Ом·м]])),P609/SQRT(Таблица_pr2[[#This Row],[Удельное сопротивление грунта, Ом·м]]))</f>
        <v/>
      </c>
      <c r="S609" s="51"/>
      <c r="T609" s="52"/>
      <c r="U609" s="50"/>
      <c r="V609" s="61" t="str">
        <f t="shared" si="77"/>
        <v/>
      </c>
      <c r="W609" s="61" t="str">
        <f>IFERROR(IF(T609-T608&lt;=0,"",V609/SQRT(Таблица_pr3[[#This Row],[Удельное сопротивление грунта, Ом·м]])),V609/SQRT(Таблица_pr3[[#This Row],[Удельное сопротивление грунта, Ом·м]]))</f>
        <v/>
      </c>
      <c r="Y609" s="51"/>
      <c r="Z609" s="52"/>
      <c r="AA609" s="50"/>
      <c r="AB609" s="61" t="str">
        <f t="shared" si="82"/>
        <v/>
      </c>
      <c r="AC609" s="61" t="str">
        <f>IFERROR(IF(Z609-Z608&lt;=0,"",AB609/SQRT(Таблица_pr4[[#This Row],[Удельное сопротивление грунта, Ом·м]])),AB609/SQRT(Таблица_pr4[[#This Row],[Удельное сопротивление грунта, Ом·м]]))</f>
        <v/>
      </c>
      <c r="AE609" s="51"/>
      <c r="AF609" s="52"/>
      <c r="AG609" s="50"/>
      <c r="AH609" s="61" t="str">
        <f t="shared" si="78"/>
        <v/>
      </c>
      <c r="AI609" s="61" t="str">
        <f>IFERROR(IF(AF609-AF608&lt;=0,"",AH609/SQRT(Таблица_pr5[[#This Row],[Удельное сопротивление грунта, Ом·м]])),AH609/SQRT(Таблица_pr5[[#This Row],[Удельное сопротивление грунта, Ом·м]]))</f>
        <v/>
      </c>
      <c r="AK609" s="51"/>
      <c r="AL609" s="52"/>
      <c r="AM609" s="50"/>
      <c r="AN609" s="61" t="str">
        <f t="shared" si="83"/>
        <v/>
      </c>
      <c r="AO609" s="61" t="str">
        <f>IFERROR(IF(AL609-AL608&lt;=0,"",AN609/SQRT(Таблица_pr6[[#This Row],[Удельное сопротивление грунта, Ом·м]])),AN609/SQRT(Таблица_pr6[[#This Row],[Удельное сопротивление грунта, Ом·м]]))</f>
        <v/>
      </c>
      <c r="AQ609" s="51"/>
      <c r="AR609" s="52"/>
      <c r="AS609" s="50"/>
      <c r="AT609" s="61" t="str">
        <f t="shared" si="79"/>
        <v/>
      </c>
      <c r="AU609" s="61" t="str">
        <f>IFERROR(IF(AR609-AR608&lt;=0,"",AT609/SQRT(Таблица_pr7[[#This Row],[Удельное сопротивление грунта, Ом·м]])),AT609/SQRT(Таблица_pr7[[#This Row],[Удельное сопротивление грунта, Ом·м]]))</f>
        <v/>
      </c>
      <c r="AW609" s="51"/>
      <c r="AX609" s="52"/>
      <c r="AY609" s="50"/>
      <c r="AZ609" s="61" t="str">
        <f t="shared" si="84"/>
        <v/>
      </c>
      <c r="BA609" s="61" t="str">
        <f>IFERROR(IF(AX609-AX608&lt;=0,"",AZ609/SQRT(Таблица_pr8[[#This Row],[Удельное сопротивление грунта, Ом·м]])),AZ609/SQRT(Таблица_pr8[[#This Row],[Удельное сопротивление грунта, Ом·м]]))</f>
        <v/>
      </c>
      <c r="BC609" s="51"/>
      <c r="BD609" s="52"/>
      <c r="BE609" s="50"/>
      <c r="BF609" s="61" t="str">
        <f t="shared" si="80"/>
        <v/>
      </c>
      <c r="BG609" s="61" t="str">
        <f>IFERROR(IF(BD609-AX628&lt;=0,"",BF609/SQRT(Таблица_pr9[[#This Row],[Удельное сопротивление грунта, Ом·м]])),BF609/SQRT(Таблица_pr9[[#This Row],[Удельное сопротивление грунта, Ом·м]]))</f>
        <v/>
      </c>
      <c r="BI609" s="51"/>
      <c r="BJ609" s="52"/>
      <c r="BK609" s="50"/>
      <c r="BL609" s="61" t="str">
        <f t="shared" si="85"/>
        <v/>
      </c>
      <c r="BM609" s="61" t="str">
        <f>IFERROR(IF(BJ609-BD638&lt;=0,"",BL609/SQRT(Таблица_pr10[[#This Row],[Удельное сопротивление грунта, Ом·м]])),BL609/SQRT(Таблица_pr10[[#This Row],[Удельное сопротивление грунта, Ом·м]]))</f>
        <v/>
      </c>
    </row>
    <row r="610" spans="1:65">
      <c r="A610" s="53"/>
      <c r="B610" s="52"/>
      <c r="C610" s="50"/>
      <c r="D610" s="61" t="str">
        <f t="shared" si="75"/>
        <v/>
      </c>
      <c r="E610" s="61" t="str">
        <f>IFERROR(IF(B610-B609&lt;=0,"",D610/SQRT(Таблица_pr[[#This Row],[Удельное сопротивление грунта, Ом·м]])),D610/SQRT(Таблица_pr[[#This Row],[Удельное сопротивление грунта, Ом·м]]))</f>
        <v/>
      </c>
      <c r="G610" s="188"/>
      <c r="H610" s="184"/>
      <c r="I610" s="182"/>
      <c r="J610" s="181" t="str">
        <f t="shared" si="76"/>
        <v/>
      </c>
      <c r="K610" s="61" t="str">
        <f>IFERROR(IF(H610-H609&lt;=0,"",J610/SQRT(Таблица_pr1[[#This Row],[Удельное сопротивление грунта, Ом·м]])),J610/SQRT(Таблица_pr1[[#This Row],[Удельное сопротивление грунта, Ом·м]]))</f>
        <v/>
      </c>
      <c r="M610" s="53"/>
      <c r="N610" s="52"/>
      <c r="O610" s="50"/>
      <c r="P610" s="61" t="str">
        <f t="shared" si="81"/>
        <v/>
      </c>
      <c r="Q610" s="61" t="str">
        <f>IFERROR(IF(N610-N609&lt;=0,"",P610/SQRT(Таблица_pr2[[#This Row],[Удельное сопротивление грунта, Ом·м]])),P610/SQRT(Таблица_pr2[[#This Row],[Удельное сопротивление грунта, Ом·м]]))</f>
        <v/>
      </c>
      <c r="S610" s="53"/>
      <c r="T610" s="52"/>
      <c r="U610" s="50"/>
      <c r="V610" s="61" t="str">
        <f t="shared" si="77"/>
        <v/>
      </c>
      <c r="W610" s="61" t="str">
        <f>IFERROR(IF(T610-T609&lt;=0,"",V610/SQRT(Таблица_pr3[[#This Row],[Удельное сопротивление грунта, Ом·м]])),V610/SQRT(Таблица_pr3[[#This Row],[Удельное сопротивление грунта, Ом·м]]))</f>
        <v/>
      </c>
      <c r="Y610" s="53"/>
      <c r="Z610" s="52"/>
      <c r="AA610" s="50"/>
      <c r="AB610" s="61" t="str">
        <f t="shared" si="82"/>
        <v/>
      </c>
      <c r="AC610" s="61" t="str">
        <f>IFERROR(IF(Z610-Z609&lt;=0,"",AB610/SQRT(Таблица_pr4[[#This Row],[Удельное сопротивление грунта, Ом·м]])),AB610/SQRT(Таблица_pr4[[#This Row],[Удельное сопротивление грунта, Ом·м]]))</f>
        <v/>
      </c>
      <c r="AE610" s="53"/>
      <c r="AF610" s="52"/>
      <c r="AG610" s="50"/>
      <c r="AH610" s="61" t="str">
        <f t="shared" si="78"/>
        <v/>
      </c>
      <c r="AI610" s="61" t="str">
        <f>IFERROR(IF(AF610-AF609&lt;=0,"",AH610/SQRT(Таблица_pr5[[#This Row],[Удельное сопротивление грунта, Ом·м]])),AH610/SQRT(Таблица_pr5[[#This Row],[Удельное сопротивление грунта, Ом·м]]))</f>
        <v/>
      </c>
      <c r="AK610" s="53"/>
      <c r="AL610" s="52"/>
      <c r="AM610" s="50"/>
      <c r="AN610" s="61" t="str">
        <f t="shared" si="83"/>
        <v/>
      </c>
      <c r="AO610" s="61" t="str">
        <f>IFERROR(IF(AL610-AL609&lt;=0,"",AN610/SQRT(Таблица_pr6[[#This Row],[Удельное сопротивление грунта, Ом·м]])),AN610/SQRT(Таблица_pr6[[#This Row],[Удельное сопротивление грунта, Ом·м]]))</f>
        <v/>
      </c>
      <c r="AQ610" s="53"/>
      <c r="AR610" s="52"/>
      <c r="AS610" s="50"/>
      <c r="AT610" s="61" t="str">
        <f t="shared" si="79"/>
        <v/>
      </c>
      <c r="AU610" s="61" t="str">
        <f>IFERROR(IF(AR610-AR609&lt;=0,"",AT610/SQRT(Таблица_pr7[[#This Row],[Удельное сопротивление грунта, Ом·м]])),AT610/SQRT(Таблица_pr7[[#This Row],[Удельное сопротивление грунта, Ом·м]]))</f>
        <v/>
      </c>
      <c r="AW610" s="53"/>
      <c r="AX610" s="52"/>
      <c r="AY610" s="50"/>
      <c r="AZ610" s="61" t="str">
        <f t="shared" si="84"/>
        <v/>
      </c>
      <c r="BA610" s="61" t="str">
        <f>IFERROR(IF(AX610-AX609&lt;=0,"",AZ610/SQRT(Таблица_pr8[[#This Row],[Удельное сопротивление грунта, Ом·м]])),AZ610/SQRT(Таблица_pr8[[#This Row],[Удельное сопротивление грунта, Ом·м]]))</f>
        <v/>
      </c>
      <c r="BC610" s="53"/>
      <c r="BD610" s="52"/>
      <c r="BE610" s="50"/>
      <c r="BF610" s="61" t="str">
        <f t="shared" si="80"/>
        <v/>
      </c>
      <c r="BG610" s="61" t="str">
        <f>IFERROR(IF(BD610-AX629&lt;=0,"",BF610/SQRT(Таблица_pr9[[#This Row],[Удельное сопротивление грунта, Ом·м]])),BF610/SQRT(Таблица_pr9[[#This Row],[Удельное сопротивление грунта, Ом·м]]))</f>
        <v/>
      </c>
      <c r="BI610" s="53"/>
      <c r="BJ610" s="52"/>
      <c r="BK610" s="50"/>
      <c r="BL610" s="61" t="str">
        <f t="shared" si="85"/>
        <v/>
      </c>
      <c r="BM610" s="61" t="str">
        <f>IFERROR(IF(BJ610-BD639&lt;=0,"",BL610/SQRT(Таблица_pr10[[#This Row],[Удельное сопротивление грунта, Ом·м]])),BL610/SQRT(Таблица_pr10[[#This Row],[Удельное сопротивление грунта, Ом·м]]))</f>
        <v/>
      </c>
    </row>
    <row r="611" spans="1:65">
      <c r="A611" s="51"/>
      <c r="B611" s="52"/>
      <c r="C611" s="50"/>
      <c r="D611" s="61" t="str">
        <f t="shared" si="75"/>
        <v/>
      </c>
      <c r="E611" s="61" t="str">
        <f>IFERROR(IF(B611-B610&lt;=0,"",D611/SQRT(Таблица_pr[[#This Row],[Удельное сопротивление грунта, Ом·м]])),D611/SQRT(Таблица_pr[[#This Row],[Удельное сопротивление грунта, Ом·м]]))</f>
        <v/>
      </c>
      <c r="G611" s="189"/>
      <c r="H611" s="185"/>
      <c r="I611" s="183"/>
      <c r="J611" s="180" t="str">
        <f t="shared" si="76"/>
        <v/>
      </c>
      <c r="K611" s="61" t="str">
        <f>IFERROR(IF(H611-H610&lt;=0,"",J611/SQRT(Таблица_pr1[[#This Row],[Удельное сопротивление грунта, Ом·м]])),J611/SQRT(Таблица_pr1[[#This Row],[Удельное сопротивление грунта, Ом·м]]))</f>
        <v/>
      </c>
      <c r="M611" s="51"/>
      <c r="N611" s="52"/>
      <c r="O611" s="50"/>
      <c r="P611" s="61" t="str">
        <f t="shared" si="81"/>
        <v/>
      </c>
      <c r="Q611" s="61" t="str">
        <f>IFERROR(IF(N611-N610&lt;=0,"",P611/SQRT(Таблица_pr2[[#This Row],[Удельное сопротивление грунта, Ом·м]])),P611/SQRT(Таблица_pr2[[#This Row],[Удельное сопротивление грунта, Ом·м]]))</f>
        <v/>
      </c>
      <c r="S611" s="51"/>
      <c r="T611" s="52"/>
      <c r="U611" s="50"/>
      <c r="V611" s="61" t="str">
        <f t="shared" si="77"/>
        <v/>
      </c>
      <c r="W611" s="61" t="str">
        <f>IFERROR(IF(T611-T610&lt;=0,"",V611/SQRT(Таблица_pr3[[#This Row],[Удельное сопротивление грунта, Ом·м]])),V611/SQRT(Таблица_pr3[[#This Row],[Удельное сопротивление грунта, Ом·м]]))</f>
        <v/>
      </c>
      <c r="Y611" s="51"/>
      <c r="Z611" s="52"/>
      <c r="AA611" s="50"/>
      <c r="AB611" s="61" t="str">
        <f t="shared" si="82"/>
        <v/>
      </c>
      <c r="AC611" s="61" t="str">
        <f>IFERROR(IF(Z611-Z610&lt;=0,"",AB611/SQRT(Таблица_pr4[[#This Row],[Удельное сопротивление грунта, Ом·м]])),AB611/SQRT(Таблица_pr4[[#This Row],[Удельное сопротивление грунта, Ом·м]]))</f>
        <v/>
      </c>
      <c r="AE611" s="51"/>
      <c r="AF611" s="52"/>
      <c r="AG611" s="50"/>
      <c r="AH611" s="61" t="str">
        <f t="shared" si="78"/>
        <v/>
      </c>
      <c r="AI611" s="61" t="str">
        <f>IFERROR(IF(AF611-AF610&lt;=0,"",AH611/SQRT(Таблица_pr5[[#This Row],[Удельное сопротивление грунта, Ом·м]])),AH611/SQRT(Таблица_pr5[[#This Row],[Удельное сопротивление грунта, Ом·м]]))</f>
        <v/>
      </c>
      <c r="AK611" s="51"/>
      <c r="AL611" s="52"/>
      <c r="AM611" s="50"/>
      <c r="AN611" s="61" t="str">
        <f t="shared" si="83"/>
        <v/>
      </c>
      <c r="AO611" s="61" t="str">
        <f>IFERROR(IF(AL611-AL610&lt;=0,"",AN611/SQRT(Таблица_pr6[[#This Row],[Удельное сопротивление грунта, Ом·м]])),AN611/SQRT(Таблица_pr6[[#This Row],[Удельное сопротивление грунта, Ом·м]]))</f>
        <v/>
      </c>
      <c r="AQ611" s="51"/>
      <c r="AR611" s="52"/>
      <c r="AS611" s="50"/>
      <c r="AT611" s="61" t="str">
        <f t="shared" si="79"/>
        <v/>
      </c>
      <c r="AU611" s="61" t="str">
        <f>IFERROR(IF(AR611-AR610&lt;=0,"",AT611/SQRT(Таблица_pr7[[#This Row],[Удельное сопротивление грунта, Ом·м]])),AT611/SQRT(Таблица_pr7[[#This Row],[Удельное сопротивление грунта, Ом·м]]))</f>
        <v/>
      </c>
      <c r="AW611" s="51"/>
      <c r="AX611" s="52"/>
      <c r="AY611" s="50"/>
      <c r="AZ611" s="61" t="str">
        <f t="shared" si="84"/>
        <v/>
      </c>
      <c r="BA611" s="61" t="str">
        <f>IFERROR(IF(AX611-AX610&lt;=0,"",AZ611/SQRT(Таблица_pr8[[#This Row],[Удельное сопротивление грунта, Ом·м]])),AZ611/SQRT(Таблица_pr8[[#This Row],[Удельное сопротивление грунта, Ом·м]]))</f>
        <v/>
      </c>
      <c r="BC611" s="51"/>
      <c r="BD611" s="52"/>
      <c r="BE611" s="50"/>
      <c r="BF611" s="61" t="str">
        <f t="shared" si="80"/>
        <v/>
      </c>
      <c r="BG611" s="61" t="str">
        <f>IFERROR(IF(BD611-AX630&lt;=0,"",BF611/SQRT(Таблица_pr9[[#This Row],[Удельное сопротивление грунта, Ом·м]])),BF611/SQRT(Таблица_pr9[[#This Row],[Удельное сопротивление грунта, Ом·м]]))</f>
        <v/>
      </c>
      <c r="BI611" s="51"/>
      <c r="BJ611" s="52"/>
      <c r="BK611" s="50"/>
      <c r="BL611" s="61" t="str">
        <f t="shared" si="85"/>
        <v/>
      </c>
      <c r="BM611" s="61" t="str">
        <f>IFERROR(IF(BJ611-BD640&lt;=0,"",BL611/SQRT(Таблица_pr10[[#This Row],[Удельное сопротивление грунта, Ом·м]])),BL611/SQRT(Таблица_pr10[[#This Row],[Удельное сопротивление грунта, Ом·м]]))</f>
        <v/>
      </c>
    </row>
    <row r="612" spans="1:65">
      <c r="A612" s="53"/>
      <c r="B612" s="52"/>
      <c r="C612" s="50"/>
      <c r="D612" s="61" t="str">
        <f t="shared" si="75"/>
        <v/>
      </c>
      <c r="E612" s="61" t="str">
        <f>IFERROR(IF(B612-B611&lt;=0,"",D612/SQRT(Таблица_pr[[#This Row],[Удельное сопротивление грунта, Ом·м]])),D612/SQRT(Таблица_pr[[#This Row],[Удельное сопротивление грунта, Ом·м]]))</f>
        <v/>
      </c>
      <c r="G612" s="188"/>
      <c r="H612" s="184"/>
      <c r="I612" s="182"/>
      <c r="J612" s="181" t="str">
        <f t="shared" si="76"/>
        <v/>
      </c>
      <c r="K612" s="61" t="str">
        <f>IFERROR(IF(H612-H611&lt;=0,"",J612/SQRT(Таблица_pr1[[#This Row],[Удельное сопротивление грунта, Ом·м]])),J612/SQRT(Таблица_pr1[[#This Row],[Удельное сопротивление грунта, Ом·м]]))</f>
        <v/>
      </c>
      <c r="M612" s="53"/>
      <c r="N612" s="52"/>
      <c r="O612" s="50"/>
      <c r="P612" s="61" t="str">
        <f t="shared" si="81"/>
        <v/>
      </c>
      <c r="Q612" s="61" t="str">
        <f>IFERROR(IF(N612-N611&lt;=0,"",P612/SQRT(Таблица_pr2[[#This Row],[Удельное сопротивление грунта, Ом·м]])),P612/SQRT(Таблица_pr2[[#This Row],[Удельное сопротивление грунта, Ом·м]]))</f>
        <v/>
      </c>
      <c r="S612" s="53"/>
      <c r="T612" s="52"/>
      <c r="U612" s="50"/>
      <c r="V612" s="61" t="str">
        <f t="shared" si="77"/>
        <v/>
      </c>
      <c r="W612" s="61" t="str">
        <f>IFERROR(IF(T612-T611&lt;=0,"",V612/SQRT(Таблица_pr3[[#This Row],[Удельное сопротивление грунта, Ом·м]])),V612/SQRT(Таблица_pr3[[#This Row],[Удельное сопротивление грунта, Ом·м]]))</f>
        <v/>
      </c>
      <c r="Y612" s="53"/>
      <c r="Z612" s="52"/>
      <c r="AA612" s="50"/>
      <c r="AB612" s="61" t="str">
        <f t="shared" si="82"/>
        <v/>
      </c>
      <c r="AC612" s="61" t="str">
        <f>IFERROR(IF(Z612-Z611&lt;=0,"",AB612/SQRT(Таблица_pr4[[#This Row],[Удельное сопротивление грунта, Ом·м]])),AB612/SQRT(Таблица_pr4[[#This Row],[Удельное сопротивление грунта, Ом·м]]))</f>
        <v/>
      </c>
      <c r="AE612" s="53"/>
      <c r="AF612" s="52"/>
      <c r="AG612" s="50"/>
      <c r="AH612" s="61" t="str">
        <f t="shared" si="78"/>
        <v/>
      </c>
      <c r="AI612" s="61" t="str">
        <f>IFERROR(IF(AF612-AF611&lt;=0,"",AH612/SQRT(Таблица_pr5[[#This Row],[Удельное сопротивление грунта, Ом·м]])),AH612/SQRT(Таблица_pr5[[#This Row],[Удельное сопротивление грунта, Ом·м]]))</f>
        <v/>
      </c>
      <c r="AK612" s="53"/>
      <c r="AL612" s="52"/>
      <c r="AM612" s="50"/>
      <c r="AN612" s="61" t="str">
        <f t="shared" si="83"/>
        <v/>
      </c>
      <c r="AO612" s="61" t="str">
        <f>IFERROR(IF(AL612-AL611&lt;=0,"",AN612/SQRT(Таблица_pr6[[#This Row],[Удельное сопротивление грунта, Ом·м]])),AN612/SQRT(Таблица_pr6[[#This Row],[Удельное сопротивление грунта, Ом·м]]))</f>
        <v/>
      </c>
      <c r="AQ612" s="53"/>
      <c r="AR612" s="52"/>
      <c r="AS612" s="50"/>
      <c r="AT612" s="61" t="str">
        <f t="shared" si="79"/>
        <v/>
      </c>
      <c r="AU612" s="61" t="str">
        <f>IFERROR(IF(AR612-AR611&lt;=0,"",AT612/SQRT(Таблица_pr7[[#This Row],[Удельное сопротивление грунта, Ом·м]])),AT612/SQRT(Таблица_pr7[[#This Row],[Удельное сопротивление грунта, Ом·м]]))</f>
        <v/>
      </c>
      <c r="AW612" s="53"/>
      <c r="AX612" s="52"/>
      <c r="AY612" s="50"/>
      <c r="AZ612" s="61" t="str">
        <f t="shared" si="84"/>
        <v/>
      </c>
      <c r="BA612" s="61" t="str">
        <f>IFERROR(IF(AX612-AX611&lt;=0,"",AZ612/SQRT(Таблица_pr8[[#This Row],[Удельное сопротивление грунта, Ом·м]])),AZ612/SQRT(Таблица_pr8[[#This Row],[Удельное сопротивление грунта, Ом·м]]))</f>
        <v/>
      </c>
      <c r="BC612" s="53"/>
      <c r="BD612" s="52"/>
      <c r="BE612" s="50"/>
      <c r="BF612" s="61" t="str">
        <f t="shared" si="80"/>
        <v/>
      </c>
      <c r="BG612" s="61" t="str">
        <f>IFERROR(IF(BD612-AX631&lt;=0,"",BF612/SQRT(Таблица_pr9[[#This Row],[Удельное сопротивление грунта, Ом·м]])),BF612/SQRT(Таблица_pr9[[#This Row],[Удельное сопротивление грунта, Ом·м]]))</f>
        <v/>
      </c>
      <c r="BI612" s="53"/>
      <c r="BJ612" s="52"/>
      <c r="BK612" s="50"/>
      <c r="BL612" s="61" t="str">
        <f t="shared" si="85"/>
        <v/>
      </c>
      <c r="BM612" s="61" t="str">
        <f>IFERROR(IF(BJ612-BD641&lt;=0,"",BL612/SQRT(Таблица_pr10[[#This Row],[Удельное сопротивление грунта, Ом·м]])),BL612/SQRT(Таблица_pr10[[#This Row],[Удельное сопротивление грунта, Ом·м]]))</f>
        <v/>
      </c>
    </row>
    <row r="613" spans="1:65">
      <c r="A613" s="51"/>
      <c r="B613" s="52"/>
      <c r="C613" s="50"/>
      <c r="D613" s="61" t="str">
        <f t="shared" si="75"/>
        <v/>
      </c>
      <c r="E613" s="61" t="str">
        <f>IFERROR(IF(B613-B612&lt;=0,"",D613/SQRT(Таблица_pr[[#This Row],[Удельное сопротивление грунта, Ом·м]])),D613/SQRT(Таблица_pr[[#This Row],[Удельное сопротивление грунта, Ом·м]]))</f>
        <v/>
      </c>
      <c r="G613" s="189"/>
      <c r="H613" s="185"/>
      <c r="I613" s="183"/>
      <c r="J613" s="180" t="str">
        <f t="shared" si="76"/>
        <v/>
      </c>
      <c r="K613" s="61" t="str">
        <f>IFERROR(IF(H613-H612&lt;=0,"",J613/SQRT(Таблица_pr1[[#This Row],[Удельное сопротивление грунта, Ом·м]])),J613/SQRT(Таблица_pr1[[#This Row],[Удельное сопротивление грунта, Ом·м]]))</f>
        <v/>
      </c>
      <c r="M613" s="51"/>
      <c r="N613" s="52"/>
      <c r="O613" s="50"/>
      <c r="P613" s="61" t="str">
        <f t="shared" si="81"/>
        <v/>
      </c>
      <c r="Q613" s="61" t="str">
        <f>IFERROR(IF(N613-N612&lt;=0,"",P613/SQRT(Таблица_pr2[[#This Row],[Удельное сопротивление грунта, Ом·м]])),P613/SQRT(Таблица_pr2[[#This Row],[Удельное сопротивление грунта, Ом·м]]))</f>
        <v/>
      </c>
      <c r="S613" s="51"/>
      <c r="T613" s="52"/>
      <c r="U613" s="50"/>
      <c r="V613" s="61" t="str">
        <f t="shared" si="77"/>
        <v/>
      </c>
      <c r="W613" s="61" t="str">
        <f>IFERROR(IF(T613-T612&lt;=0,"",V613/SQRT(Таблица_pr3[[#This Row],[Удельное сопротивление грунта, Ом·м]])),V613/SQRT(Таблица_pr3[[#This Row],[Удельное сопротивление грунта, Ом·м]]))</f>
        <v/>
      </c>
      <c r="Y613" s="51"/>
      <c r="Z613" s="52"/>
      <c r="AA613" s="50"/>
      <c r="AB613" s="61" t="str">
        <f t="shared" si="82"/>
        <v/>
      </c>
      <c r="AC613" s="61" t="str">
        <f>IFERROR(IF(Z613-Z612&lt;=0,"",AB613/SQRT(Таблица_pr4[[#This Row],[Удельное сопротивление грунта, Ом·м]])),AB613/SQRT(Таблица_pr4[[#This Row],[Удельное сопротивление грунта, Ом·м]]))</f>
        <v/>
      </c>
      <c r="AE613" s="51"/>
      <c r="AF613" s="52"/>
      <c r="AG613" s="50"/>
      <c r="AH613" s="61" t="str">
        <f t="shared" si="78"/>
        <v/>
      </c>
      <c r="AI613" s="61" t="str">
        <f>IFERROR(IF(AF613-AF612&lt;=0,"",AH613/SQRT(Таблица_pr5[[#This Row],[Удельное сопротивление грунта, Ом·м]])),AH613/SQRT(Таблица_pr5[[#This Row],[Удельное сопротивление грунта, Ом·м]]))</f>
        <v/>
      </c>
      <c r="AK613" s="51"/>
      <c r="AL613" s="52"/>
      <c r="AM613" s="50"/>
      <c r="AN613" s="61" t="str">
        <f t="shared" si="83"/>
        <v/>
      </c>
      <c r="AO613" s="61" t="str">
        <f>IFERROR(IF(AL613-AL612&lt;=0,"",AN613/SQRT(Таблица_pr6[[#This Row],[Удельное сопротивление грунта, Ом·м]])),AN613/SQRT(Таблица_pr6[[#This Row],[Удельное сопротивление грунта, Ом·м]]))</f>
        <v/>
      </c>
      <c r="AQ613" s="51"/>
      <c r="AR613" s="52"/>
      <c r="AS613" s="50"/>
      <c r="AT613" s="61" t="str">
        <f t="shared" si="79"/>
        <v/>
      </c>
      <c r="AU613" s="61" t="str">
        <f>IFERROR(IF(AR613-AR612&lt;=0,"",AT613/SQRT(Таблица_pr7[[#This Row],[Удельное сопротивление грунта, Ом·м]])),AT613/SQRT(Таблица_pr7[[#This Row],[Удельное сопротивление грунта, Ом·м]]))</f>
        <v/>
      </c>
      <c r="AW613" s="51"/>
      <c r="AX613" s="52"/>
      <c r="AY613" s="50"/>
      <c r="AZ613" s="61" t="str">
        <f t="shared" si="84"/>
        <v/>
      </c>
      <c r="BA613" s="61" t="str">
        <f>IFERROR(IF(AX613-AX612&lt;=0,"",AZ613/SQRT(Таблица_pr8[[#This Row],[Удельное сопротивление грунта, Ом·м]])),AZ613/SQRT(Таблица_pr8[[#This Row],[Удельное сопротивление грунта, Ом·м]]))</f>
        <v/>
      </c>
      <c r="BC613" s="51"/>
      <c r="BD613" s="52"/>
      <c r="BE613" s="50"/>
      <c r="BF613" s="61" t="str">
        <f t="shared" si="80"/>
        <v/>
      </c>
      <c r="BG613" s="61" t="str">
        <f>IFERROR(IF(BD613-AX632&lt;=0,"",BF613/SQRT(Таблица_pr9[[#This Row],[Удельное сопротивление грунта, Ом·м]])),BF613/SQRT(Таблица_pr9[[#This Row],[Удельное сопротивление грунта, Ом·м]]))</f>
        <v/>
      </c>
      <c r="BI613" s="51"/>
      <c r="BJ613" s="52"/>
      <c r="BK613" s="50"/>
      <c r="BL613" s="61" t="str">
        <f t="shared" si="85"/>
        <v/>
      </c>
      <c r="BM613" s="61" t="str">
        <f>IFERROR(IF(BJ613-BD642&lt;=0,"",BL613/SQRT(Таблица_pr10[[#This Row],[Удельное сопротивление грунта, Ом·м]])),BL613/SQRT(Таблица_pr10[[#This Row],[Удельное сопротивление грунта, Ом·м]]))</f>
        <v/>
      </c>
    </row>
    <row r="614" spans="1:65">
      <c r="A614" s="53"/>
      <c r="B614" s="52"/>
      <c r="C614" s="50"/>
      <c r="D614" s="61" t="str">
        <f t="shared" si="75"/>
        <v/>
      </c>
      <c r="E614" s="61" t="str">
        <f>IFERROR(IF(B614-B613&lt;=0,"",D614/SQRT(Таблица_pr[[#This Row],[Удельное сопротивление грунта, Ом·м]])),D614/SQRT(Таблица_pr[[#This Row],[Удельное сопротивление грунта, Ом·м]]))</f>
        <v/>
      </c>
      <c r="G614" s="188"/>
      <c r="H614" s="184"/>
      <c r="I614" s="182"/>
      <c r="J614" s="181" t="str">
        <f t="shared" si="76"/>
        <v/>
      </c>
      <c r="K614" s="61" t="str">
        <f>IFERROR(IF(H614-H613&lt;=0,"",J614/SQRT(Таблица_pr1[[#This Row],[Удельное сопротивление грунта, Ом·м]])),J614/SQRT(Таблица_pr1[[#This Row],[Удельное сопротивление грунта, Ом·м]]))</f>
        <v/>
      </c>
      <c r="M614" s="53"/>
      <c r="N614" s="52"/>
      <c r="O614" s="50"/>
      <c r="P614" s="61" t="str">
        <f t="shared" si="81"/>
        <v/>
      </c>
      <c r="Q614" s="61" t="str">
        <f>IFERROR(IF(N614-N613&lt;=0,"",P614/SQRT(Таблица_pr2[[#This Row],[Удельное сопротивление грунта, Ом·м]])),P614/SQRT(Таблица_pr2[[#This Row],[Удельное сопротивление грунта, Ом·м]]))</f>
        <v/>
      </c>
      <c r="S614" s="53"/>
      <c r="T614" s="52"/>
      <c r="U614" s="50"/>
      <c r="V614" s="61" t="str">
        <f t="shared" si="77"/>
        <v/>
      </c>
      <c r="W614" s="61" t="str">
        <f>IFERROR(IF(T614-T613&lt;=0,"",V614/SQRT(Таблица_pr3[[#This Row],[Удельное сопротивление грунта, Ом·м]])),V614/SQRT(Таблица_pr3[[#This Row],[Удельное сопротивление грунта, Ом·м]]))</f>
        <v/>
      </c>
      <c r="Y614" s="53"/>
      <c r="Z614" s="52"/>
      <c r="AA614" s="50"/>
      <c r="AB614" s="61" t="str">
        <f t="shared" si="82"/>
        <v/>
      </c>
      <c r="AC614" s="61" t="str">
        <f>IFERROR(IF(Z614-Z613&lt;=0,"",AB614/SQRT(Таблица_pr4[[#This Row],[Удельное сопротивление грунта, Ом·м]])),AB614/SQRT(Таблица_pr4[[#This Row],[Удельное сопротивление грунта, Ом·м]]))</f>
        <v/>
      </c>
      <c r="AE614" s="53"/>
      <c r="AF614" s="52"/>
      <c r="AG614" s="50"/>
      <c r="AH614" s="61" t="str">
        <f t="shared" si="78"/>
        <v/>
      </c>
      <c r="AI614" s="61" t="str">
        <f>IFERROR(IF(AF614-AF613&lt;=0,"",AH614/SQRT(Таблица_pr5[[#This Row],[Удельное сопротивление грунта, Ом·м]])),AH614/SQRT(Таблица_pr5[[#This Row],[Удельное сопротивление грунта, Ом·м]]))</f>
        <v/>
      </c>
      <c r="AK614" s="53"/>
      <c r="AL614" s="52"/>
      <c r="AM614" s="50"/>
      <c r="AN614" s="61" t="str">
        <f t="shared" si="83"/>
        <v/>
      </c>
      <c r="AO614" s="61" t="str">
        <f>IFERROR(IF(AL614-AL613&lt;=0,"",AN614/SQRT(Таблица_pr6[[#This Row],[Удельное сопротивление грунта, Ом·м]])),AN614/SQRT(Таблица_pr6[[#This Row],[Удельное сопротивление грунта, Ом·м]]))</f>
        <v/>
      </c>
      <c r="AQ614" s="53"/>
      <c r="AR614" s="52"/>
      <c r="AS614" s="50"/>
      <c r="AT614" s="61" t="str">
        <f t="shared" si="79"/>
        <v/>
      </c>
      <c r="AU614" s="61" t="str">
        <f>IFERROR(IF(AR614-AR613&lt;=0,"",AT614/SQRT(Таблица_pr7[[#This Row],[Удельное сопротивление грунта, Ом·м]])),AT614/SQRT(Таблица_pr7[[#This Row],[Удельное сопротивление грунта, Ом·м]]))</f>
        <v/>
      </c>
      <c r="AW614" s="53"/>
      <c r="AX614" s="52"/>
      <c r="AY614" s="50"/>
      <c r="AZ614" s="61" t="str">
        <f t="shared" si="84"/>
        <v/>
      </c>
      <c r="BA614" s="61" t="str">
        <f>IFERROR(IF(AX614-AX613&lt;=0,"",AZ614/SQRT(Таблица_pr8[[#This Row],[Удельное сопротивление грунта, Ом·м]])),AZ614/SQRT(Таблица_pr8[[#This Row],[Удельное сопротивление грунта, Ом·м]]))</f>
        <v/>
      </c>
      <c r="BC614" s="53"/>
      <c r="BD614" s="52"/>
      <c r="BE614" s="50"/>
      <c r="BF614" s="61" t="str">
        <f t="shared" si="80"/>
        <v/>
      </c>
      <c r="BG614" s="61" t="str">
        <f>IFERROR(IF(BD614-AX633&lt;=0,"",BF614/SQRT(Таблица_pr9[[#This Row],[Удельное сопротивление грунта, Ом·м]])),BF614/SQRT(Таблица_pr9[[#This Row],[Удельное сопротивление грунта, Ом·м]]))</f>
        <v/>
      </c>
      <c r="BI614" s="53"/>
      <c r="BJ614" s="52"/>
      <c r="BK614" s="50"/>
      <c r="BL614" s="61" t="str">
        <f t="shared" si="85"/>
        <v/>
      </c>
      <c r="BM614" s="61" t="str">
        <f>IFERROR(IF(BJ614-BD643&lt;=0,"",BL614/SQRT(Таблица_pr10[[#This Row],[Удельное сопротивление грунта, Ом·м]])),BL614/SQRT(Таблица_pr10[[#This Row],[Удельное сопротивление грунта, Ом·м]]))</f>
        <v/>
      </c>
    </row>
    <row r="615" spans="1:65">
      <c r="A615" s="51"/>
      <c r="B615" s="52"/>
      <c r="C615" s="50"/>
      <c r="D615" s="61" t="str">
        <f t="shared" si="75"/>
        <v/>
      </c>
      <c r="E615" s="61" t="str">
        <f>IFERROR(IF(B615-B614&lt;=0,"",D615/SQRT(Таблица_pr[[#This Row],[Удельное сопротивление грунта, Ом·м]])),D615/SQRT(Таблица_pr[[#This Row],[Удельное сопротивление грунта, Ом·м]]))</f>
        <v/>
      </c>
      <c r="G615" s="189"/>
      <c r="H615" s="185"/>
      <c r="I615" s="183"/>
      <c r="J615" s="180" t="str">
        <f t="shared" si="76"/>
        <v/>
      </c>
      <c r="K615" s="61" t="str">
        <f>IFERROR(IF(H615-H614&lt;=0,"",J615/SQRT(Таблица_pr1[[#This Row],[Удельное сопротивление грунта, Ом·м]])),J615/SQRT(Таблица_pr1[[#This Row],[Удельное сопротивление грунта, Ом·м]]))</f>
        <v/>
      </c>
      <c r="M615" s="51"/>
      <c r="N615" s="52"/>
      <c r="O615" s="50"/>
      <c r="P615" s="61" t="str">
        <f t="shared" si="81"/>
        <v/>
      </c>
      <c r="Q615" s="61" t="str">
        <f>IFERROR(IF(N615-N614&lt;=0,"",P615/SQRT(Таблица_pr2[[#This Row],[Удельное сопротивление грунта, Ом·м]])),P615/SQRT(Таблица_pr2[[#This Row],[Удельное сопротивление грунта, Ом·м]]))</f>
        <v/>
      </c>
      <c r="S615" s="51"/>
      <c r="T615" s="52"/>
      <c r="U615" s="50"/>
      <c r="V615" s="61" t="str">
        <f t="shared" si="77"/>
        <v/>
      </c>
      <c r="W615" s="61" t="str">
        <f>IFERROR(IF(T615-T614&lt;=0,"",V615/SQRT(Таблица_pr3[[#This Row],[Удельное сопротивление грунта, Ом·м]])),V615/SQRT(Таблица_pr3[[#This Row],[Удельное сопротивление грунта, Ом·м]]))</f>
        <v/>
      </c>
      <c r="Y615" s="51"/>
      <c r="Z615" s="52"/>
      <c r="AA615" s="50"/>
      <c r="AB615" s="61" t="str">
        <f t="shared" si="82"/>
        <v/>
      </c>
      <c r="AC615" s="61" t="str">
        <f>IFERROR(IF(Z615-Z614&lt;=0,"",AB615/SQRT(Таблица_pr4[[#This Row],[Удельное сопротивление грунта, Ом·м]])),AB615/SQRT(Таблица_pr4[[#This Row],[Удельное сопротивление грунта, Ом·м]]))</f>
        <v/>
      </c>
      <c r="AE615" s="51"/>
      <c r="AF615" s="52"/>
      <c r="AG615" s="50"/>
      <c r="AH615" s="61" t="str">
        <f t="shared" si="78"/>
        <v/>
      </c>
      <c r="AI615" s="61" t="str">
        <f>IFERROR(IF(AF615-AF614&lt;=0,"",AH615/SQRT(Таблица_pr5[[#This Row],[Удельное сопротивление грунта, Ом·м]])),AH615/SQRT(Таблица_pr5[[#This Row],[Удельное сопротивление грунта, Ом·м]]))</f>
        <v/>
      </c>
      <c r="AK615" s="51"/>
      <c r="AL615" s="52"/>
      <c r="AM615" s="50"/>
      <c r="AN615" s="61" t="str">
        <f t="shared" si="83"/>
        <v/>
      </c>
      <c r="AO615" s="61" t="str">
        <f>IFERROR(IF(AL615-AL614&lt;=0,"",AN615/SQRT(Таблица_pr6[[#This Row],[Удельное сопротивление грунта, Ом·м]])),AN615/SQRT(Таблица_pr6[[#This Row],[Удельное сопротивление грунта, Ом·м]]))</f>
        <v/>
      </c>
      <c r="AQ615" s="51"/>
      <c r="AR615" s="52"/>
      <c r="AS615" s="50"/>
      <c r="AT615" s="61" t="str">
        <f t="shared" si="79"/>
        <v/>
      </c>
      <c r="AU615" s="61" t="str">
        <f>IFERROR(IF(AR615-AR614&lt;=0,"",AT615/SQRT(Таблица_pr7[[#This Row],[Удельное сопротивление грунта, Ом·м]])),AT615/SQRT(Таблица_pr7[[#This Row],[Удельное сопротивление грунта, Ом·м]]))</f>
        <v/>
      </c>
      <c r="AW615" s="51"/>
      <c r="AX615" s="52"/>
      <c r="AY615" s="50"/>
      <c r="AZ615" s="61" t="str">
        <f t="shared" si="84"/>
        <v/>
      </c>
      <c r="BA615" s="61" t="str">
        <f>IFERROR(IF(AX615-AX614&lt;=0,"",AZ615/SQRT(Таблица_pr8[[#This Row],[Удельное сопротивление грунта, Ом·м]])),AZ615/SQRT(Таблица_pr8[[#This Row],[Удельное сопротивление грунта, Ом·м]]))</f>
        <v/>
      </c>
      <c r="BC615" s="51"/>
      <c r="BD615" s="52"/>
      <c r="BE615" s="50"/>
      <c r="BF615" s="61" t="str">
        <f t="shared" si="80"/>
        <v/>
      </c>
      <c r="BG615" s="61" t="str">
        <f>IFERROR(IF(BD615-AX634&lt;=0,"",BF615/SQRT(Таблица_pr9[[#This Row],[Удельное сопротивление грунта, Ом·м]])),BF615/SQRT(Таблица_pr9[[#This Row],[Удельное сопротивление грунта, Ом·м]]))</f>
        <v/>
      </c>
      <c r="BI615" s="51"/>
      <c r="BJ615" s="52"/>
      <c r="BK615" s="50"/>
      <c r="BL615" s="61" t="str">
        <f t="shared" si="85"/>
        <v/>
      </c>
      <c r="BM615" s="61" t="str">
        <f>IFERROR(IF(BJ615-BD644&lt;=0,"",BL615/SQRT(Таблица_pr10[[#This Row],[Удельное сопротивление грунта, Ом·м]])),BL615/SQRT(Таблица_pr10[[#This Row],[Удельное сопротивление грунта, Ом·м]]))</f>
        <v/>
      </c>
    </row>
    <row r="616" spans="1:65">
      <c r="A616" s="53"/>
      <c r="B616" s="52"/>
      <c r="C616" s="50"/>
      <c r="D616" s="61" t="str">
        <f t="shared" si="75"/>
        <v/>
      </c>
      <c r="E616" s="61" t="str">
        <f>IFERROR(IF(B616-B615&lt;=0,"",D616/SQRT(Таблица_pr[[#This Row],[Удельное сопротивление грунта, Ом·м]])),D616/SQRT(Таблица_pr[[#This Row],[Удельное сопротивление грунта, Ом·м]]))</f>
        <v/>
      </c>
      <c r="G616" s="188"/>
      <c r="H616" s="184"/>
      <c r="I616" s="182"/>
      <c r="J616" s="181" t="str">
        <f t="shared" si="76"/>
        <v/>
      </c>
      <c r="K616" s="61" t="str">
        <f>IFERROR(IF(H616-H615&lt;=0,"",J616/SQRT(Таблица_pr1[[#This Row],[Удельное сопротивление грунта, Ом·м]])),J616/SQRT(Таблица_pr1[[#This Row],[Удельное сопротивление грунта, Ом·м]]))</f>
        <v/>
      </c>
      <c r="M616" s="53"/>
      <c r="N616" s="52"/>
      <c r="O616" s="50"/>
      <c r="P616" s="61" t="str">
        <f t="shared" si="81"/>
        <v/>
      </c>
      <c r="Q616" s="61" t="str">
        <f>IFERROR(IF(N616-N615&lt;=0,"",P616/SQRT(Таблица_pr2[[#This Row],[Удельное сопротивление грунта, Ом·м]])),P616/SQRT(Таблица_pr2[[#This Row],[Удельное сопротивление грунта, Ом·м]]))</f>
        <v/>
      </c>
      <c r="S616" s="53"/>
      <c r="T616" s="52"/>
      <c r="U616" s="50"/>
      <c r="V616" s="61" t="str">
        <f t="shared" si="77"/>
        <v/>
      </c>
      <c r="W616" s="61" t="str">
        <f>IFERROR(IF(T616-T615&lt;=0,"",V616/SQRT(Таблица_pr3[[#This Row],[Удельное сопротивление грунта, Ом·м]])),V616/SQRT(Таблица_pr3[[#This Row],[Удельное сопротивление грунта, Ом·м]]))</f>
        <v/>
      </c>
      <c r="Y616" s="53"/>
      <c r="Z616" s="52"/>
      <c r="AA616" s="50"/>
      <c r="AB616" s="61" t="str">
        <f t="shared" si="82"/>
        <v/>
      </c>
      <c r="AC616" s="61" t="str">
        <f>IFERROR(IF(Z616-Z615&lt;=0,"",AB616/SQRT(Таблица_pr4[[#This Row],[Удельное сопротивление грунта, Ом·м]])),AB616/SQRT(Таблица_pr4[[#This Row],[Удельное сопротивление грунта, Ом·м]]))</f>
        <v/>
      </c>
      <c r="AE616" s="53"/>
      <c r="AF616" s="52"/>
      <c r="AG616" s="50"/>
      <c r="AH616" s="61" t="str">
        <f t="shared" si="78"/>
        <v/>
      </c>
      <c r="AI616" s="61" t="str">
        <f>IFERROR(IF(AF616-AF615&lt;=0,"",AH616/SQRT(Таблица_pr5[[#This Row],[Удельное сопротивление грунта, Ом·м]])),AH616/SQRT(Таблица_pr5[[#This Row],[Удельное сопротивление грунта, Ом·м]]))</f>
        <v/>
      </c>
      <c r="AK616" s="53"/>
      <c r="AL616" s="52"/>
      <c r="AM616" s="50"/>
      <c r="AN616" s="61" t="str">
        <f t="shared" si="83"/>
        <v/>
      </c>
      <c r="AO616" s="61" t="str">
        <f>IFERROR(IF(AL616-AL615&lt;=0,"",AN616/SQRT(Таблица_pr6[[#This Row],[Удельное сопротивление грунта, Ом·м]])),AN616/SQRT(Таблица_pr6[[#This Row],[Удельное сопротивление грунта, Ом·м]]))</f>
        <v/>
      </c>
      <c r="AQ616" s="53"/>
      <c r="AR616" s="52"/>
      <c r="AS616" s="50"/>
      <c r="AT616" s="61" t="str">
        <f t="shared" si="79"/>
        <v/>
      </c>
      <c r="AU616" s="61" t="str">
        <f>IFERROR(IF(AR616-AR615&lt;=0,"",AT616/SQRT(Таблица_pr7[[#This Row],[Удельное сопротивление грунта, Ом·м]])),AT616/SQRT(Таблица_pr7[[#This Row],[Удельное сопротивление грунта, Ом·м]]))</f>
        <v/>
      </c>
      <c r="AW616" s="53"/>
      <c r="AX616" s="52"/>
      <c r="AY616" s="50"/>
      <c r="AZ616" s="61" t="str">
        <f t="shared" si="84"/>
        <v/>
      </c>
      <c r="BA616" s="61" t="str">
        <f>IFERROR(IF(AX616-AX615&lt;=0,"",AZ616/SQRT(Таблица_pr8[[#This Row],[Удельное сопротивление грунта, Ом·м]])),AZ616/SQRT(Таблица_pr8[[#This Row],[Удельное сопротивление грунта, Ом·м]]))</f>
        <v/>
      </c>
      <c r="BC616" s="53"/>
      <c r="BD616" s="52"/>
      <c r="BE616" s="50"/>
      <c r="BF616" s="61" t="str">
        <f t="shared" si="80"/>
        <v/>
      </c>
      <c r="BG616" s="61" t="str">
        <f>IFERROR(IF(BD616-AX635&lt;=0,"",BF616/SQRT(Таблица_pr9[[#This Row],[Удельное сопротивление грунта, Ом·м]])),BF616/SQRT(Таблица_pr9[[#This Row],[Удельное сопротивление грунта, Ом·м]]))</f>
        <v/>
      </c>
      <c r="BI616" s="53"/>
      <c r="BJ616" s="52"/>
      <c r="BK616" s="50"/>
      <c r="BL616" s="61" t="str">
        <f t="shared" si="85"/>
        <v/>
      </c>
      <c r="BM616" s="61" t="str">
        <f>IFERROR(IF(BJ616-BD645&lt;=0,"",BL616/SQRT(Таблица_pr10[[#This Row],[Удельное сопротивление грунта, Ом·м]])),BL616/SQRT(Таблица_pr10[[#This Row],[Удельное сопротивление грунта, Ом·м]]))</f>
        <v/>
      </c>
    </row>
    <row r="617" spans="1:65">
      <c r="A617" s="51"/>
      <c r="B617" s="52"/>
      <c r="C617" s="50"/>
      <c r="D617" s="61" t="str">
        <f t="shared" si="75"/>
        <v/>
      </c>
      <c r="E617" s="61" t="str">
        <f>IFERROR(IF(B617-B616&lt;=0,"",D617/SQRT(Таблица_pr[[#This Row],[Удельное сопротивление грунта, Ом·м]])),D617/SQRT(Таблица_pr[[#This Row],[Удельное сопротивление грунта, Ом·м]]))</f>
        <v/>
      </c>
      <c r="G617" s="189"/>
      <c r="H617" s="185"/>
      <c r="I617" s="183"/>
      <c r="J617" s="180" t="str">
        <f t="shared" si="76"/>
        <v/>
      </c>
      <c r="K617" s="61" t="str">
        <f>IFERROR(IF(H617-H616&lt;=0,"",J617/SQRT(Таблица_pr1[[#This Row],[Удельное сопротивление грунта, Ом·м]])),J617/SQRT(Таблица_pr1[[#This Row],[Удельное сопротивление грунта, Ом·м]]))</f>
        <v/>
      </c>
      <c r="M617" s="51"/>
      <c r="N617" s="52"/>
      <c r="O617" s="50"/>
      <c r="P617" s="61" t="str">
        <f t="shared" si="81"/>
        <v/>
      </c>
      <c r="Q617" s="61" t="str">
        <f>IFERROR(IF(N617-N616&lt;=0,"",P617/SQRT(Таблица_pr2[[#This Row],[Удельное сопротивление грунта, Ом·м]])),P617/SQRT(Таблица_pr2[[#This Row],[Удельное сопротивление грунта, Ом·м]]))</f>
        <v/>
      </c>
      <c r="S617" s="51"/>
      <c r="T617" s="52"/>
      <c r="U617" s="50"/>
      <c r="V617" s="61" t="str">
        <f t="shared" si="77"/>
        <v/>
      </c>
      <c r="W617" s="61" t="str">
        <f>IFERROR(IF(T617-T616&lt;=0,"",V617/SQRT(Таблица_pr3[[#This Row],[Удельное сопротивление грунта, Ом·м]])),V617/SQRT(Таблица_pr3[[#This Row],[Удельное сопротивление грунта, Ом·м]]))</f>
        <v/>
      </c>
      <c r="Y617" s="51"/>
      <c r="Z617" s="52"/>
      <c r="AA617" s="50"/>
      <c r="AB617" s="61" t="str">
        <f t="shared" si="82"/>
        <v/>
      </c>
      <c r="AC617" s="61" t="str">
        <f>IFERROR(IF(Z617-Z616&lt;=0,"",AB617/SQRT(Таблица_pr4[[#This Row],[Удельное сопротивление грунта, Ом·м]])),AB617/SQRT(Таблица_pr4[[#This Row],[Удельное сопротивление грунта, Ом·м]]))</f>
        <v/>
      </c>
      <c r="AE617" s="51"/>
      <c r="AF617" s="52"/>
      <c r="AG617" s="50"/>
      <c r="AH617" s="61" t="str">
        <f t="shared" si="78"/>
        <v/>
      </c>
      <c r="AI617" s="61" t="str">
        <f>IFERROR(IF(AF617-AF616&lt;=0,"",AH617/SQRT(Таблица_pr5[[#This Row],[Удельное сопротивление грунта, Ом·м]])),AH617/SQRT(Таблица_pr5[[#This Row],[Удельное сопротивление грунта, Ом·м]]))</f>
        <v/>
      </c>
      <c r="AK617" s="51"/>
      <c r="AL617" s="52"/>
      <c r="AM617" s="50"/>
      <c r="AN617" s="61" t="str">
        <f t="shared" si="83"/>
        <v/>
      </c>
      <c r="AO617" s="61" t="str">
        <f>IFERROR(IF(AL617-AL616&lt;=0,"",AN617/SQRT(Таблица_pr6[[#This Row],[Удельное сопротивление грунта, Ом·м]])),AN617/SQRT(Таблица_pr6[[#This Row],[Удельное сопротивление грунта, Ом·м]]))</f>
        <v/>
      </c>
      <c r="AQ617" s="51"/>
      <c r="AR617" s="52"/>
      <c r="AS617" s="50"/>
      <c r="AT617" s="61" t="str">
        <f t="shared" si="79"/>
        <v/>
      </c>
      <c r="AU617" s="61" t="str">
        <f>IFERROR(IF(AR617-AR616&lt;=0,"",AT617/SQRT(Таблица_pr7[[#This Row],[Удельное сопротивление грунта, Ом·м]])),AT617/SQRT(Таблица_pr7[[#This Row],[Удельное сопротивление грунта, Ом·м]]))</f>
        <v/>
      </c>
      <c r="AW617" s="51"/>
      <c r="AX617" s="52"/>
      <c r="AY617" s="50"/>
      <c r="AZ617" s="61" t="str">
        <f t="shared" si="84"/>
        <v/>
      </c>
      <c r="BA617" s="61" t="str">
        <f>IFERROR(IF(AX617-AX616&lt;=0,"",AZ617/SQRT(Таблица_pr8[[#This Row],[Удельное сопротивление грунта, Ом·м]])),AZ617/SQRT(Таблица_pr8[[#This Row],[Удельное сопротивление грунта, Ом·м]]))</f>
        <v/>
      </c>
      <c r="BC617" s="51"/>
      <c r="BD617" s="52"/>
      <c r="BE617" s="50"/>
      <c r="BF617" s="61" t="str">
        <f t="shared" si="80"/>
        <v/>
      </c>
      <c r="BG617" s="61" t="str">
        <f>IFERROR(IF(BD617-AX636&lt;=0,"",BF617/SQRT(Таблица_pr9[[#This Row],[Удельное сопротивление грунта, Ом·м]])),BF617/SQRT(Таблица_pr9[[#This Row],[Удельное сопротивление грунта, Ом·м]]))</f>
        <v/>
      </c>
      <c r="BI617" s="51"/>
      <c r="BJ617" s="52"/>
      <c r="BK617" s="50"/>
      <c r="BL617" s="61" t="str">
        <f t="shared" si="85"/>
        <v/>
      </c>
      <c r="BM617" s="61" t="str">
        <f>IFERROR(IF(BJ617-BD646&lt;=0,"",BL617/SQRT(Таблица_pr10[[#This Row],[Удельное сопротивление грунта, Ом·м]])),BL617/SQRT(Таблица_pr10[[#This Row],[Удельное сопротивление грунта, Ом·м]]))</f>
        <v/>
      </c>
    </row>
    <row r="618" spans="1:65">
      <c r="A618" s="53"/>
      <c r="B618" s="52"/>
      <c r="C618" s="50"/>
      <c r="D618" s="61" t="str">
        <f t="shared" si="75"/>
        <v/>
      </c>
      <c r="E618" s="61" t="str">
        <f>IFERROR(IF(B618-B617&lt;=0,"",D618/SQRT(Таблица_pr[[#This Row],[Удельное сопротивление грунта, Ом·м]])),D618/SQRT(Таблица_pr[[#This Row],[Удельное сопротивление грунта, Ом·м]]))</f>
        <v/>
      </c>
      <c r="G618" s="188"/>
      <c r="H618" s="184"/>
      <c r="I618" s="182"/>
      <c r="J618" s="181" t="str">
        <f t="shared" si="76"/>
        <v/>
      </c>
      <c r="K618" s="61" t="str">
        <f>IFERROR(IF(H618-H617&lt;=0,"",J618/SQRT(Таблица_pr1[[#This Row],[Удельное сопротивление грунта, Ом·м]])),J618/SQRT(Таблица_pr1[[#This Row],[Удельное сопротивление грунта, Ом·м]]))</f>
        <v/>
      </c>
      <c r="M618" s="53"/>
      <c r="N618" s="52"/>
      <c r="O618" s="50"/>
      <c r="P618" s="61" t="str">
        <f t="shared" si="81"/>
        <v/>
      </c>
      <c r="Q618" s="61" t="str">
        <f>IFERROR(IF(N618-N617&lt;=0,"",P618/SQRT(Таблица_pr2[[#This Row],[Удельное сопротивление грунта, Ом·м]])),P618/SQRT(Таблица_pr2[[#This Row],[Удельное сопротивление грунта, Ом·м]]))</f>
        <v/>
      </c>
      <c r="S618" s="53"/>
      <c r="T618" s="52"/>
      <c r="U618" s="50"/>
      <c r="V618" s="61" t="str">
        <f t="shared" si="77"/>
        <v/>
      </c>
      <c r="W618" s="61" t="str">
        <f>IFERROR(IF(T618-T617&lt;=0,"",V618/SQRT(Таблица_pr3[[#This Row],[Удельное сопротивление грунта, Ом·м]])),V618/SQRT(Таблица_pr3[[#This Row],[Удельное сопротивление грунта, Ом·м]]))</f>
        <v/>
      </c>
      <c r="Y618" s="53"/>
      <c r="Z618" s="52"/>
      <c r="AA618" s="50"/>
      <c r="AB618" s="61" t="str">
        <f t="shared" si="82"/>
        <v/>
      </c>
      <c r="AC618" s="61" t="str">
        <f>IFERROR(IF(Z618-Z617&lt;=0,"",AB618/SQRT(Таблица_pr4[[#This Row],[Удельное сопротивление грунта, Ом·м]])),AB618/SQRT(Таблица_pr4[[#This Row],[Удельное сопротивление грунта, Ом·м]]))</f>
        <v/>
      </c>
      <c r="AE618" s="53"/>
      <c r="AF618" s="52"/>
      <c r="AG618" s="50"/>
      <c r="AH618" s="61" t="str">
        <f t="shared" si="78"/>
        <v/>
      </c>
      <c r="AI618" s="61" t="str">
        <f>IFERROR(IF(AF618-AF617&lt;=0,"",AH618/SQRT(Таблица_pr5[[#This Row],[Удельное сопротивление грунта, Ом·м]])),AH618/SQRT(Таблица_pr5[[#This Row],[Удельное сопротивление грунта, Ом·м]]))</f>
        <v/>
      </c>
      <c r="AK618" s="53"/>
      <c r="AL618" s="52"/>
      <c r="AM618" s="50"/>
      <c r="AN618" s="61" t="str">
        <f t="shared" si="83"/>
        <v/>
      </c>
      <c r="AO618" s="61" t="str">
        <f>IFERROR(IF(AL618-AL617&lt;=0,"",AN618/SQRT(Таблица_pr6[[#This Row],[Удельное сопротивление грунта, Ом·м]])),AN618/SQRT(Таблица_pr6[[#This Row],[Удельное сопротивление грунта, Ом·м]]))</f>
        <v/>
      </c>
      <c r="AQ618" s="53"/>
      <c r="AR618" s="52"/>
      <c r="AS618" s="50"/>
      <c r="AT618" s="61" t="str">
        <f t="shared" si="79"/>
        <v/>
      </c>
      <c r="AU618" s="61" t="str">
        <f>IFERROR(IF(AR618-AR617&lt;=0,"",AT618/SQRT(Таблица_pr7[[#This Row],[Удельное сопротивление грунта, Ом·м]])),AT618/SQRT(Таблица_pr7[[#This Row],[Удельное сопротивление грунта, Ом·м]]))</f>
        <v/>
      </c>
      <c r="AW618" s="53"/>
      <c r="AX618" s="52"/>
      <c r="AY618" s="50"/>
      <c r="AZ618" s="61" t="str">
        <f t="shared" si="84"/>
        <v/>
      </c>
      <c r="BA618" s="61" t="str">
        <f>IFERROR(IF(AX618-AX617&lt;=0,"",AZ618/SQRT(Таблица_pr8[[#This Row],[Удельное сопротивление грунта, Ом·м]])),AZ618/SQRT(Таблица_pr8[[#This Row],[Удельное сопротивление грунта, Ом·м]]))</f>
        <v/>
      </c>
      <c r="BC618" s="53"/>
      <c r="BD618" s="52"/>
      <c r="BE618" s="50"/>
      <c r="BF618" s="61" t="str">
        <f t="shared" si="80"/>
        <v/>
      </c>
      <c r="BG618" s="61" t="str">
        <f>IFERROR(IF(BD618-AX637&lt;=0,"",BF618/SQRT(Таблица_pr9[[#This Row],[Удельное сопротивление грунта, Ом·м]])),BF618/SQRT(Таблица_pr9[[#This Row],[Удельное сопротивление грунта, Ом·м]]))</f>
        <v/>
      </c>
      <c r="BI618" s="53"/>
      <c r="BJ618" s="52"/>
      <c r="BK618" s="50"/>
      <c r="BL618" s="61" t="str">
        <f t="shared" si="85"/>
        <v/>
      </c>
      <c r="BM618" s="61" t="str">
        <f>IFERROR(IF(BJ618-BD647&lt;=0,"",BL618/SQRT(Таблица_pr10[[#This Row],[Удельное сопротивление грунта, Ом·м]])),BL618/SQRT(Таблица_pr10[[#This Row],[Удельное сопротивление грунта, Ом·м]]))</f>
        <v/>
      </c>
    </row>
    <row r="619" spans="1:65">
      <c r="A619" s="51"/>
      <c r="B619" s="52"/>
      <c r="C619" s="50"/>
      <c r="D619" s="61" t="str">
        <f t="shared" si="75"/>
        <v/>
      </c>
      <c r="E619" s="61" t="str">
        <f>IFERROR(IF(B619-B618&lt;=0,"",D619/SQRT(Таблица_pr[[#This Row],[Удельное сопротивление грунта, Ом·м]])),D619/SQRT(Таблица_pr[[#This Row],[Удельное сопротивление грунта, Ом·м]]))</f>
        <v/>
      </c>
      <c r="G619" s="189"/>
      <c r="H619" s="185"/>
      <c r="I619" s="183"/>
      <c r="J619" s="180" t="str">
        <f t="shared" si="76"/>
        <v/>
      </c>
      <c r="K619" s="61" t="str">
        <f>IFERROR(IF(H619-H618&lt;=0,"",J619/SQRT(Таблица_pr1[[#This Row],[Удельное сопротивление грунта, Ом·м]])),J619/SQRT(Таблица_pr1[[#This Row],[Удельное сопротивление грунта, Ом·м]]))</f>
        <v/>
      </c>
      <c r="M619" s="51"/>
      <c r="N619" s="52"/>
      <c r="O619" s="50"/>
      <c r="P619" s="61" t="str">
        <f t="shared" si="81"/>
        <v/>
      </c>
      <c r="Q619" s="61" t="str">
        <f>IFERROR(IF(N619-N618&lt;=0,"",P619/SQRT(Таблица_pr2[[#This Row],[Удельное сопротивление грунта, Ом·м]])),P619/SQRT(Таблица_pr2[[#This Row],[Удельное сопротивление грунта, Ом·м]]))</f>
        <v/>
      </c>
      <c r="S619" s="51"/>
      <c r="T619" s="52"/>
      <c r="U619" s="50"/>
      <c r="V619" s="61" t="str">
        <f t="shared" si="77"/>
        <v/>
      </c>
      <c r="W619" s="61" t="str">
        <f>IFERROR(IF(T619-T618&lt;=0,"",V619/SQRT(Таблица_pr3[[#This Row],[Удельное сопротивление грунта, Ом·м]])),V619/SQRT(Таблица_pr3[[#This Row],[Удельное сопротивление грунта, Ом·м]]))</f>
        <v/>
      </c>
      <c r="Y619" s="51"/>
      <c r="Z619" s="52"/>
      <c r="AA619" s="50"/>
      <c r="AB619" s="61" t="str">
        <f t="shared" si="82"/>
        <v/>
      </c>
      <c r="AC619" s="61" t="str">
        <f>IFERROR(IF(Z619-Z618&lt;=0,"",AB619/SQRT(Таблица_pr4[[#This Row],[Удельное сопротивление грунта, Ом·м]])),AB619/SQRT(Таблица_pr4[[#This Row],[Удельное сопротивление грунта, Ом·м]]))</f>
        <v/>
      </c>
      <c r="AE619" s="51"/>
      <c r="AF619" s="52"/>
      <c r="AG619" s="50"/>
      <c r="AH619" s="61" t="str">
        <f t="shared" si="78"/>
        <v/>
      </c>
      <c r="AI619" s="61" t="str">
        <f>IFERROR(IF(AF619-AF618&lt;=0,"",AH619/SQRT(Таблица_pr5[[#This Row],[Удельное сопротивление грунта, Ом·м]])),AH619/SQRT(Таблица_pr5[[#This Row],[Удельное сопротивление грунта, Ом·м]]))</f>
        <v/>
      </c>
      <c r="AK619" s="51"/>
      <c r="AL619" s="52"/>
      <c r="AM619" s="50"/>
      <c r="AN619" s="61" t="str">
        <f t="shared" si="83"/>
        <v/>
      </c>
      <c r="AO619" s="61" t="str">
        <f>IFERROR(IF(AL619-AL618&lt;=0,"",AN619/SQRT(Таблица_pr6[[#This Row],[Удельное сопротивление грунта, Ом·м]])),AN619/SQRT(Таблица_pr6[[#This Row],[Удельное сопротивление грунта, Ом·м]]))</f>
        <v/>
      </c>
      <c r="AQ619" s="51"/>
      <c r="AR619" s="52"/>
      <c r="AS619" s="50"/>
      <c r="AT619" s="61" t="str">
        <f t="shared" si="79"/>
        <v/>
      </c>
      <c r="AU619" s="61" t="str">
        <f>IFERROR(IF(AR619-AR618&lt;=0,"",AT619/SQRT(Таблица_pr7[[#This Row],[Удельное сопротивление грунта, Ом·м]])),AT619/SQRT(Таблица_pr7[[#This Row],[Удельное сопротивление грунта, Ом·м]]))</f>
        <v/>
      </c>
      <c r="AW619" s="51"/>
      <c r="AX619" s="52"/>
      <c r="AY619" s="50"/>
      <c r="AZ619" s="61" t="str">
        <f t="shared" si="84"/>
        <v/>
      </c>
      <c r="BA619" s="61" t="str">
        <f>IFERROR(IF(AX619-AX618&lt;=0,"",AZ619/SQRT(Таблица_pr8[[#This Row],[Удельное сопротивление грунта, Ом·м]])),AZ619/SQRT(Таблица_pr8[[#This Row],[Удельное сопротивление грунта, Ом·м]]))</f>
        <v/>
      </c>
      <c r="BC619" s="51"/>
      <c r="BD619" s="52"/>
      <c r="BE619" s="50"/>
      <c r="BF619" s="61" t="str">
        <f t="shared" si="80"/>
        <v/>
      </c>
      <c r="BG619" s="61" t="str">
        <f>IFERROR(IF(BD619-AX638&lt;=0,"",BF619/SQRT(Таблица_pr9[[#This Row],[Удельное сопротивление грунта, Ом·м]])),BF619/SQRT(Таблица_pr9[[#This Row],[Удельное сопротивление грунта, Ом·м]]))</f>
        <v/>
      </c>
      <c r="BI619" s="51"/>
      <c r="BJ619" s="52"/>
      <c r="BK619" s="50"/>
      <c r="BL619" s="61" t="str">
        <f t="shared" si="85"/>
        <v/>
      </c>
      <c r="BM619" s="61" t="str">
        <f>IFERROR(IF(BJ619-BD648&lt;=0,"",BL619/SQRT(Таблица_pr10[[#This Row],[Удельное сопротивление грунта, Ом·м]])),BL619/SQRT(Таблица_pr10[[#This Row],[Удельное сопротивление грунта, Ом·м]]))</f>
        <v/>
      </c>
    </row>
    <row r="620" spans="1:65">
      <c r="A620" s="53"/>
      <c r="B620" s="52"/>
      <c r="C620" s="50"/>
      <c r="D620" s="61" t="str">
        <f t="shared" si="75"/>
        <v/>
      </c>
      <c r="E620" s="61" t="str">
        <f>IFERROR(IF(B620-B619&lt;=0,"",D620/SQRT(Таблица_pr[[#This Row],[Удельное сопротивление грунта, Ом·м]])),D620/SQRT(Таблица_pr[[#This Row],[Удельное сопротивление грунта, Ом·м]]))</f>
        <v/>
      </c>
      <c r="G620" s="188"/>
      <c r="H620" s="184"/>
      <c r="I620" s="182"/>
      <c r="J620" s="181" t="str">
        <f t="shared" si="76"/>
        <v/>
      </c>
      <c r="K620" s="61" t="str">
        <f>IFERROR(IF(H620-H619&lt;=0,"",J620/SQRT(Таблица_pr1[[#This Row],[Удельное сопротивление грунта, Ом·м]])),J620/SQRT(Таблица_pr1[[#This Row],[Удельное сопротивление грунта, Ом·м]]))</f>
        <v/>
      </c>
      <c r="M620" s="53"/>
      <c r="N620" s="52"/>
      <c r="O620" s="50"/>
      <c r="P620" s="61" t="str">
        <f t="shared" si="81"/>
        <v/>
      </c>
      <c r="Q620" s="61" t="str">
        <f>IFERROR(IF(N620-N619&lt;=0,"",P620/SQRT(Таблица_pr2[[#This Row],[Удельное сопротивление грунта, Ом·м]])),P620/SQRT(Таблица_pr2[[#This Row],[Удельное сопротивление грунта, Ом·м]]))</f>
        <v/>
      </c>
      <c r="S620" s="53"/>
      <c r="T620" s="52"/>
      <c r="U620" s="50"/>
      <c r="V620" s="61" t="str">
        <f t="shared" si="77"/>
        <v/>
      </c>
      <c r="W620" s="61" t="str">
        <f>IFERROR(IF(T620-T619&lt;=0,"",V620/SQRT(Таблица_pr3[[#This Row],[Удельное сопротивление грунта, Ом·м]])),V620/SQRT(Таблица_pr3[[#This Row],[Удельное сопротивление грунта, Ом·м]]))</f>
        <v/>
      </c>
      <c r="Y620" s="53"/>
      <c r="Z620" s="52"/>
      <c r="AA620" s="50"/>
      <c r="AB620" s="61" t="str">
        <f t="shared" si="82"/>
        <v/>
      </c>
      <c r="AC620" s="61" t="str">
        <f>IFERROR(IF(Z620-Z619&lt;=0,"",AB620/SQRT(Таблица_pr4[[#This Row],[Удельное сопротивление грунта, Ом·м]])),AB620/SQRT(Таблица_pr4[[#This Row],[Удельное сопротивление грунта, Ом·м]]))</f>
        <v/>
      </c>
      <c r="AE620" s="53"/>
      <c r="AF620" s="52"/>
      <c r="AG620" s="50"/>
      <c r="AH620" s="61" t="str">
        <f t="shared" si="78"/>
        <v/>
      </c>
      <c r="AI620" s="61" t="str">
        <f>IFERROR(IF(AF620-AF619&lt;=0,"",AH620/SQRT(Таблица_pr5[[#This Row],[Удельное сопротивление грунта, Ом·м]])),AH620/SQRT(Таблица_pr5[[#This Row],[Удельное сопротивление грунта, Ом·м]]))</f>
        <v/>
      </c>
      <c r="AK620" s="53"/>
      <c r="AL620" s="52"/>
      <c r="AM620" s="50"/>
      <c r="AN620" s="61" t="str">
        <f t="shared" si="83"/>
        <v/>
      </c>
      <c r="AO620" s="61" t="str">
        <f>IFERROR(IF(AL620-AL619&lt;=0,"",AN620/SQRT(Таблица_pr6[[#This Row],[Удельное сопротивление грунта, Ом·м]])),AN620/SQRT(Таблица_pr6[[#This Row],[Удельное сопротивление грунта, Ом·м]]))</f>
        <v/>
      </c>
      <c r="AQ620" s="53"/>
      <c r="AR620" s="52"/>
      <c r="AS620" s="50"/>
      <c r="AT620" s="61" t="str">
        <f t="shared" si="79"/>
        <v/>
      </c>
      <c r="AU620" s="61" t="str">
        <f>IFERROR(IF(AR620-AR619&lt;=0,"",AT620/SQRT(Таблица_pr7[[#This Row],[Удельное сопротивление грунта, Ом·м]])),AT620/SQRT(Таблица_pr7[[#This Row],[Удельное сопротивление грунта, Ом·м]]))</f>
        <v/>
      </c>
      <c r="AW620" s="53"/>
      <c r="AX620" s="52"/>
      <c r="AY620" s="50"/>
      <c r="AZ620" s="61" t="str">
        <f t="shared" si="84"/>
        <v/>
      </c>
      <c r="BA620" s="61" t="str">
        <f>IFERROR(IF(AX620-AX619&lt;=0,"",AZ620/SQRT(Таблица_pr8[[#This Row],[Удельное сопротивление грунта, Ом·м]])),AZ620/SQRT(Таблица_pr8[[#This Row],[Удельное сопротивление грунта, Ом·м]]))</f>
        <v/>
      </c>
      <c r="BC620" s="53"/>
      <c r="BD620" s="52"/>
      <c r="BE620" s="50"/>
      <c r="BF620" s="61" t="str">
        <f t="shared" si="80"/>
        <v/>
      </c>
      <c r="BG620" s="61" t="str">
        <f>IFERROR(IF(BD620-AX639&lt;=0,"",BF620/SQRT(Таблица_pr9[[#This Row],[Удельное сопротивление грунта, Ом·м]])),BF620/SQRT(Таблица_pr9[[#This Row],[Удельное сопротивление грунта, Ом·м]]))</f>
        <v/>
      </c>
      <c r="BI620" s="53"/>
      <c r="BJ620" s="52"/>
      <c r="BK620" s="50"/>
      <c r="BL620" s="61" t="str">
        <f t="shared" si="85"/>
        <v/>
      </c>
      <c r="BM620" s="61" t="str">
        <f>IFERROR(IF(BJ620-BD649&lt;=0,"",BL620/SQRT(Таблица_pr10[[#This Row],[Удельное сопротивление грунта, Ом·м]])),BL620/SQRT(Таблица_pr10[[#This Row],[Удельное сопротивление грунта, Ом·м]]))</f>
        <v/>
      </c>
    </row>
    <row r="621" spans="1:65">
      <c r="A621" s="51"/>
      <c r="B621" s="52"/>
      <c r="C621" s="50"/>
      <c r="D621" s="61" t="str">
        <f t="shared" si="75"/>
        <v/>
      </c>
      <c r="E621" s="61" t="str">
        <f>IFERROR(IF(B621-B620&lt;=0,"",D621/SQRT(Таблица_pr[[#This Row],[Удельное сопротивление грунта, Ом·м]])),D621/SQRT(Таблица_pr[[#This Row],[Удельное сопротивление грунта, Ом·м]]))</f>
        <v/>
      </c>
      <c r="G621" s="189"/>
      <c r="H621" s="185"/>
      <c r="I621" s="183"/>
      <c r="J621" s="180" t="str">
        <f t="shared" si="76"/>
        <v/>
      </c>
      <c r="K621" s="61" t="str">
        <f>IFERROR(IF(H621-H620&lt;=0,"",J621/SQRT(Таблица_pr1[[#This Row],[Удельное сопротивление грунта, Ом·м]])),J621/SQRT(Таблица_pr1[[#This Row],[Удельное сопротивление грунта, Ом·м]]))</f>
        <v/>
      </c>
      <c r="M621" s="51"/>
      <c r="N621" s="52"/>
      <c r="O621" s="50"/>
      <c r="P621" s="61" t="str">
        <f t="shared" si="81"/>
        <v/>
      </c>
      <c r="Q621" s="61" t="str">
        <f>IFERROR(IF(N621-N620&lt;=0,"",P621/SQRT(Таблица_pr2[[#This Row],[Удельное сопротивление грунта, Ом·м]])),P621/SQRT(Таблица_pr2[[#This Row],[Удельное сопротивление грунта, Ом·м]]))</f>
        <v/>
      </c>
      <c r="S621" s="51"/>
      <c r="T621" s="52"/>
      <c r="U621" s="50"/>
      <c r="V621" s="61" t="str">
        <f t="shared" si="77"/>
        <v/>
      </c>
      <c r="W621" s="61" t="str">
        <f>IFERROR(IF(T621-T620&lt;=0,"",V621/SQRT(Таблица_pr3[[#This Row],[Удельное сопротивление грунта, Ом·м]])),V621/SQRT(Таблица_pr3[[#This Row],[Удельное сопротивление грунта, Ом·м]]))</f>
        <v/>
      </c>
      <c r="Y621" s="51"/>
      <c r="Z621" s="52"/>
      <c r="AA621" s="50"/>
      <c r="AB621" s="61" t="str">
        <f t="shared" si="82"/>
        <v/>
      </c>
      <c r="AC621" s="61" t="str">
        <f>IFERROR(IF(Z621-Z620&lt;=0,"",AB621/SQRT(Таблица_pr4[[#This Row],[Удельное сопротивление грунта, Ом·м]])),AB621/SQRT(Таблица_pr4[[#This Row],[Удельное сопротивление грунта, Ом·м]]))</f>
        <v/>
      </c>
      <c r="AE621" s="51"/>
      <c r="AF621" s="52"/>
      <c r="AG621" s="50"/>
      <c r="AH621" s="61" t="str">
        <f t="shared" si="78"/>
        <v/>
      </c>
      <c r="AI621" s="61" t="str">
        <f>IFERROR(IF(AF621-AF620&lt;=0,"",AH621/SQRT(Таблица_pr5[[#This Row],[Удельное сопротивление грунта, Ом·м]])),AH621/SQRT(Таблица_pr5[[#This Row],[Удельное сопротивление грунта, Ом·м]]))</f>
        <v/>
      </c>
      <c r="AK621" s="51"/>
      <c r="AL621" s="52"/>
      <c r="AM621" s="50"/>
      <c r="AN621" s="61" t="str">
        <f t="shared" si="83"/>
        <v/>
      </c>
      <c r="AO621" s="61" t="str">
        <f>IFERROR(IF(AL621-AL620&lt;=0,"",AN621/SQRT(Таблица_pr6[[#This Row],[Удельное сопротивление грунта, Ом·м]])),AN621/SQRT(Таблица_pr6[[#This Row],[Удельное сопротивление грунта, Ом·м]]))</f>
        <v/>
      </c>
      <c r="AQ621" s="51"/>
      <c r="AR621" s="52"/>
      <c r="AS621" s="50"/>
      <c r="AT621" s="61" t="str">
        <f t="shared" si="79"/>
        <v/>
      </c>
      <c r="AU621" s="61" t="str">
        <f>IFERROR(IF(AR621-AR620&lt;=0,"",AT621/SQRT(Таблица_pr7[[#This Row],[Удельное сопротивление грунта, Ом·м]])),AT621/SQRT(Таблица_pr7[[#This Row],[Удельное сопротивление грунта, Ом·м]]))</f>
        <v/>
      </c>
      <c r="AW621" s="51"/>
      <c r="AX621" s="52"/>
      <c r="AY621" s="50"/>
      <c r="AZ621" s="61" t="str">
        <f t="shared" si="84"/>
        <v/>
      </c>
      <c r="BA621" s="61" t="str">
        <f>IFERROR(IF(AX621-AX620&lt;=0,"",AZ621/SQRT(Таблица_pr8[[#This Row],[Удельное сопротивление грунта, Ом·м]])),AZ621/SQRT(Таблица_pr8[[#This Row],[Удельное сопротивление грунта, Ом·м]]))</f>
        <v/>
      </c>
      <c r="BC621" s="51"/>
      <c r="BD621" s="52"/>
      <c r="BE621" s="50"/>
      <c r="BF621" s="61" t="str">
        <f t="shared" si="80"/>
        <v/>
      </c>
      <c r="BG621" s="61" t="str">
        <f>IFERROR(IF(BD621-AX640&lt;=0,"",BF621/SQRT(Таблица_pr9[[#This Row],[Удельное сопротивление грунта, Ом·м]])),BF621/SQRT(Таблица_pr9[[#This Row],[Удельное сопротивление грунта, Ом·м]]))</f>
        <v/>
      </c>
      <c r="BI621" s="51"/>
      <c r="BJ621" s="52"/>
      <c r="BK621" s="50"/>
      <c r="BL621" s="61" t="str">
        <f t="shared" si="85"/>
        <v/>
      </c>
      <c r="BM621" s="61" t="str">
        <f>IFERROR(IF(BJ621-BD650&lt;=0,"",BL621/SQRT(Таблица_pr10[[#This Row],[Удельное сопротивление грунта, Ом·м]])),BL621/SQRT(Таблица_pr10[[#This Row],[Удельное сопротивление грунта, Ом·м]]))</f>
        <v/>
      </c>
    </row>
    <row r="622" spans="1:65">
      <c r="A622" s="53"/>
      <c r="B622" s="52"/>
      <c r="C622" s="50"/>
      <c r="D622" s="61" t="str">
        <f t="shared" si="75"/>
        <v/>
      </c>
      <c r="E622" s="61" t="str">
        <f>IFERROR(IF(B622-B621&lt;=0,"",D622/SQRT(Таблица_pr[[#This Row],[Удельное сопротивление грунта, Ом·м]])),D622/SQRT(Таблица_pr[[#This Row],[Удельное сопротивление грунта, Ом·м]]))</f>
        <v/>
      </c>
      <c r="G622" s="188"/>
      <c r="H622" s="184"/>
      <c r="I622" s="182"/>
      <c r="J622" s="181" t="str">
        <f t="shared" si="76"/>
        <v/>
      </c>
      <c r="K622" s="61" t="str">
        <f>IFERROR(IF(H622-H621&lt;=0,"",J622/SQRT(Таблица_pr1[[#This Row],[Удельное сопротивление грунта, Ом·м]])),J622/SQRT(Таблица_pr1[[#This Row],[Удельное сопротивление грунта, Ом·м]]))</f>
        <v/>
      </c>
      <c r="M622" s="53"/>
      <c r="N622" s="52"/>
      <c r="O622" s="50"/>
      <c r="P622" s="61" t="str">
        <f t="shared" si="81"/>
        <v/>
      </c>
      <c r="Q622" s="61" t="str">
        <f>IFERROR(IF(N622-N621&lt;=0,"",P622/SQRT(Таблица_pr2[[#This Row],[Удельное сопротивление грунта, Ом·м]])),P622/SQRT(Таблица_pr2[[#This Row],[Удельное сопротивление грунта, Ом·м]]))</f>
        <v/>
      </c>
      <c r="S622" s="53"/>
      <c r="T622" s="52"/>
      <c r="U622" s="50"/>
      <c r="V622" s="61" t="str">
        <f t="shared" si="77"/>
        <v/>
      </c>
      <c r="W622" s="61" t="str">
        <f>IFERROR(IF(T622-T621&lt;=0,"",V622/SQRT(Таблица_pr3[[#This Row],[Удельное сопротивление грунта, Ом·м]])),V622/SQRT(Таблица_pr3[[#This Row],[Удельное сопротивление грунта, Ом·м]]))</f>
        <v/>
      </c>
      <c r="Y622" s="53"/>
      <c r="Z622" s="52"/>
      <c r="AA622" s="50"/>
      <c r="AB622" s="61" t="str">
        <f t="shared" si="82"/>
        <v/>
      </c>
      <c r="AC622" s="61" t="str">
        <f>IFERROR(IF(Z622-Z621&lt;=0,"",AB622/SQRT(Таблица_pr4[[#This Row],[Удельное сопротивление грунта, Ом·м]])),AB622/SQRT(Таблица_pr4[[#This Row],[Удельное сопротивление грунта, Ом·м]]))</f>
        <v/>
      </c>
      <c r="AE622" s="53"/>
      <c r="AF622" s="52"/>
      <c r="AG622" s="50"/>
      <c r="AH622" s="61" t="str">
        <f t="shared" si="78"/>
        <v/>
      </c>
      <c r="AI622" s="61" t="str">
        <f>IFERROR(IF(AF622-AF621&lt;=0,"",AH622/SQRT(Таблица_pr5[[#This Row],[Удельное сопротивление грунта, Ом·м]])),AH622/SQRT(Таблица_pr5[[#This Row],[Удельное сопротивление грунта, Ом·м]]))</f>
        <v/>
      </c>
      <c r="AK622" s="53"/>
      <c r="AL622" s="52"/>
      <c r="AM622" s="50"/>
      <c r="AN622" s="61" t="str">
        <f t="shared" si="83"/>
        <v/>
      </c>
      <c r="AO622" s="61" t="str">
        <f>IFERROR(IF(AL622-AL621&lt;=0,"",AN622/SQRT(Таблица_pr6[[#This Row],[Удельное сопротивление грунта, Ом·м]])),AN622/SQRT(Таблица_pr6[[#This Row],[Удельное сопротивление грунта, Ом·м]]))</f>
        <v/>
      </c>
      <c r="AQ622" s="53"/>
      <c r="AR622" s="52"/>
      <c r="AS622" s="50"/>
      <c r="AT622" s="61" t="str">
        <f t="shared" si="79"/>
        <v/>
      </c>
      <c r="AU622" s="61" t="str">
        <f>IFERROR(IF(AR622-AR621&lt;=0,"",AT622/SQRT(Таблица_pr7[[#This Row],[Удельное сопротивление грунта, Ом·м]])),AT622/SQRT(Таблица_pr7[[#This Row],[Удельное сопротивление грунта, Ом·м]]))</f>
        <v/>
      </c>
      <c r="AW622" s="53"/>
      <c r="AX622" s="52"/>
      <c r="AY622" s="50"/>
      <c r="AZ622" s="61" t="str">
        <f t="shared" si="84"/>
        <v/>
      </c>
      <c r="BA622" s="61" t="str">
        <f>IFERROR(IF(AX622-AX621&lt;=0,"",AZ622/SQRT(Таблица_pr8[[#This Row],[Удельное сопротивление грунта, Ом·м]])),AZ622/SQRT(Таблица_pr8[[#This Row],[Удельное сопротивление грунта, Ом·м]]))</f>
        <v/>
      </c>
      <c r="BC622" s="53"/>
      <c r="BD622" s="52"/>
      <c r="BE622" s="50"/>
      <c r="BF622" s="61" t="str">
        <f t="shared" si="80"/>
        <v/>
      </c>
      <c r="BG622" s="61" t="str">
        <f>IFERROR(IF(BD622-AX641&lt;=0,"",BF622/SQRT(Таблица_pr9[[#This Row],[Удельное сопротивление грунта, Ом·м]])),BF622/SQRT(Таблица_pr9[[#This Row],[Удельное сопротивление грунта, Ом·м]]))</f>
        <v/>
      </c>
      <c r="BI622" s="53"/>
      <c r="BJ622" s="52"/>
      <c r="BK622" s="50"/>
      <c r="BL622" s="61" t="str">
        <f t="shared" si="85"/>
        <v/>
      </c>
      <c r="BM622" s="61" t="str">
        <f>IFERROR(IF(BJ622-BD651&lt;=0,"",BL622/SQRT(Таблица_pr10[[#This Row],[Удельное сопротивление грунта, Ом·м]])),BL622/SQRT(Таблица_pr10[[#This Row],[Удельное сопротивление грунта, Ом·м]]))</f>
        <v/>
      </c>
    </row>
    <row r="623" spans="1:65">
      <c r="A623" s="51"/>
      <c r="B623" s="52"/>
      <c r="C623" s="50"/>
      <c r="D623" s="61" t="str">
        <f t="shared" si="75"/>
        <v/>
      </c>
      <c r="E623" s="61" t="str">
        <f>IFERROR(IF(B623-B622&lt;=0,"",D623/SQRT(Таблица_pr[[#This Row],[Удельное сопротивление грунта, Ом·м]])),D623/SQRT(Таблица_pr[[#This Row],[Удельное сопротивление грунта, Ом·м]]))</f>
        <v/>
      </c>
      <c r="G623" s="189"/>
      <c r="H623" s="185"/>
      <c r="I623" s="183"/>
      <c r="J623" s="180" t="str">
        <f t="shared" si="76"/>
        <v/>
      </c>
      <c r="K623" s="61" t="str">
        <f>IFERROR(IF(H623-H622&lt;=0,"",J623/SQRT(Таблица_pr1[[#This Row],[Удельное сопротивление грунта, Ом·м]])),J623/SQRT(Таблица_pr1[[#This Row],[Удельное сопротивление грунта, Ом·м]]))</f>
        <v/>
      </c>
      <c r="M623" s="51"/>
      <c r="N623" s="52"/>
      <c r="O623" s="50"/>
      <c r="P623" s="61" t="str">
        <f t="shared" si="81"/>
        <v/>
      </c>
      <c r="Q623" s="61" t="str">
        <f>IFERROR(IF(N623-N622&lt;=0,"",P623/SQRT(Таблица_pr2[[#This Row],[Удельное сопротивление грунта, Ом·м]])),P623/SQRT(Таблица_pr2[[#This Row],[Удельное сопротивление грунта, Ом·м]]))</f>
        <v/>
      </c>
      <c r="S623" s="51"/>
      <c r="T623" s="52"/>
      <c r="U623" s="50"/>
      <c r="V623" s="61" t="str">
        <f t="shared" si="77"/>
        <v/>
      </c>
      <c r="W623" s="61" t="str">
        <f>IFERROR(IF(T623-T622&lt;=0,"",V623/SQRT(Таблица_pr3[[#This Row],[Удельное сопротивление грунта, Ом·м]])),V623/SQRT(Таблица_pr3[[#This Row],[Удельное сопротивление грунта, Ом·м]]))</f>
        <v/>
      </c>
      <c r="Y623" s="51"/>
      <c r="Z623" s="52"/>
      <c r="AA623" s="50"/>
      <c r="AB623" s="61" t="str">
        <f t="shared" si="82"/>
        <v/>
      </c>
      <c r="AC623" s="61" t="str">
        <f>IFERROR(IF(Z623-Z622&lt;=0,"",AB623/SQRT(Таблица_pr4[[#This Row],[Удельное сопротивление грунта, Ом·м]])),AB623/SQRT(Таблица_pr4[[#This Row],[Удельное сопротивление грунта, Ом·м]]))</f>
        <v/>
      </c>
      <c r="AE623" s="51"/>
      <c r="AF623" s="52"/>
      <c r="AG623" s="50"/>
      <c r="AH623" s="61" t="str">
        <f t="shared" si="78"/>
        <v/>
      </c>
      <c r="AI623" s="61" t="str">
        <f>IFERROR(IF(AF623-AF622&lt;=0,"",AH623/SQRT(Таблица_pr5[[#This Row],[Удельное сопротивление грунта, Ом·м]])),AH623/SQRT(Таблица_pr5[[#This Row],[Удельное сопротивление грунта, Ом·м]]))</f>
        <v/>
      </c>
      <c r="AK623" s="51"/>
      <c r="AL623" s="52"/>
      <c r="AM623" s="50"/>
      <c r="AN623" s="61" t="str">
        <f t="shared" si="83"/>
        <v/>
      </c>
      <c r="AO623" s="61" t="str">
        <f>IFERROR(IF(AL623-AL622&lt;=0,"",AN623/SQRT(Таблица_pr6[[#This Row],[Удельное сопротивление грунта, Ом·м]])),AN623/SQRT(Таблица_pr6[[#This Row],[Удельное сопротивление грунта, Ом·м]]))</f>
        <v/>
      </c>
      <c r="AQ623" s="51"/>
      <c r="AR623" s="52"/>
      <c r="AS623" s="50"/>
      <c r="AT623" s="61" t="str">
        <f t="shared" si="79"/>
        <v/>
      </c>
      <c r="AU623" s="61" t="str">
        <f>IFERROR(IF(AR623-AR622&lt;=0,"",AT623/SQRT(Таблица_pr7[[#This Row],[Удельное сопротивление грунта, Ом·м]])),AT623/SQRT(Таблица_pr7[[#This Row],[Удельное сопротивление грунта, Ом·м]]))</f>
        <v/>
      </c>
      <c r="AW623" s="51"/>
      <c r="AX623" s="52"/>
      <c r="AY623" s="50"/>
      <c r="AZ623" s="61" t="str">
        <f t="shared" si="84"/>
        <v/>
      </c>
      <c r="BA623" s="61" t="str">
        <f>IFERROR(IF(AX623-AX622&lt;=0,"",AZ623/SQRT(Таблица_pr8[[#This Row],[Удельное сопротивление грунта, Ом·м]])),AZ623/SQRT(Таблица_pr8[[#This Row],[Удельное сопротивление грунта, Ом·м]]))</f>
        <v/>
      </c>
      <c r="BC623" s="51"/>
      <c r="BD623" s="52"/>
      <c r="BE623" s="50"/>
      <c r="BF623" s="61" t="str">
        <f t="shared" si="80"/>
        <v/>
      </c>
      <c r="BG623" s="61" t="str">
        <f>IFERROR(IF(BD623-AX642&lt;=0,"",BF623/SQRT(Таблица_pr9[[#This Row],[Удельное сопротивление грунта, Ом·м]])),BF623/SQRT(Таблица_pr9[[#This Row],[Удельное сопротивление грунта, Ом·м]]))</f>
        <v/>
      </c>
      <c r="BI623" s="51"/>
      <c r="BJ623" s="52"/>
      <c r="BK623" s="50"/>
      <c r="BL623" s="61" t="str">
        <f t="shared" si="85"/>
        <v/>
      </c>
      <c r="BM623" s="61" t="str">
        <f>IFERROR(IF(BJ623-BD652&lt;=0,"",BL623/SQRT(Таблица_pr10[[#This Row],[Удельное сопротивление грунта, Ом·м]])),BL623/SQRT(Таблица_pr10[[#This Row],[Удельное сопротивление грунта, Ом·м]]))</f>
        <v/>
      </c>
    </row>
    <row r="624" spans="1:65">
      <c r="A624" s="53"/>
      <c r="B624" s="52"/>
      <c r="C624" s="50"/>
      <c r="D624" s="61" t="str">
        <f t="shared" si="75"/>
        <v/>
      </c>
      <c r="E624" s="61" t="str">
        <f>IFERROR(IF(B624-B623&lt;=0,"",D624/SQRT(Таблица_pr[[#This Row],[Удельное сопротивление грунта, Ом·м]])),D624/SQRT(Таблица_pr[[#This Row],[Удельное сопротивление грунта, Ом·м]]))</f>
        <v/>
      </c>
      <c r="G624" s="188"/>
      <c r="H624" s="184"/>
      <c r="I624" s="182"/>
      <c r="J624" s="181" t="str">
        <f t="shared" si="76"/>
        <v/>
      </c>
      <c r="K624" s="61" t="str">
        <f>IFERROR(IF(H624-H623&lt;=0,"",J624/SQRT(Таблица_pr1[[#This Row],[Удельное сопротивление грунта, Ом·м]])),J624/SQRT(Таблица_pr1[[#This Row],[Удельное сопротивление грунта, Ом·м]]))</f>
        <v/>
      </c>
      <c r="M624" s="53"/>
      <c r="N624" s="52"/>
      <c r="O624" s="50"/>
      <c r="P624" s="61" t="str">
        <f t="shared" si="81"/>
        <v/>
      </c>
      <c r="Q624" s="61" t="str">
        <f>IFERROR(IF(N624-N623&lt;=0,"",P624/SQRT(Таблица_pr2[[#This Row],[Удельное сопротивление грунта, Ом·м]])),P624/SQRT(Таблица_pr2[[#This Row],[Удельное сопротивление грунта, Ом·м]]))</f>
        <v/>
      </c>
      <c r="S624" s="53"/>
      <c r="T624" s="52"/>
      <c r="U624" s="50"/>
      <c r="V624" s="61" t="str">
        <f t="shared" si="77"/>
        <v/>
      </c>
      <c r="W624" s="61" t="str">
        <f>IFERROR(IF(T624-T623&lt;=0,"",V624/SQRT(Таблица_pr3[[#This Row],[Удельное сопротивление грунта, Ом·м]])),V624/SQRT(Таблица_pr3[[#This Row],[Удельное сопротивление грунта, Ом·м]]))</f>
        <v/>
      </c>
      <c r="Y624" s="53"/>
      <c r="Z624" s="52"/>
      <c r="AA624" s="50"/>
      <c r="AB624" s="61" t="str">
        <f t="shared" si="82"/>
        <v/>
      </c>
      <c r="AC624" s="61" t="str">
        <f>IFERROR(IF(Z624-Z623&lt;=0,"",AB624/SQRT(Таблица_pr4[[#This Row],[Удельное сопротивление грунта, Ом·м]])),AB624/SQRT(Таблица_pr4[[#This Row],[Удельное сопротивление грунта, Ом·м]]))</f>
        <v/>
      </c>
      <c r="AE624" s="53"/>
      <c r="AF624" s="52"/>
      <c r="AG624" s="50"/>
      <c r="AH624" s="61" t="str">
        <f t="shared" si="78"/>
        <v/>
      </c>
      <c r="AI624" s="61" t="str">
        <f>IFERROR(IF(AF624-AF623&lt;=0,"",AH624/SQRT(Таблица_pr5[[#This Row],[Удельное сопротивление грунта, Ом·м]])),AH624/SQRT(Таблица_pr5[[#This Row],[Удельное сопротивление грунта, Ом·м]]))</f>
        <v/>
      </c>
      <c r="AK624" s="53"/>
      <c r="AL624" s="52"/>
      <c r="AM624" s="50"/>
      <c r="AN624" s="61" t="str">
        <f t="shared" si="83"/>
        <v/>
      </c>
      <c r="AO624" s="61" t="str">
        <f>IFERROR(IF(AL624-AL623&lt;=0,"",AN624/SQRT(Таблица_pr6[[#This Row],[Удельное сопротивление грунта, Ом·м]])),AN624/SQRT(Таблица_pr6[[#This Row],[Удельное сопротивление грунта, Ом·м]]))</f>
        <v/>
      </c>
      <c r="AQ624" s="53"/>
      <c r="AR624" s="52"/>
      <c r="AS624" s="50"/>
      <c r="AT624" s="61" t="str">
        <f t="shared" si="79"/>
        <v/>
      </c>
      <c r="AU624" s="61" t="str">
        <f>IFERROR(IF(AR624-AR623&lt;=0,"",AT624/SQRT(Таблица_pr7[[#This Row],[Удельное сопротивление грунта, Ом·м]])),AT624/SQRT(Таблица_pr7[[#This Row],[Удельное сопротивление грунта, Ом·м]]))</f>
        <v/>
      </c>
      <c r="AW624" s="53"/>
      <c r="AX624" s="52"/>
      <c r="AY624" s="50"/>
      <c r="AZ624" s="61" t="str">
        <f t="shared" si="84"/>
        <v/>
      </c>
      <c r="BA624" s="61" t="str">
        <f>IFERROR(IF(AX624-AX623&lt;=0,"",AZ624/SQRT(Таблица_pr8[[#This Row],[Удельное сопротивление грунта, Ом·м]])),AZ624/SQRT(Таблица_pr8[[#This Row],[Удельное сопротивление грунта, Ом·м]]))</f>
        <v/>
      </c>
      <c r="BC624" s="53"/>
      <c r="BD624" s="52"/>
      <c r="BE624" s="50"/>
      <c r="BF624" s="61" t="str">
        <f t="shared" si="80"/>
        <v/>
      </c>
      <c r="BG624" s="61" t="str">
        <f>IFERROR(IF(BD624-AX643&lt;=0,"",BF624/SQRT(Таблица_pr9[[#This Row],[Удельное сопротивление грунта, Ом·м]])),BF624/SQRT(Таблица_pr9[[#This Row],[Удельное сопротивление грунта, Ом·м]]))</f>
        <v/>
      </c>
      <c r="BI624" s="53"/>
      <c r="BJ624" s="52"/>
      <c r="BK624" s="50"/>
      <c r="BL624" s="61" t="str">
        <f t="shared" si="85"/>
        <v/>
      </c>
      <c r="BM624" s="61" t="str">
        <f>IFERROR(IF(BJ624-BD653&lt;=0,"",BL624/SQRT(Таблица_pr10[[#This Row],[Удельное сопротивление грунта, Ом·м]])),BL624/SQRT(Таблица_pr10[[#This Row],[Удельное сопротивление грунта, Ом·м]]))</f>
        <v/>
      </c>
    </row>
    <row r="625" spans="1:65">
      <c r="A625" s="51"/>
      <c r="B625" s="52"/>
      <c r="C625" s="50"/>
      <c r="D625" s="61" t="str">
        <f t="shared" si="75"/>
        <v/>
      </c>
      <c r="E625" s="61" t="str">
        <f>IFERROR(IF(B625-B624&lt;=0,"",D625/SQRT(Таблица_pr[[#This Row],[Удельное сопротивление грунта, Ом·м]])),D625/SQRT(Таблица_pr[[#This Row],[Удельное сопротивление грунта, Ом·м]]))</f>
        <v/>
      </c>
      <c r="G625" s="189"/>
      <c r="H625" s="185"/>
      <c r="I625" s="183"/>
      <c r="J625" s="180" t="str">
        <f t="shared" si="76"/>
        <v/>
      </c>
      <c r="K625" s="61" t="str">
        <f>IFERROR(IF(H625-H624&lt;=0,"",J625/SQRT(Таблица_pr1[[#This Row],[Удельное сопротивление грунта, Ом·м]])),J625/SQRT(Таблица_pr1[[#This Row],[Удельное сопротивление грунта, Ом·м]]))</f>
        <v/>
      </c>
      <c r="M625" s="51"/>
      <c r="N625" s="52"/>
      <c r="O625" s="50"/>
      <c r="P625" s="61" t="str">
        <f t="shared" si="81"/>
        <v/>
      </c>
      <c r="Q625" s="61" t="str">
        <f>IFERROR(IF(N625-N624&lt;=0,"",P625/SQRT(Таблица_pr2[[#This Row],[Удельное сопротивление грунта, Ом·м]])),P625/SQRT(Таблица_pr2[[#This Row],[Удельное сопротивление грунта, Ом·м]]))</f>
        <v/>
      </c>
      <c r="S625" s="51"/>
      <c r="T625" s="52"/>
      <c r="U625" s="50"/>
      <c r="V625" s="61" t="str">
        <f t="shared" si="77"/>
        <v/>
      </c>
      <c r="W625" s="61" t="str">
        <f>IFERROR(IF(T625-T624&lt;=0,"",V625/SQRT(Таблица_pr3[[#This Row],[Удельное сопротивление грунта, Ом·м]])),V625/SQRT(Таблица_pr3[[#This Row],[Удельное сопротивление грунта, Ом·м]]))</f>
        <v/>
      </c>
      <c r="Y625" s="51"/>
      <c r="Z625" s="52"/>
      <c r="AA625" s="50"/>
      <c r="AB625" s="61" t="str">
        <f t="shared" si="82"/>
        <v/>
      </c>
      <c r="AC625" s="61" t="str">
        <f>IFERROR(IF(Z625-Z624&lt;=0,"",AB625/SQRT(Таблица_pr4[[#This Row],[Удельное сопротивление грунта, Ом·м]])),AB625/SQRT(Таблица_pr4[[#This Row],[Удельное сопротивление грунта, Ом·м]]))</f>
        <v/>
      </c>
      <c r="AE625" s="51"/>
      <c r="AF625" s="52"/>
      <c r="AG625" s="50"/>
      <c r="AH625" s="61" t="str">
        <f t="shared" si="78"/>
        <v/>
      </c>
      <c r="AI625" s="61" t="str">
        <f>IFERROR(IF(AF625-AF624&lt;=0,"",AH625/SQRT(Таблица_pr5[[#This Row],[Удельное сопротивление грунта, Ом·м]])),AH625/SQRT(Таблица_pr5[[#This Row],[Удельное сопротивление грунта, Ом·м]]))</f>
        <v/>
      </c>
      <c r="AK625" s="51"/>
      <c r="AL625" s="52"/>
      <c r="AM625" s="50"/>
      <c r="AN625" s="61" t="str">
        <f t="shared" si="83"/>
        <v/>
      </c>
      <c r="AO625" s="61" t="str">
        <f>IFERROR(IF(AL625-AL624&lt;=0,"",AN625/SQRT(Таблица_pr6[[#This Row],[Удельное сопротивление грунта, Ом·м]])),AN625/SQRT(Таблица_pr6[[#This Row],[Удельное сопротивление грунта, Ом·м]]))</f>
        <v/>
      </c>
      <c r="AQ625" s="51"/>
      <c r="AR625" s="52"/>
      <c r="AS625" s="50"/>
      <c r="AT625" s="61" t="str">
        <f t="shared" si="79"/>
        <v/>
      </c>
      <c r="AU625" s="61" t="str">
        <f>IFERROR(IF(AR625-AR624&lt;=0,"",AT625/SQRT(Таблица_pr7[[#This Row],[Удельное сопротивление грунта, Ом·м]])),AT625/SQRT(Таблица_pr7[[#This Row],[Удельное сопротивление грунта, Ом·м]]))</f>
        <v/>
      </c>
      <c r="AW625" s="51"/>
      <c r="AX625" s="52"/>
      <c r="AY625" s="50"/>
      <c r="AZ625" s="61" t="str">
        <f t="shared" si="84"/>
        <v/>
      </c>
      <c r="BA625" s="61" t="str">
        <f>IFERROR(IF(AX625-AX624&lt;=0,"",AZ625/SQRT(Таблица_pr8[[#This Row],[Удельное сопротивление грунта, Ом·м]])),AZ625/SQRT(Таблица_pr8[[#This Row],[Удельное сопротивление грунта, Ом·м]]))</f>
        <v/>
      </c>
      <c r="BC625" s="51"/>
      <c r="BD625" s="52"/>
      <c r="BE625" s="50"/>
      <c r="BF625" s="61" t="str">
        <f t="shared" si="80"/>
        <v/>
      </c>
      <c r="BG625" s="61" t="str">
        <f>IFERROR(IF(BD625-AX644&lt;=0,"",BF625/SQRT(Таблица_pr9[[#This Row],[Удельное сопротивление грунта, Ом·м]])),BF625/SQRT(Таблица_pr9[[#This Row],[Удельное сопротивление грунта, Ом·м]]))</f>
        <v/>
      </c>
      <c r="BI625" s="51"/>
      <c r="BJ625" s="52"/>
      <c r="BK625" s="50"/>
      <c r="BL625" s="61" t="str">
        <f t="shared" si="85"/>
        <v/>
      </c>
      <c r="BM625" s="61" t="str">
        <f>IFERROR(IF(BJ625-BD654&lt;=0,"",BL625/SQRT(Таблица_pr10[[#This Row],[Удельное сопротивление грунта, Ом·м]])),BL625/SQRT(Таблица_pr10[[#This Row],[Удельное сопротивление грунта, Ом·м]]))</f>
        <v/>
      </c>
    </row>
    <row r="626" spans="1:65">
      <c r="A626" s="53"/>
      <c r="B626" s="52"/>
      <c r="C626" s="50"/>
      <c r="D626" s="61" t="str">
        <f t="shared" si="75"/>
        <v/>
      </c>
      <c r="E626" s="61" t="str">
        <f>IFERROR(IF(B626-B625&lt;=0,"",D626/SQRT(Таблица_pr[[#This Row],[Удельное сопротивление грунта, Ом·м]])),D626/SQRT(Таблица_pr[[#This Row],[Удельное сопротивление грунта, Ом·м]]))</f>
        <v/>
      </c>
      <c r="G626" s="188"/>
      <c r="H626" s="184"/>
      <c r="I626" s="182"/>
      <c r="J626" s="181" t="str">
        <f t="shared" si="76"/>
        <v/>
      </c>
      <c r="K626" s="61" t="str">
        <f>IFERROR(IF(H626-H625&lt;=0,"",J626/SQRT(Таблица_pr1[[#This Row],[Удельное сопротивление грунта, Ом·м]])),J626/SQRT(Таблица_pr1[[#This Row],[Удельное сопротивление грунта, Ом·м]]))</f>
        <v/>
      </c>
      <c r="M626" s="53"/>
      <c r="N626" s="52"/>
      <c r="O626" s="50"/>
      <c r="P626" s="61" t="str">
        <f t="shared" si="81"/>
        <v/>
      </c>
      <c r="Q626" s="61" t="str">
        <f>IFERROR(IF(N626-N625&lt;=0,"",P626/SQRT(Таблица_pr2[[#This Row],[Удельное сопротивление грунта, Ом·м]])),P626/SQRT(Таблица_pr2[[#This Row],[Удельное сопротивление грунта, Ом·м]]))</f>
        <v/>
      </c>
      <c r="S626" s="53"/>
      <c r="T626" s="52"/>
      <c r="U626" s="50"/>
      <c r="V626" s="61" t="str">
        <f t="shared" si="77"/>
        <v/>
      </c>
      <c r="W626" s="61" t="str">
        <f>IFERROR(IF(T626-T625&lt;=0,"",V626/SQRT(Таблица_pr3[[#This Row],[Удельное сопротивление грунта, Ом·м]])),V626/SQRT(Таблица_pr3[[#This Row],[Удельное сопротивление грунта, Ом·м]]))</f>
        <v/>
      </c>
      <c r="Y626" s="53"/>
      <c r="Z626" s="52"/>
      <c r="AA626" s="50"/>
      <c r="AB626" s="61" t="str">
        <f t="shared" si="82"/>
        <v/>
      </c>
      <c r="AC626" s="61" t="str">
        <f>IFERROR(IF(Z626-Z625&lt;=0,"",AB626/SQRT(Таблица_pr4[[#This Row],[Удельное сопротивление грунта, Ом·м]])),AB626/SQRT(Таблица_pr4[[#This Row],[Удельное сопротивление грунта, Ом·м]]))</f>
        <v/>
      </c>
      <c r="AE626" s="53"/>
      <c r="AF626" s="52"/>
      <c r="AG626" s="50"/>
      <c r="AH626" s="61" t="str">
        <f t="shared" si="78"/>
        <v/>
      </c>
      <c r="AI626" s="61" t="str">
        <f>IFERROR(IF(AF626-AF625&lt;=0,"",AH626/SQRT(Таблица_pr5[[#This Row],[Удельное сопротивление грунта, Ом·м]])),AH626/SQRT(Таблица_pr5[[#This Row],[Удельное сопротивление грунта, Ом·м]]))</f>
        <v/>
      </c>
      <c r="AK626" s="53"/>
      <c r="AL626" s="52"/>
      <c r="AM626" s="50"/>
      <c r="AN626" s="61" t="str">
        <f t="shared" si="83"/>
        <v/>
      </c>
      <c r="AO626" s="61" t="str">
        <f>IFERROR(IF(AL626-AL625&lt;=0,"",AN626/SQRT(Таблица_pr6[[#This Row],[Удельное сопротивление грунта, Ом·м]])),AN626/SQRT(Таблица_pr6[[#This Row],[Удельное сопротивление грунта, Ом·м]]))</f>
        <v/>
      </c>
      <c r="AQ626" s="53"/>
      <c r="AR626" s="52"/>
      <c r="AS626" s="50"/>
      <c r="AT626" s="61" t="str">
        <f t="shared" si="79"/>
        <v/>
      </c>
      <c r="AU626" s="61" t="str">
        <f>IFERROR(IF(AR626-AR625&lt;=0,"",AT626/SQRT(Таблица_pr7[[#This Row],[Удельное сопротивление грунта, Ом·м]])),AT626/SQRT(Таблица_pr7[[#This Row],[Удельное сопротивление грунта, Ом·м]]))</f>
        <v/>
      </c>
      <c r="AW626" s="53"/>
      <c r="AX626" s="52"/>
      <c r="AY626" s="50"/>
      <c r="AZ626" s="61" t="str">
        <f t="shared" si="84"/>
        <v/>
      </c>
      <c r="BA626" s="61" t="str">
        <f>IFERROR(IF(AX626-AX625&lt;=0,"",AZ626/SQRT(Таблица_pr8[[#This Row],[Удельное сопротивление грунта, Ом·м]])),AZ626/SQRT(Таблица_pr8[[#This Row],[Удельное сопротивление грунта, Ом·м]]))</f>
        <v/>
      </c>
      <c r="BC626" s="53"/>
      <c r="BD626" s="52"/>
      <c r="BE626" s="50"/>
      <c r="BF626" s="61" t="str">
        <f t="shared" si="80"/>
        <v/>
      </c>
      <c r="BG626" s="61" t="str">
        <f>IFERROR(IF(BD626-AX645&lt;=0,"",BF626/SQRT(Таблица_pr9[[#This Row],[Удельное сопротивление грунта, Ом·м]])),BF626/SQRT(Таблица_pr9[[#This Row],[Удельное сопротивление грунта, Ом·м]]))</f>
        <v/>
      </c>
      <c r="BI626" s="53"/>
      <c r="BJ626" s="52"/>
      <c r="BK626" s="50"/>
      <c r="BL626" s="61" t="str">
        <f t="shared" si="85"/>
        <v/>
      </c>
      <c r="BM626" s="61" t="str">
        <f>IFERROR(IF(BJ626-BD655&lt;=0,"",BL626/SQRT(Таблица_pr10[[#This Row],[Удельное сопротивление грунта, Ом·м]])),BL626/SQRT(Таблица_pr10[[#This Row],[Удельное сопротивление грунта, Ом·м]]))</f>
        <v/>
      </c>
    </row>
    <row r="627" spans="1:65">
      <c r="A627" s="51"/>
      <c r="B627" s="52"/>
      <c r="C627" s="50"/>
      <c r="D627" s="61" t="str">
        <f t="shared" si="75"/>
        <v/>
      </c>
      <c r="E627" s="61" t="str">
        <f>IFERROR(IF(B627-B626&lt;=0,"",D627/SQRT(Таблица_pr[[#This Row],[Удельное сопротивление грунта, Ом·м]])),D627/SQRT(Таблица_pr[[#This Row],[Удельное сопротивление грунта, Ом·м]]))</f>
        <v/>
      </c>
      <c r="G627" s="189"/>
      <c r="H627" s="185"/>
      <c r="I627" s="183"/>
      <c r="J627" s="180" t="str">
        <f t="shared" si="76"/>
        <v/>
      </c>
      <c r="K627" s="61" t="str">
        <f>IFERROR(IF(H627-H626&lt;=0,"",J627/SQRT(Таблица_pr1[[#This Row],[Удельное сопротивление грунта, Ом·м]])),J627/SQRT(Таблица_pr1[[#This Row],[Удельное сопротивление грунта, Ом·м]]))</f>
        <v/>
      </c>
      <c r="M627" s="51"/>
      <c r="N627" s="52"/>
      <c r="O627" s="50"/>
      <c r="P627" s="61" t="str">
        <f t="shared" si="81"/>
        <v/>
      </c>
      <c r="Q627" s="61" t="str">
        <f>IFERROR(IF(N627-N626&lt;=0,"",P627/SQRT(Таблица_pr2[[#This Row],[Удельное сопротивление грунта, Ом·м]])),P627/SQRT(Таблица_pr2[[#This Row],[Удельное сопротивление грунта, Ом·м]]))</f>
        <v/>
      </c>
      <c r="S627" s="51"/>
      <c r="T627" s="52"/>
      <c r="U627" s="50"/>
      <c r="V627" s="61" t="str">
        <f t="shared" si="77"/>
        <v/>
      </c>
      <c r="W627" s="61" t="str">
        <f>IFERROR(IF(T627-T626&lt;=0,"",V627/SQRT(Таблица_pr3[[#This Row],[Удельное сопротивление грунта, Ом·м]])),V627/SQRT(Таблица_pr3[[#This Row],[Удельное сопротивление грунта, Ом·м]]))</f>
        <v/>
      </c>
      <c r="Y627" s="51"/>
      <c r="Z627" s="52"/>
      <c r="AA627" s="50"/>
      <c r="AB627" s="61" t="str">
        <f t="shared" si="82"/>
        <v/>
      </c>
      <c r="AC627" s="61" t="str">
        <f>IFERROR(IF(Z627-Z626&lt;=0,"",AB627/SQRT(Таблица_pr4[[#This Row],[Удельное сопротивление грунта, Ом·м]])),AB627/SQRT(Таблица_pr4[[#This Row],[Удельное сопротивление грунта, Ом·м]]))</f>
        <v/>
      </c>
      <c r="AE627" s="51"/>
      <c r="AF627" s="52"/>
      <c r="AG627" s="50"/>
      <c r="AH627" s="61" t="str">
        <f t="shared" si="78"/>
        <v/>
      </c>
      <c r="AI627" s="61" t="str">
        <f>IFERROR(IF(AF627-AF626&lt;=0,"",AH627/SQRT(Таблица_pr5[[#This Row],[Удельное сопротивление грунта, Ом·м]])),AH627/SQRT(Таблица_pr5[[#This Row],[Удельное сопротивление грунта, Ом·м]]))</f>
        <v/>
      </c>
      <c r="AK627" s="51"/>
      <c r="AL627" s="52"/>
      <c r="AM627" s="50"/>
      <c r="AN627" s="61" t="str">
        <f t="shared" si="83"/>
        <v/>
      </c>
      <c r="AO627" s="61" t="str">
        <f>IFERROR(IF(AL627-AL626&lt;=0,"",AN627/SQRT(Таблица_pr6[[#This Row],[Удельное сопротивление грунта, Ом·м]])),AN627/SQRT(Таблица_pr6[[#This Row],[Удельное сопротивление грунта, Ом·м]]))</f>
        <v/>
      </c>
      <c r="AQ627" s="51"/>
      <c r="AR627" s="52"/>
      <c r="AS627" s="50"/>
      <c r="AT627" s="61" t="str">
        <f t="shared" si="79"/>
        <v/>
      </c>
      <c r="AU627" s="61" t="str">
        <f>IFERROR(IF(AR627-AR626&lt;=0,"",AT627/SQRT(Таблица_pr7[[#This Row],[Удельное сопротивление грунта, Ом·м]])),AT627/SQRT(Таблица_pr7[[#This Row],[Удельное сопротивление грунта, Ом·м]]))</f>
        <v/>
      </c>
      <c r="AW627" s="51"/>
      <c r="AX627" s="52"/>
      <c r="AY627" s="50"/>
      <c r="AZ627" s="61" t="str">
        <f t="shared" si="84"/>
        <v/>
      </c>
      <c r="BA627" s="61" t="str">
        <f>IFERROR(IF(AX627-AX626&lt;=0,"",AZ627/SQRT(Таблица_pr8[[#This Row],[Удельное сопротивление грунта, Ом·м]])),AZ627/SQRT(Таблица_pr8[[#This Row],[Удельное сопротивление грунта, Ом·м]]))</f>
        <v/>
      </c>
      <c r="BC627" s="51"/>
      <c r="BD627" s="52"/>
      <c r="BE627" s="50"/>
      <c r="BF627" s="61" t="str">
        <f t="shared" si="80"/>
        <v/>
      </c>
      <c r="BG627" s="61" t="str">
        <f>IFERROR(IF(BD627-AX646&lt;=0,"",BF627/SQRT(Таблица_pr9[[#This Row],[Удельное сопротивление грунта, Ом·м]])),BF627/SQRT(Таблица_pr9[[#This Row],[Удельное сопротивление грунта, Ом·м]]))</f>
        <v/>
      </c>
      <c r="BI627" s="51"/>
      <c r="BJ627" s="52"/>
      <c r="BK627" s="50"/>
      <c r="BL627" s="61" t="str">
        <f t="shared" si="85"/>
        <v/>
      </c>
      <c r="BM627" s="61" t="str">
        <f>IFERROR(IF(BJ627-BD656&lt;=0,"",BL627/SQRT(Таблица_pr10[[#This Row],[Удельное сопротивление грунта, Ом·м]])),BL627/SQRT(Таблица_pr10[[#This Row],[Удельное сопротивление грунта, Ом·м]]))</f>
        <v/>
      </c>
    </row>
    <row r="628" spans="1:65">
      <c r="A628" s="53"/>
      <c r="B628" s="52"/>
      <c r="C628" s="50"/>
      <c r="D628" s="61" t="str">
        <f t="shared" si="75"/>
        <v/>
      </c>
      <c r="E628" s="61" t="str">
        <f>IFERROR(IF(B628-B627&lt;=0,"",D628/SQRT(Таблица_pr[[#This Row],[Удельное сопротивление грунта, Ом·м]])),D628/SQRT(Таблица_pr[[#This Row],[Удельное сопротивление грунта, Ом·м]]))</f>
        <v/>
      </c>
      <c r="G628" s="188"/>
      <c r="H628" s="184"/>
      <c r="I628" s="182"/>
      <c r="J628" s="181" t="str">
        <f t="shared" si="76"/>
        <v/>
      </c>
      <c r="K628" s="61" t="str">
        <f>IFERROR(IF(H628-H627&lt;=0,"",J628/SQRT(Таблица_pr1[[#This Row],[Удельное сопротивление грунта, Ом·м]])),J628/SQRT(Таблица_pr1[[#This Row],[Удельное сопротивление грунта, Ом·м]]))</f>
        <v/>
      </c>
      <c r="M628" s="53"/>
      <c r="N628" s="52"/>
      <c r="O628" s="50"/>
      <c r="P628" s="61" t="str">
        <f t="shared" si="81"/>
        <v/>
      </c>
      <c r="Q628" s="61" t="str">
        <f>IFERROR(IF(N628-N627&lt;=0,"",P628/SQRT(Таблица_pr2[[#This Row],[Удельное сопротивление грунта, Ом·м]])),P628/SQRT(Таблица_pr2[[#This Row],[Удельное сопротивление грунта, Ом·м]]))</f>
        <v/>
      </c>
      <c r="S628" s="53"/>
      <c r="T628" s="52"/>
      <c r="U628" s="50"/>
      <c r="V628" s="61" t="str">
        <f t="shared" si="77"/>
        <v/>
      </c>
      <c r="W628" s="61" t="str">
        <f>IFERROR(IF(T628-T627&lt;=0,"",V628/SQRT(Таблица_pr3[[#This Row],[Удельное сопротивление грунта, Ом·м]])),V628/SQRT(Таблица_pr3[[#This Row],[Удельное сопротивление грунта, Ом·м]]))</f>
        <v/>
      </c>
      <c r="Y628" s="53"/>
      <c r="Z628" s="52"/>
      <c r="AA628" s="50"/>
      <c r="AB628" s="61" t="str">
        <f t="shared" si="82"/>
        <v/>
      </c>
      <c r="AC628" s="61" t="str">
        <f>IFERROR(IF(Z628-Z627&lt;=0,"",AB628/SQRT(Таблица_pr4[[#This Row],[Удельное сопротивление грунта, Ом·м]])),AB628/SQRT(Таблица_pr4[[#This Row],[Удельное сопротивление грунта, Ом·м]]))</f>
        <v/>
      </c>
      <c r="AE628" s="53"/>
      <c r="AF628" s="52"/>
      <c r="AG628" s="50"/>
      <c r="AH628" s="61" t="str">
        <f t="shared" si="78"/>
        <v/>
      </c>
      <c r="AI628" s="61" t="str">
        <f>IFERROR(IF(AF628-AF627&lt;=0,"",AH628/SQRT(Таблица_pr5[[#This Row],[Удельное сопротивление грунта, Ом·м]])),AH628/SQRT(Таблица_pr5[[#This Row],[Удельное сопротивление грунта, Ом·м]]))</f>
        <v/>
      </c>
      <c r="AK628" s="53"/>
      <c r="AL628" s="52"/>
      <c r="AM628" s="50"/>
      <c r="AN628" s="61" t="str">
        <f t="shared" si="83"/>
        <v/>
      </c>
      <c r="AO628" s="61" t="str">
        <f>IFERROR(IF(AL628-AL627&lt;=0,"",AN628/SQRT(Таблица_pr6[[#This Row],[Удельное сопротивление грунта, Ом·м]])),AN628/SQRT(Таблица_pr6[[#This Row],[Удельное сопротивление грунта, Ом·м]]))</f>
        <v/>
      </c>
      <c r="AQ628" s="53"/>
      <c r="AR628" s="52"/>
      <c r="AS628" s="50"/>
      <c r="AT628" s="61" t="str">
        <f t="shared" si="79"/>
        <v/>
      </c>
      <c r="AU628" s="61" t="str">
        <f>IFERROR(IF(AR628-AR627&lt;=0,"",AT628/SQRT(Таблица_pr7[[#This Row],[Удельное сопротивление грунта, Ом·м]])),AT628/SQRT(Таблица_pr7[[#This Row],[Удельное сопротивление грунта, Ом·м]]))</f>
        <v/>
      </c>
      <c r="AW628" s="53"/>
      <c r="AX628" s="52"/>
      <c r="AY628" s="50"/>
      <c r="AZ628" s="61" t="str">
        <f t="shared" si="84"/>
        <v/>
      </c>
      <c r="BA628" s="61" t="str">
        <f>IFERROR(IF(AX628-AX627&lt;=0,"",AZ628/SQRT(Таблица_pr8[[#This Row],[Удельное сопротивление грунта, Ом·м]])),AZ628/SQRT(Таблица_pr8[[#This Row],[Удельное сопротивление грунта, Ом·м]]))</f>
        <v/>
      </c>
      <c r="BC628" s="53"/>
      <c r="BD628" s="52"/>
      <c r="BE628" s="50"/>
      <c r="BF628" s="61" t="str">
        <f t="shared" si="80"/>
        <v/>
      </c>
      <c r="BG628" s="61" t="str">
        <f>IFERROR(IF(BD628-AX647&lt;=0,"",BF628/SQRT(Таблица_pr9[[#This Row],[Удельное сопротивление грунта, Ом·м]])),BF628/SQRT(Таблица_pr9[[#This Row],[Удельное сопротивление грунта, Ом·м]]))</f>
        <v/>
      </c>
      <c r="BI628" s="53"/>
      <c r="BJ628" s="52"/>
      <c r="BK628" s="50"/>
      <c r="BL628" s="61" t="str">
        <f t="shared" si="85"/>
        <v/>
      </c>
      <c r="BM628" s="61" t="str">
        <f>IFERROR(IF(BJ628-BD657&lt;=0,"",BL628/SQRT(Таблица_pr10[[#This Row],[Удельное сопротивление грунта, Ом·м]])),BL628/SQRT(Таблица_pr10[[#This Row],[Удельное сопротивление грунта, Ом·м]]))</f>
        <v/>
      </c>
    </row>
    <row r="629" spans="1:65">
      <c r="A629" s="51"/>
      <c r="B629" s="52"/>
      <c r="C629" s="50"/>
      <c r="D629" s="61" t="str">
        <f t="shared" si="75"/>
        <v/>
      </c>
      <c r="E629" s="61" t="str">
        <f>IFERROR(IF(B629-B628&lt;=0,"",D629/SQRT(Таблица_pr[[#This Row],[Удельное сопротивление грунта, Ом·м]])),D629/SQRT(Таблица_pr[[#This Row],[Удельное сопротивление грунта, Ом·м]]))</f>
        <v/>
      </c>
      <c r="G629" s="189"/>
      <c r="H629" s="185"/>
      <c r="I629" s="183"/>
      <c r="J629" s="180" t="str">
        <f t="shared" si="76"/>
        <v/>
      </c>
      <c r="K629" s="61" t="str">
        <f>IFERROR(IF(H629-H628&lt;=0,"",J629/SQRT(Таблица_pr1[[#This Row],[Удельное сопротивление грунта, Ом·м]])),J629/SQRT(Таблица_pr1[[#This Row],[Удельное сопротивление грунта, Ом·м]]))</f>
        <v/>
      </c>
      <c r="M629" s="51"/>
      <c r="N629" s="52"/>
      <c r="O629" s="50"/>
      <c r="P629" s="61" t="str">
        <f t="shared" si="81"/>
        <v/>
      </c>
      <c r="Q629" s="61" t="str">
        <f>IFERROR(IF(N629-N628&lt;=0,"",P629/SQRT(Таблица_pr2[[#This Row],[Удельное сопротивление грунта, Ом·м]])),P629/SQRT(Таблица_pr2[[#This Row],[Удельное сопротивление грунта, Ом·м]]))</f>
        <v/>
      </c>
      <c r="S629" s="51"/>
      <c r="T629" s="52"/>
      <c r="U629" s="50"/>
      <c r="V629" s="61" t="str">
        <f t="shared" si="77"/>
        <v/>
      </c>
      <c r="W629" s="61" t="str">
        <f>IFERROR(IF(T629-T628&lt;=0,"",V629/SQRT(Таблица_pr3[[#This Row],[Удельное сопротивление грунта, Ом·м]])),V629/SQRT(Таблица_pr3[[#This Row],[Удельное сопротивление грунта, Ом·м]]))</f>
        <v/>
      </c>
      <c r="Y629" s="51"/>
      <c r="Z629" s="52"/>
      <c r="AA629" s="50"/>
      <c r="AB629" s="61" t="str">
        <f t="shared" si="82"/>
        <v/>
      </c>
      <c r="AC629" s="61" t="str">
        <f>IFERROR(IF(Z629-Z628&lt;=0,"",AB629/SQRT(Таблица_pr4[[#This Row],[Удельное сопротивление грунта, Ом·м]])),AB629/SQRT(Таблица_pr4[[#This Row],[Удельное сопротивление грунта, Ом·м]]))</f>
        <v/>
      </c>
      <c r="AE629" s="51"/>
      <c r="AF629" s="52"/>
      <c r="AG629" s="50"/>
      <c r="AH629" s="61" t="str">
        <f t="shared" si="78"/>
        <v/>
      </c>
      <c r="AI629" s="61" t="str">
        <f>IFERROR(IF(AF629-AF628&lt;=0,"",AH629/SQRT(Таблица_pr5[[#This Row],[Удельное сопротивление грунта, Ом·м]])),AH629/SQRT(Таблица_pr5[[#This Row],[Удельное сопротивление грунта, Ом·м]]))</f>
        <v/>
      </c>
      <c r="AK629" s="51"/>
      <c r="AL629" s="52"/>
      <c r="AM629" s="50"/>
      <c r="AN629" s="61" t="str">
        <f t="shared" si="83"/>
        <v/>
      </c>
      <c r="AO629" s="61" t="str">
        <f>IFERROR(IF(AL629-AL628&lt;=0,"",AN629/SQRT(Таблица_pr6[[#This Row],[Удельное сопротивление грунта, Ом·м]])),AN629/SQRT(Таблица_pr6[[#This Row],[Удельное сопротивление грунта, Ом·м]]))</f>
        <v/>
      </c>
      <c r="AQ629" s="51"/>
      <c r="AR629" s="52"/>
      <c r="AS629" s="50"/>
      <c r="AT629" s="61" t="str">
        <f t="shared" si="79"/>
        <v/>
      </c>
      <c r="AU629" s="61" t="str">
        <f>IFERROR(IF(AR629-AR628&lt;=0,"",AT629/SQRT(Таблица_pr7[[#This Row],[Удельное сопротивление грунта, Ом·м]])),AT629/SQRT(Таблица_pr7[[#This Row],[Удельное сопротивление грунта, Ом·м]]))</f>
        <v/>
      </c>
      <c r="AW629" s="51"/>
      <c r="AX629" s="52"/>
      <c r="AY629" s="50"/>
      <c r="AZ629" s="61" t="str">
        <f t="shared" si="84"/>
        <v/>
      </c>
      <c r="BA629" s="61" t="str">
        <f>IFERROR(IF(AX629-AX628&lt;=0,"",AZ629/SQRT(Таблица_pr8[[#This Row],[Удельное сопротивление грунта, Ом·м]])),AZ629/SQRT(Таблица_pr8[[#This Row],[Удельное сопротивление грунта, Ом·м]]))</f>
        <v/>
      </c>
      <c r="BC629" s="51"/>
      <c r="BD629" s="52"/>
      <c r="BE629" s="50"/>
      <c r="BF629" s="61" t="str">
        <f t="shared" si="80"/>
        <v/>
      </c>
      <c r="BG629" s="61" t="str">
        <f>IFERROR(IF(BD629-AX648&lt;=0,"",BF629/SQRT(Таблица_pr9[[#This Row],[Удельное сопротивление грунта, Ом·м]])),BF629/SQRT(Таблица_pr9[[#This Row],[Удельное сопротивление грунта, Ом·м]]))</f>
        <v/>
      </c>
      <c r="BI629" s="51"/>
      <c r="BJ629" s="52"/>
      <c r="BK629" s="50"/>
      <c r="BL629" s="61" t="str">
        <f t="shared" si="85"/>
        <v/>
      </c>
      <c r="BM629" s="61" t="str">
        <f>IFERROR(IF(BJ629-BD658&lt;=0,"",BL629/SQRT(Таблица_pr10[[#This Row],[Удельное сопротивление грунта, Ом·м]])),BL629/SQRT(Таблица_pr10[[#This Row],[Удельное сопротивление грунта, Ом·м]]))</f>
        <v/>
      </c>
    </row>
    <row r="630" spans="1:65">
      <c r="A630" s="53"/>
      <c r="B630" s="52"/>
      <c r="C630" s="50"/>
      <c r="D630" s="61" t="str">
        <f t="shared" si="75"/>
        <v/>
      </c>
      <c r="E630" s="61" t="str">
        <f>IFERROR(IF(B630-B629&lt;=0,"",D630/SQRT(Таблица_pr[[#This Row],[Удельное сопротивление грунта, Ом·м]])),D630/SQRT(Таблица_pr[[#This Row],[Удельное сопротивление грунта, Ом·м]]))</f>
        <v/>
      </c>
      <c r="G630" s="188"/>
      <c r="H630" s="184"/>
      <c r="I630" s="182"/>
      <c r="J630" s="181" t="str">
        <f t="shared" si="76"/>
        <v/>
      </c>
      <c r="K630" s="61" t="str">
        <f>IFERROR(IF(H630-H629&lt;=0,"",J630/SQRT(Таблица_pr1[[#This Row],[Удельное сопротивление грунта, Ом·м]])),J630/SQRT(Таблица_pr1[[#This Row],[Удельное сопротивление грунта, Ом·м]]))</f>
        <v/>
      </c>
      <c r="M630" s="53"/>
      <c r="N630" s="52"/>
      <c r="O630" s="50"/>
      <c r="P630" s="61" t="str">
        <f t="shared" si="81"/>
        <v/>
      </c>
      <c r="Q630" s="61" t="str">
        <f>IFERROR(IF(N630-N629&lt;=0,"",P630/SQRT(Таблица_pr2[[#This Row],[Удельное сопротивление грунта, Ом·м]])),P630/SQRT(Таблица_pr2[[#This Row],[Удельное сопротивление грунта, Ом·м]]))</f>
        <v/>
      </c>
      <c r="S630" s="53"/>
      <c r="T630" s="52"/>
      <c r="U630" s="50"/>
      <c r="V630" s="61" t="str">
        <f t="shared" si="77"/>
        <v/>
      </c>
      <c r="W630" s="61" t="str">
        <f>IFERROR(IF(T630-T629&lt;=0,"",V630/SQRT(Таблица_pr3[[#This Row],[Удельное сопротивление грунта, Ом·м]])),V630/SQRT(Таблица_pr3[[#This Row],[Удельное сопротивление грунта, Ом·м]]))</f>
        <v/>
      </c>
      <c r="Y630" s="53"/>
      <c r="Z630" s="52"/>
      <c r="AA630" s="50"/>
      <c r="AB630" s="61" t="str">
        <f t="shared" si="82"/>
        <v/>
      </c>
      <c r="AC630" s="61" t="str">
        <f>IFERROR(IF(Z630-Z629&lt;=0,"",AB630/SQRT(Таблица_pr4[[#This Row],[Удельное сопротивление грунта, Ом·м]])),AB630/SQRT(Таблица_pr4[[#This Row],[Удельное сопротивление грунта, Ом·м]]))</f>
        <v/>
      </c>
      <c r="AE630" s="53"/>
      <c r="AF630" s="52"/>
      <c r="AG630" s="50"/>
      <c r="AH630" s="61" t="str">
        <f t="shared" si="78"/>
        <v/>
      </c>
      <c r="AI630" s="61" t="str">
        <f>IFERROR(IF(AF630-AF629&lt;=0,"",AH630/SQRT(Таблица_pr5[[#This Row],[Удельное сопротивление грунта, Ом·м]])),AH630/SQRT(Таблица_pr5[[#This Row],[Удельное сопротивление грунта, Ом·м]]))</f>
        <v/>
      </c>
      <c r="AK630" s="53"/>
      <c r="AL630" s="52"/>
      <c r="AM630" s="50"/>
      <c r="AN630" s="61" t="str">
        <f t="shared" si="83"/>
        <v/>
      </c>
      <c r="AO630" s="61" t="str">
        <f>IFERROR(IF(AL630-AL629&lt;=0,"",AN630/SQRT(Таблица_pr6[[#This Row],[Удельное сопротивление грунта, Ом·м]])),AN630/SQRT(Таблица_pr6[[#This Row],[Удельное сопротивление грунта, Ом·м]]))</f>
        <v/>
      </c>
      <c r="AQ630" s="53"/>
      <c r="AR630" s="52"/>
      <c r="AS630" s="50"/>
      <c r="AT630" s="61" t="str">
        <f t="shared" si="79"/>
        <v/>
      </c>
      <c r="AU630" s="61" t="str">
        <f>IFERROR(IF(AR630-AR629&lt;=0,"",AT630/SQRT(Таблица_pr7[[#This Row],[Удельное сопротивление грунта, Ом·м]])),AT630/SQRT(Таблица_pr7[[#This Row],[Удельное сопротивление грунта, Ом·м]]))</f>
        <v/>
      </c>
      <c r="AW630" s="53"/>
      <c r="AX630" s="52"/>
      <c r="AY630" s="50"/>
      <c r="AZ630" s="61" t="str">
        <f t="shared" si="84"/>
        <v/>
      </c>
      <c r="BA630" s="61" t="str">
        <f>IFERROR(IF(AX630-AX629&lt;=0,"",AZ630/SQRT(Таблица_pr8[[#This Row],[Удельное сопротивление грунта, Ом·м]])),AZ630/SQRT(Таблица_pr8[[#This Row],[Удельное сопротивление грунта, Ом·м]]))</f>
        <v/>
      </c>
      <c r="BC630" s="53"/>
      <c r="BD630" s="52"/>
      <c r="BE630" s="50"/>
      <c r="BF630" s="61" t="str">
        <f t="shared" si="80"/>
        <v/>
      </c>
      <c r="BG630" s="61" t="str">
        <f>IFERROR(IF(BD630-AX649&lt;=0,"",BF630/SQRT(Таблица_pr9[[#This Row],[Удельное сопротивление грунта, Ом·м]])),BF630/SQRT(Таблица_pr9[[#This Row],[Удельное сопротивление грунта, Ом·м]]))</f>
        <v/>
      </c>
      <c r="BI630" s="53"/>
      <c r="BJ630" s="52"/>
      <c r="BK630" s="50"/>
      <c r="BL630" s="61" t="str">
        <f t="shared" si="85"/>
        <v/>
      </c>
      <c r="BM630" s="61" t="str">
        <f>IFERROR(IF(BJ630-BD659&lt;=0,"",BL630/SQRT(Таблица_pr10[[#This Row],[Удельное сопротивление грунта, Ом·м]])),BL630/SQRT(Таблица_pr10[[#This Row],[Удельное сопротивление грунта, Ом·м]]))</f>
        <v/>
      </c>
    </row>
    <row r="631" spans="1:65">
      <c r="A631" s="51"/>
      <c r="B631" s="52"/>
      <c r="C631" s="50"/>
      <c r="D631" s="61" t="str">
        <f t="shared" si="75"/>
        <v/>
      </c>
      <c r="E631" s="61" t="str">
        <f>IFERROR(IF(B631-B630&lt;=0,"",D631/SQRT(Таблица_pr[[#This Row],[Удельное сопротивление грунта, Ом·м]])),D631/SQRT(Таблица_pr[[#This Row],[Удельное сопротивление грунта, Ом·м]]))</f>
        <v/>
      </c>
      <c r="G631" s="189"/>
      <c r="H631" s="185"/>
      <c r="I631" s="183"/>
      <c r="J631" s="180" t="str">
        <f t="shared" si="76"/>
        <v/>
      </c>
      <c r="K631" s="61" t="str">
        <f>IFERROR(IF(H631-H630&lt;=0,"",J631/SQRT(Таблица_pr1[[#This Row],[Удельное сопротивление грунта, Ом·м]])),J631/SQRT(Таблица_pr1[[#This Row],[Удельное сопротивление грунта, Ом·м]]))</f>
        <v/>
      </c>
      <c r="M631" s="51"/>
      <c r="N631" s="52"/>
      <c r="O631" s="50"/>
      <c r="P631" s="61" t="str">
        <f t="shared" si="81"/>
        <v/>
      </c>
      <c r="Q631" s="61" t="str">
        <f>IFERROR(IF(N631-N630&lt;=0,"",P631/SQRT(Таблица_pr2[[#This Row],[Удельное сопротивление грунта, Ом·м]])),P631/SQRT(Таблица_pr2[[#This Row],[Удельное сопротивление грунта, Ом·м]]))</f>
        <v/>
      </c>
      <c r="S631" s="51"/>
      <c r="T631" s="52"/>
      <c r="U631" s="50"/>
      <c r="V631" s="61" t="str">
        <f t="shared" si="77"/>
        <v/>
      </c>
      <c r="W631" s="61" t="str">
        <f>IFERROR(IF(T631-T630&lt;=0,"",V631/SQRT(Таблица_pr3[[#This Row],[Удельное сопротивление грунта, Ом·м]])),V631/SQRT(Таблица_pr3[[#This Row],[Удельное сопротивление грунта, Ом·м]]))</f>
        <v/>
      </c>
      <c r="Y631" s="51"/>
      <c r="Z631" s="52"/>
      <c r="AA631" s="50"/>
      <c r="AB631" s="61" t="str">
        <f t="shared" si="82"/>
        <v/>
      </c>
      <c r="AC631" s="61" t="str">
        <f>IFERROR(IF(Z631-Z630&lt;=0,"",AB631/SQRT(Таблица_pr4[[#This Row],[Удельное сопротивление грунта, Ом·м]])),AB631/SQRT(Таблица_pr4[[#This Row],[Удельное сопротивление грунта, Ом·м]]))</f>
        <v/>
      </c>
      <c r="AE631" s="51"/>
      <c r="AF631" s="52"/>
      <c r="AG631" s="50"/>
      <c r="AH631" s="61" t="str">
        <f t="shared" si="78"/>
        <v/>
      </c>
      <c r="AI631" s="61" t="str">
        <f>IFERROR(IF(AF631-AF630&lt;=0,"",AH631/SQRT(Таблица_pr5[[#This Row],[Удельное сопротивление грунта, Ом·м]])),AH631/SQRT(Таблица_pr5[[#This Row],[Удельное сопротивление грунта, Ом·м]]))</f>
        <v/>
      </c>
      <c r="AK631" s="51"/>
      <c r="AL631" s="52"/>
      <c r="AM631" s="50"/>
      <c r="AN631" s="61" t="str">
        <f t="shared" si="83"/>
        <v/>
      </c>
      <c r="AO631" s="61" t="str">
        <f>IFERROR(IF(AL631-AL630&lt;=0,"",AN631/SQRT(Таблица_pr6[[#This Row],[Удельное сопротивление грунта, Ом·м]])),AN631/SQRT(Таблица_pr6[[#This Row],[Удельное сопротивление грунта, Ом·м]]))</f>
        <v/>
      </c>
      <c r="AQ631" s="51"/>
      <c r="AR631" s="52"/>
      <c r="AS631" s="50"/>
      <c r="AT631" s="61" t="str">
        <f t="shared" si="79"/>
        <v/>
      </c>
      <c r="AU631" s="61" t="str">
        <f>IFERROR(IF(AR631-AR630&lt;=0,"",AT631/SQRT(Таблица_pr7[[#This Row],[Удельное сопротивление грунта, Ом·м]])),AT631/SQRT(Таблица_pr7[[#This Row],[Удельное сопротивление грунта, Ом·м]]))</f>
        <v/>
      </c>
      <c r="AW631" s="51"/>
      <c r="AX631" s="52"/>
      <c r="AY631" s="50"/>
      <c r="AZ631" s="61" t="str">
        <f t="shared" si="84"/>
        <v/>
      </c>
      <c r="BA631" s="61" t="str">
        <f>IFERROR(IF(AX631-AX630&lt;=0,"",AZ631/SQRT(Таблица_pr8[[#This Row],[Удельное сопротивление грунта, Ом·м]])),AZ631/SQRT(Таблица_pr8[[#This Row],[Удельное сопротивление грунта, Ом·м]]))</f>
        <v/>
      </c>
      <c r="BC631" s="51"/>
      <c r="BD631" s="52"/>
      <c r="BE631" s="50"/>
      <c r="BF631" s="61" t="str">
        <f t="shared" si="80"/>
        <v/>
      </c>
      <c r="BG631" s="61" t="str">
        <f>IFERROR(IF(BD631-AX650&lt;=0,"",BF631/SQRT(Таблица_pr9[[#This Row],[Удельное сопротивление грунта, Ом·м]])),BF631/SQRT(Таблица_pr9[[#This Row],[Удельное сопротивление грунта, Ом·м]]))</f>
        <v/>
      </c>
      <c r="BI631" s="51"/>
      <c r="BJ631" s="52"/>
      <c r="BK631" s="50"/>
      <c r="BL631" s="61" t="str">
        <f t="shared" si="85"/>
        <v/>
      </c>
      <c r="BM631" s="61" t="str">
        <f>IFERROR(IF(BJ631-BD660&lt;=0,"",BL631/SQRT(Таблица_pr10[[#This Row],[Удельное сопротивление грунта, Ом·м]])),BL631/SQRT(Таблица_pr10[[#This Row],[Удельное сопротивление грунта, Ом·м]]))</f>
        <v/>
      </c>
    </row>
    <row r="632" spans="1:65">
      <c r="A632" s="53"/>
      <c r="B632" s="52"/>
      <c r="C632" s="50"/>
      <c r="D632" s="61" t="str">
        <f t="shared" si="75"/>
        <v/>
      </c>
      <c r="E632" s="61" t="str">
        <f>IFERROR(IF(B632-B631&lt;=0,"",D632/SQRT(Таблица_pr[[#This Row],[Удельное сопротивление грунта, Ом·м]])),D632/SQRT(Таблица_pr[[#This Row],[Удельное сопротивление грунта, Ом·м]]))</f>
        <v/>
      </c>
      <c r="G632" s="188"/>
      <c r="H632" s="184"/>
      <c r="I632" s="182"/>
      <c r="J632" s="181" t="str">
        <f t="shared" si="76"/>
        <v/>
      </c>
      <c r="K632" s="61" t="str">
        <f>IFERROR(IF(H632-H631&lt;=0,"",J632/SQRT(Таблица_pr1[[#This Row],[Удельное сопротивление грунта, Ом·м]])),J632/SQRT(Таблица_pr1[[#This Row],[Удельное сопротивление грунта, Ом·м]]))</f>
        <v/>
      </c>
      <c r="M632" s="53"/>
      <c r="N632" s="52"/>
      <c r="O632" s="50"/>
      <c r="P632" s="61" t="str">
        <f t="shared" si="81"/>
        <v/>
      </c>
      <c r="Q632" s="61" t="str">
        <f>IFERROR(IF(N632-N631&lt;=0,"",P632/SQRT(Таблица_pr2[[#This Row],[Удельное сопротивление грунта, Ом·м]])),P632/SQRT(Таблица_pr2[[#This Row],[Удельное сопротивление грунта, Ом·м]]))</f>
        <v/>
      </c>
      <c r="S632" s="53"/>
      <c r="T632" s="52"/>
      <c r="U632" s="50"/>
      <c r="V632" s="61" t="str">
        <f t="shared" si="77"/>
        <v/>
      </c>
      <c r="W632" s="61" t="str">
        <f>IFERROR(IF(T632-T631&lt;=0,"",V632/SQRT(Таблица_pr3[[#This Row],[Удельное сопротивление грунта, Ом·м]])),V632/SQRT(Таблица_pr3[[#This Row],[Удельное сопротивление грунта, Ом·м]]))</f>
        <v/>
      </c>
      <c r="Y632" s="53"/>
      <c r="Z632" s="52"/>
      <c r="AA632" s="50"/>
      <c r="AB632" s="61" t="str">
        <f t="shared" si="82"/>
        <v/>
      </c>
      <c r="AC632" s="61" t="str">
        <f>IFERROR(IF(Z632-Z631&lt;=0,"",AB632/SQRT(Таблица_pr4[[#This Row],[Удельное сопротивление грунта, Ом·м]])),AB632/SQRT(Таблица_pr4[[#This Row],[Удельное сопротивление грунта, Ом·м]]))</f>
        <v/>
      </c>
      <c r="AE632" s="53"/>
      <c r="AF632" s="52"/>
      <c r="AG632" s="50"/>
      <c r="AH632" s="61" t="str">
        <f t="shared" si="78"/>
        <v/>
      </c>
      <c r="AI632" s="61" t="str">
        <f>IFERROR(IF(AF632-AF631&lt;=0,"",AH632/SQRT(Таблица_pr5[[#This Row],[Удельное сопротивление грунта, Ом·м]])),AH632/SQRT(Таблица_pr5[[#This Row],[Удельное сопротивление грунта, Ом·м]]))</f>
        <v/>
      </c>
      <c r="AK632" s="53"/>
      <c r="AL632" s="52"/>
      <c r="AM632" s="50"/>
      <c r="AN632" s="61" t="str">
        <f t="shared" si="83"/>
        <v/>
      </c>
      <c r="AO632" s="61" t="str">
        <f>IFERROR(IF(AL632-AL631&lt;=0,"",AN632/SQRT(Таблица_pr6[[#This Row],[Удельное сопротивление грунта, Ом·м]])),AN632/SQRT(Таблица_pr6[[#This Row],[Удельное сопротивление грунта, Ом·м]]))</f>
        <v/>
      </c>
      <c r="AQ632" s="53"/>
      <c r="AR632" s="52"/>
      <c r="AS632" s="50"/>
      <c r="AT632" s="61" t="str">
        <f t="shared" si="79"/>
        <v/>
      </c>
      <c r="AU632" s="61" t="str">
        <f>IFERROR(IF(AR632-AR631&lt;=0,"",AT632/SQRT(Таблица_pr7[[#This Row],[Удельное сопротивление грунта, Ом·м]])),AT632/SQRT(Таблица_pr7[[#This Row],[Удельное сопротивление грунта, Ом·м]]))</f>
        <v/>
      </c>
      <c r="AW632" s="53"/>
      <c r="AX632" s="52"/>
      <c r="AY632" s="50"/>
      <c r="AZ632" s="61" t="str">
        <f t="shared" si="84"/>
        <v/>
      </c>
      <c r="BA632" s="61" t="str">
        <f>IFERROR(IF(AX632-AX631&lt;=0,"",AZ632/SQRT(Таблица_pr8[[#This Row],[Удельное сопротивление грунта, Ом·м]])),AZ632/SQRT(Таблица_pr8[[#This Row],[Удельное сопротивление грунта, Ом·м]]))</f>
        <v/>
      </c>
      <c r="BC632" s="53"/>
      <c r="BD632" s="52"/>
      <c r="BE632" s="50"/>
      <c r="BF632" s="61" t="str">
        <f t="shared" si="80"/>
        <v/>
      </c>
      <c r="BG632" s="61" t="str">
        <f>IFERROR(IF(BD632-AX651&lt;=0,"",BF632/SQRT(Таблица_pr9[[#This Row],[Удельное сопротивление грунта, Ом·м]])),BF632/SQRT(Таблица_pr9[[#This Row],[Удельное сопротивление грунта, Ом·м]]))</f>
        <v/>
      </c>
      <c r="BI632" s="53"/>
      <c r="BJ632" s="52"/>
      <c r="BK632" s="50"/>
      <c r="BL632" s="61" t="str">
        <f t="shared" si="85"/>
        <v/>
      </c>
      <c r="BM632" s="61" t="str">
        <f>IFERROR(IF(BJ632-BD661&lt;=0,"",BL632/SQRT(Таблица_pr10[[#This Row],[Удельное сопротивление грунта, Ом·м]])),BL632/SQRT(Таблица_pr10[[#This Row],[Удельное сопротивление грунта, Ом·м]]))</f>
        <v/>
      </c>
    </row>
    <row r="633" spans="1:65">
      <c r="A633" s="51"/>
      <c r="B633" s="52"/>
      <c r="C633" s="50"/>
      <c r="D633" s="61" t="str">
        <f t="shared" si="75"/>
        <v/>
      </c>
      <c r="E633" s="61" t="str">
        <f>IFERROR(IF(B633-B632&lt;=0,"",D633/SQRT(Таблица_pr[[#This Row],[Удельное сопротивление грунта, Ом·м]])),D633/SQRT(Таблица_pr[[#This Row],[Удельное сопротивление грунта, Ом·м]]))</f>
        <v/>
      </c>
      <c r="G633" s="189"/>
      <c r="H633" s="185"/>
      <c r="I633" s="183"/>
      <c r="J633" s="180" t="str">
        <f t="shared" si="76"/>
        <v/>
      </c>
      <c r="K633" s="61" t="str">
        <f>IFERROR(IF(H633-H632&lt;=0,"",J633/SQRT(Таблица_pr1[[#This Row],[Удельное сопротивление грунта, Ом·м]])),J633/SQRT(Таблица_pr1[[#This Row],[Удельное сопротивление грунта, Ом·м]]))</f>
        <v/>
      </c>
      <c r="M633" s="51"/>
      <c r="N633" s="52"/>
      <c r="O633" s="50"/>
      <c r="P633" s="61" t="str">
        <f t="shared" si="81"/>
        <v/>
      </c>
      <c r="Q633" s="61" t="str">
        <f>IFERROR(IF(N633-N632&lt;=0,"",P633/SQRT(Таблица_pr2[[#This Row],[Удельное сопротивление грунта, Ом·м]])),P633/SQRT(Таблица_pr2[[#This Row],[Удельное сопротивление грунта, Ом·м]]))</f>
        <v/>
      </c>
      <c r="S633" s="51"/>
      <c r="T633" s="52"/>
      <c r="U633" s="50"/>
      <c r="V633" s="61" t="str">
        <f t="shared" si="77"/>
        <v/>
      </c>
      <c r="W633" s="61" t="str">
        <f>IFERROR(IF(T633-T632&lt;=0,"",V633/SQRT(Таблица_pr3[[#This Row],[Удельное сопротивление грунта, Ом·м]])),V633/SQRT(Таблица_pr3[[#This Row],[Удельное сопротивление грунта, Ом·м]]))</f>
        <v/>
      </c>
      <c r="Y633" s="51"/>
      <c r="Z633" s="52"/>
      <c r="AA633" s="50"/>
      <c r="AB633" s="61" t="str">
        <f t="shared" si="82"/>
        <v/>
      </c>
      <c r="AC633" s="61" t="str">
        <f>IFERROR(IF(Z633-Z632&lt;=0,"",AB633/SQRT(Таблица_pr4[[#This Row],[Удельное сопротивление грунта, Ом·м]])),AB633/SQRT(Таблица_pr4[[#This Row],[Удельное сопротивление грунта, Ом·м]]))</f>
        <v/>
      </c>
      <c r="AE633" s="51"/>
      <c r="AF633" s="52"/>
      <c r="AG633" s="50"/>
      <c r="AH633" s="61" t="str">
        <f t="shared" si="78"/>
        <v/>
      </c>
      <c r="AI633" s="61" t="str">
        <f>IFERROR(IF(AF633-AF632&lt;=0,"",AH633/SQRT(Таблица_pr5[[#This Row],[Удельное сопротивление грунта, Ом·м]])),AH633/SQRT(Таблица_pr5[[#This Row],[Удельное сопротивление грунта, Ом·м]]))</f>
        <v/>
      </c>
      <c r="AK633" s="51"/>
      <c r="AL633" s="52"/>
      <c r="AM633" s="50"/>
      <c r="AN633" s="61" t="str">
        <f t="shared" si="83"/>
        <v/>
      </c>
      <c r="AO633" s="61" t="str">
        <f>IFERROR(IF(AL633-AL632&lt;=0,"",AN633/SQRT(Таблица_pr6[[#This Row],[Удельное сопротивление грунта, Ом·м]])),AN633/SQRT(Таблица_pr6[[#This Row],[Удельное сопротивление грунта, Ом·м]]))</f>
        <v/>
      </c>
      <c r="AQ633" s="51"/>
      <c r="AR633" s="52"/>
      <c r="AS633" s="50"/>
      <c r="AT633" s="61" t="str">
        <f t="shared" si="79"/>
        <v/>
      </c>
      <c r="AU633" s="61" t="str">
        <f>IFERROR(IF(AR633-AR632&lt;=0,"",AT633/SQRT(Таблица_pr7[[#This Row],[Удельное сопротивление грунта, Ом·м]])),AT633/SQRT(Таблица_pr7[[#This Row],[Удельное сопротивление грунта, Ом·м]]))</f>
        <v/>
      </c>
      <c r="AW633" s="51"/>
      <c r="AX633" s="52"/>
      <c r="AY633" s="50"/>
      <c r="AZ633" s="61" t="str">
        <f t="shared" si="84"/>
        <v/>
      </c>
      <c r="BA633" s="61" t="str">
        <f>IFERROR(IF(AX633-AX632&lt;=0,"",AZ633/SQRT(Таблица_pr8[[#This Row],[Удельное сопротивление грунта, Ом·м]])),AZ633/SQRT(Таблица_pr8[[#This Row],[Удельное сопротивление грунта, Ом·м]]))</f>
        <v/>
      </c>
      <c r="BC633" s="51"/>
      <c r="BD633" s="52"/>
      <c r="BE633" s="50"/>
      <c r="BF633" s="61" t="str">
        <f t="shared" si="80"/>
        <v/>
      </c>
      <c r="BG633" s="61" t="str">
        <f>IFERROR(IF(BD633-AX652&lt;=0,"",BF633/SQRT(Таблица_pr9[[#This Row],[Удельное сопротивление грунта, Ом·м]])),BF633/SQRT(Таблица_pr9[[#This Row],[Удельное сопротивление грунта, Ом·м]]))</f>
        <v/>
      </c>
      <c r="BI633" s="51"/>
      <c r="BJ633" s="52"/>
      <c r="BK633" s="50"/>
      <c r="BL633" s="61" t="str">
        <f t="shared" si="85"/>
        <v/>
      </c>
      <c r="BM633" s="61" t="str">
        <f>IFERROR(IF(BJ633-BD662&lt;=0,"",BL633/SQRT(Таблица_pr10[[#This Row],[Удельное сопротивление грунта, Ом·м]])),BL633/SQRT(Таблица_pr10[[#This Row],[Удельное сопротивление грунта, Ом·м]]))</f>
        <v/>
      </c>
    </row>
    <row r="634" spans="1:65">
      <c r="A634" s="53"/>
      <c r="B634" s="52"/>
      <c r="C634" s="50"/>
      <c r="D634" s="61" t="str">
        <f t="shared" si="75"/>
        <v/>
      </c>
      <c r="E634" s="61" t="str">
        <f>IFERROR(IF(B634-B633&lt;=0,"",D634/SQRT(Таблица_pr[[#This Row],[Удельное сопротивление грунта, Ом·м]])),D634/SQRT(Таблица_pr[[#This Row],[Удельное сопротивление грунта, Ом·м]]))</f>
        <v/>
      </c>
      <c r="G634" s="188"/>
      <c r="H634" s="184"/>
      <c r="I634" s="182"/>
      <c r="J634" s="181" t="str">
        <f t="shared" si="76"/>
        <v/>
      </c>
      <c r="K634" s="61" t="str">
        <f>IFERROR(IF(H634-H633&lt;=0,"",J634/SQRT(Таблица_pr1[[#This Row],[Удельное сопротивление грунта, Ом·м]])),J634/SQRT(Таблица_pr1[[#This Row],[Удельное сопротивление грунта, Ом·м]]))</f>
        <v/>
      </c>
      <c r="M634" s="53"/>
      <c r="N634" s="52"/>
      <c r="O634" s="50"/>
      <c r="P634" s="61" t="str">
        <f t="shared" si="81"/>
        <v/>
      </c>
      <c r="Q634" s="61" t="str">
        <f>IFERROR(IF(N634-N633&lt;=0,"",P634/SQRT(Таблица_pr2[[#This Row],[Удельное сопротивление грунта, Ом·м]])),P634/SQRT(Таблица_pr2[[#This Row],[Удельное сопротивление грунта, Ом·м]]))</f>
        <v/>
      </c>
      <c r="S634" s="53"/>
      <c r="T634" s="52"/>
      <c r="U634" s="50"/>
      <c r="V634" s="61" t="str">
        <f t="shared" si="77"/>
        <v/>
      </c>
      <c r="W634" s="61" t="str">
        <f>IFERROR(IF(T634-T633&lt;=0,"",V634/SQRT(Таблица_pr3[[#This Row],[Удельное сопротивление грунта, Ом·м]])),V634/SQRT(Таблица_pr3[[#This Row],[Удельное сопротивление грунта, Ом·м]]))</f>
        <v/>
      </c>
      <c r="Y634" s="53"/>
      <c r="Z634" s="52"/>
      <c r="AA634" s="50"/>
      <c r="AB634" s="61" t="str">
        <f t="shared" si="82"/>
        <v/>
      </c>
      <c r="AC634" s="61" t="str">
        <f>IFERROR(IF(Z634-Z633&lt;=0,"",AB634/SQRT(Таблица_pr4[[#This Row],[Удельное сопротивление грунта, Ом·м]])),AB634/SQRT(Таблица_pr4[[#This Row],[Удельное сопротивление грунта, Ом·м]]))</f>
        <v/>
      </c>
      <c r="AE634" s="53"/>
      <c r="AF634" s="52"/>
      <c r="AG634" s="50"/>
      <c r="AH634" s="61" t="str">
        <f t="shared" si="78"/>
        <v/>
      </c>
      <c r="AI634" s="61" t="str">
        <f>IFERROR(IF(AF634-AF633&lt;=0,"",AH634/SQRT(Таблица_pr5[[#This Row],[Удельное сопротивление грунта, Ом·м]])),AH634/SQRT(Таблица_pr5[[#This Row],[Удельное сопротивление грунта, Ом·м]]))</f>
        <v/>
      </c>
      <c r="AK634" s="53"/>
      <c r="AL634" s="52"/>
      <c r="AM634" s="50"/>
      <c r="AN634" s="61" t="str">
        <f t="shared" si="83"/>
        <v/>
      </c>
      <c r="AO634" s="61" t="str">
        <f>IFERROR(IF(AL634-AL633&lt;=0,"",AN634/SQRT(Таблица_pr6[[#This Row],[Удельное сопротивление грунта, Ом·м]])),AN634/SQRT(Таблица_pr6[[#This Row],[Удельное сопротивление грунта, Ом·м]]))</f>
        <v/>
      </c>
      <c r="AQ634" s="53"/>
      <c r="AR634" s="52"/>
      <c r="AS634" s="50"/>
      <c r="AT634" s="61" t="str">
        <f t="shared" si="79"/>
        <v/>
      </c>
      <c r="AU634" s="61" t="str">
        <f>IFERROR(IF(AR634-AR633&lt;=0,"",AT634/SQRT(Таблица_pr7[[#This Row],[Удельное сопротивление грунта, Ом·м]])),AT634/SQRT(Таблица_pr7[[#This Row],[Удельное сопротивление грунта, Ом·м]]))</f>
        <v/>
      </c>
      <c r="AW634" s="53"/>
      <c r="AX634" s="52"/>
      <c r="AY634" s="50"/>
      <c r="AZ634" s="61" t="str">
        <f t="shared" si="84"/>
        <v/>
      </c>
      <c r="BA634" s="61" t="str">
        <f>IFERROR(IF(AX634-AX633&lt;=0,"",AZ634/SQRT(Таблица_pr8[[#This Row],[Удельное сопротивление грунта, Ом·м]])),AZ634/SQRT(Таблица_pr8[[#This Row],[Удельное сопротивление грунта, Ом·м]]))</f>
        <v/>
      </c>
      <c r="BC634" s="53"/>
      <c r="BD634" s="52"/>
      <c r="BE634" s="50"/>
      <c r="BF634" s="61" t="str">
        <f t="shared" si="80"/>
        <v/>
      </c>
      <c r="BG634" s="61" t="str">
        <f>IFERROR(IF(BD634-AX653&lt;=0,"",BF634/SQRT(Таблица_pr9[[#This Row],[Удельное сопротивление грунта, Ом·м]])),BF634/SQRT(Таблица_pr9[[#This Row],[Удельное сопротивление грунта, Ом·м]]))</f>
        <v/>
      </c>
      <c r="BI634" s="53"/>
      <c r="BJ634" s="52"/>
      <c r="BK634" s="50"/>
      <c r="BL634" s="61" t="str">
        <f t="shared" si="85"/>
        <v/>
      </c>
      <c r="BM634" s="61" t="str">
        <f>IFERROR(IF(BJ634-BD663&lt;=0,"",BL634/SQRT(Таблица_pr10[[#This Row],[Удельное сопротивление грунта, Ом·м]])),BL634/SQRT(Таблица_pr10[[#This Row],[Удельное сопротивление грунта, Ом·м]]))</f>
        <v/>
      </c>
    </row>
    <row r="635" spans="1:65">
      <c r="A635" s="51"/>
      <c r="B635" s="52"/>
      <c r="C635" s="50"/>
      <c r="D635" s="61" t="str">
        <f t="shared" si="75"/>
        <v/>
      </c>
      <c r="E635" s="61" t="str">
        <f>IFERROR(IF(B635-B634&lt;=0,"",D635/SQRT(Таблица_pr[[#This Row],[Удельное сопротивление грунта, Ом·м]])),D635/SQRT(Таблица_pr[[#This Row],[Удельное сопротивление грунта, Ом·м]]))</f>
        <v/>
      </c>
      <c r="G635" s="189"/>
      <c r="H635" s="185"/>
      <c r="I635" s="183"/>
      <c r="J635" s="180" t="str">
        <f t="shared" si="76"/>
        <v/>
      </c>
      <c r="K635" s="61" t="str">
        <f>IFERROR(IF(H635-H634&lt;=0,"",J635/SQRT(Таблица_pr1[[#This Row],[Удельное сопротивление грунта, Ом·м]])),J635/SQRT(Таблица_pr1[[#This Row],[Удельное сопротивление грунта, Ом·м]]))</f>
        <v/>
      </c>
      <c r="M635" s="51"/>
      <c r="N635" s="52"/>
      <c r="O635" s="50"/>
      <c r="P635" s="61" t="str">
        <f t="shared" si="81"/>
        <v/>
      </c>
      <c r="Q635" s="61" t="str">
        <f>IFERROR(IF(N635-N634&lt;=0,"",P635/SQRT(Таблица_pr2[[#This Row],[Удельное сопротивление грунта, Ом·м]])),P635/SQRT(Таблица_pr2[[#This Row],[Удельное сопротивление грунта, Ом·м]]))</f>
        <v/>
      </c>
      <c r="S635" s="51"/>
      <c r="T635" s="52"/>
      <c r="U635" s="50"/>
      <c r="V635" s="61" t="str">
        <f t="shared" si="77"/>
        <v/>
      </c>
      <c r="W635" s="61" t="str">
        <f>IFERROR(IF(T635-T634&lt;=0,"",V635/SQRT(Таблица_pr3[[#This Row],[Удельное сопротивление грунта, Ом·м]])),V635/SQRT(Таблица_pr3[[#This Row],[Удельное сопротивление грунта, Ом·м]]))</f>
        <v/>
      </c>
      <c r="Y635" s="51"/>
      <c r="Z635" s="52"/>
      <c r="AA635" s="50"/>
      <c r="AB635" s="61" t="str">
        <f t="shared" si="82"/>
        <v/>
      </c>
      <c r="AC635" s="61" t="str">
        <f>IFERROR(IF(Z635-Z634&lt;=0,"",AB635/SQRT(Таблица_pr4[[#This Row],[Удельное сопротивление грунта, Ом·м]])),AB635/SQRT(Таблица_pr4[[#This Row],[Удельное сопротивление грунта, Ом·м]]))</f>
        <v/>
      </c>
      <c r="AE635" s="51"/>
      <c r="AF635" s="52"/>
      <c r="AG635" s="50"/>
      <c r="AH635" s="61" t="str">
        <f t="shared" si="78"/>
        <v/>
      </c>
      <c r="AI635" s="61" t="str">
        <f>IFERROR(IF(AF635-AF634&lt;=0,"",AH635/SQRT(Таблица_pr5[[#This Row],[Удельное сопротивление грунта, Ом·м]])),AH635/SQRT(Таблица_pr5[[#This Row],[Удельное сопротивление грунта, Ом·м]]))</f>
        <v/>
      </c>
      <c r="AK635" s="51"/>
      <c r="AL635" s="52"/>
      <c r="AM635" s="50"/>
      <c r="AN635" s="61" t="str">
        <f t="shared" si="83"/>
        <v/>
      </c>
      <c r="AO635" s="61" t="str">
        <f>IFERROR(IF(AL635-AL634&lt;=0,"",AN635/SQRT(Таблица_pr6[[#This Row],[Удельное сопротивление грунта, Ом·м]])),AN635/SQRT(Таблица_pr6[[#This Row],[Удельное сопротивление грунта, Ом·м]]))</f>
        <v/>
      </c>
      <c r="AQ635" s="51"/>
      <c r="AR635" s="52"/>
      <c r="AS635" s="50"/>
      <c r="AT635" s="61" t="str">
        <f t="shared" si="79"/>
        <v/>
      </c>
      <c r="AU635" s="61" t="str">
        <f>IFERROR(IF(AR635-AR634&lt;=0,"",AT635/SQRT(Таблица_pr7[[#This Row],[Удельное сопротивление грунта, Ом·м]])),AT635/SQRT(Таблица_pr7[[#This Row],[Удельное сопротивление грунта, Ом·м]]))</f>
        <v/>
      </c>
      <c r="AW635" s="51"/>
      <c r="AX635" s="52"/>
      <c r="AY635" s="50"/>
      <c r="AZ635" s="61" t="str">
        <f t="shared" si="84"/>
        <v/>
      </c>
      <c r="BA635" s="61" t="str">
        <f>IFERROR(IF(AX635-AX634&lt;=0,"",AZ635/SQRT(Таблица_pr8[[#This Row],[Удельное сопротивление грунта, Ом·м]])),AZ635/SQRT(Таблица_pr8[[#This Row],[Удельное сопротивление грунта, Ом·м]]))</f>
        <v/>
      </c>
      <c r="BC635" s="51"/>
      <c r="BD635" s="52"/>
      <c r="BE635" s="50"/>
      <c r="BF635" s="61" t="str">
        <f t="shared" si="80"/>
        <v/>
      </c>
      <c r="BG635" s="61" t="str">
        <f>IFERROR(IF(BD635-AX654&lt;=0,"",BF635/SQRT(Таблица_pr9[[#This Row],[Удельное сопротивление грунта, Ом·м]])),BF635/SQRT(Таблица_pr9[[#This Row],[Удельное сопротивление грунта, Ом·м]]))</f>
        <v/>
      </c>
      <c r="BI635" s="51"/>
      <c r="BJ635" s="52"/>
      <c r="BK635" s="50"/>
      <c r="BL635" s="61" t="str">
        <f t="shared" si="85"/>
        <v/>
      </c>
      <c r="BM635" s="61" t="str">
        <f>IFERROR(IF(BJ635-BD664&lt;=0,"",BL635/SQRT(Таблица_pr10[[#This Row],[Удельное сопротивление грунта, Ом·м]])),BL635/SQRT(Таблица_pr10[[#This Row],[Удельное сопротивление грунта, Ом·м]]))</f>
        <v/>
      </c>
    </row>
    <row r="636" spans="1:65">
      <c r="A636" s="53"/>
      <c r="B636" s="52"/>
      <c r="C636" s="50"/>
      <c r="D636" s="61" t="str">
        <f t="shared" si="75"/>
        <v/>
      </c>
      <c r="E636" s="61" t="str">
        <f>IFERROR(IF(B636-B635&lt;=0,"",D636/SQRT(Таблица_pr[[#This Row],[Удельное сопротивление грунта, Ом·м]])),D636/SQRT(Таблица_pr[[#This Row],[Удельное сопротивление грунта, Ом·м]]))</f>
        <v/>
      </c>
      <c r="G636" s="188"/>
      <c r="H636" s="184"/>
      <c r="I636" s="182"/>
      <c r="J636" s="181" t="str">
        <f t="shared" si="76"/>
        <v/>
      </c>
      <c r="K636" s="61" t="str">
        <f>IFERROR(IF(H636-H635&lt;=0,"",J636/SQRT(Таблица_pr1[[#This Row],[Удельное сопротивление грунта, Ом·м]])),J636/SQRT(Таблица_pr1[[#This Row],[Удельное сопротивление грунта, Ом·м]]))</f>
        <v/>
      </c>
      <c r="M636" s="53"/>
      <c r="N636" s="52"/>
      <c r="O636" s="50"/>
      <c r="P636" s="61" t="str">
        <f t="shared" si="81"/>
        <v/>
      </c>
      <c r="Q636" s="61" t="str">
        <f>IFERROR(IF(N636-N635&lt;=0,"",P636/SQRT(Таблица_pr2[[#This Row],[Удельное сопротивление грунта, Ом·м]])),P636/SQRT(Таблица_pr2[[#This Row],[Удельное сопротивление грунта, Ом·м]]))</f>
        <v/>
      </c>
      <c r="S636" s="53"/>
      <c r="T636" s="52"/>
      <c r="U636" s="50"/>
      <c r="V636" s="61" t="str">
        <f t="shared" si="77"/>
        <v/>
      </c>
      <c r="W636" s="61" t="str">
        <f>IFERROR(IF(T636-T635&lt;=0,"",V636/SQRT(Таблица_pr3[[#This Row],[Удельное сопротивление грунта, Ом·м]])),V636/SQRT(Таблица_pr3[[#This Row],[Удельное сопротивление грунта, Ом·м]]))</f>
        <v/>
      </c>
      <c r="Y636" s="53"/>
      <c r="Z636" s="52"/>
      <c r="AA636" s="50"/>
      <c r="AB636" s="61" t="str">
        <f t="shared" si="82"/>
        <v/>
      </c>
      <c r="AC636" s="61" t="str">
        <f>IFERROR(IF(Z636-Z635&lt;=0,"",AB636/SQRT(Таблица_pr4[[#This Row],[Удельное сопротивление грунта, Ом·м]])),AB636/SQRT(Таблица_pr4[[#This Row],[Удельное сопротивление грунта, Ом·м]]))</f>
        <v/>
      </c>
      <c r="AE636" s="53"/>
      <c r="AF636" s="52"/>
      <c r="AG636" s="50"/>
      <c r="AH636" s="61" t="str">
        <f t="shared" si="78"/>
        <v/>
      </c>
      <c r="AI636" s="61" t="str">
        <f>IFERROR(IF(AF636-AF635&lt;=0,"",AH636/SQRT(Таблица_pr5[[#This Row],[Удельное сопротивление грунта, Ом·м]])),AH636/SQRT(Таблица_pr5[[#This Row],[Удельное сопротивление грунта, Ом·м]]))</f>
        <v/>
      </c>
      <c r="AK636" s="53"/>
      <c r="AL636" s="52"/>
      <c r="AM636" s="50"/>
      <c r="AN636" s="61" t="str">
        <f t="shared" si="83"/>
        <v/>
      </c>
      <c r="AO636" s="61" t="str">
        <f>IFERROR(IF(AL636-AL635&lt;=0,"",AN636/SQRT(Таблица_pr6[[#This Row],[Удельное сопротивление грунта, Ом·м]])),AN636/SQRT(Таблица_pr6[[#This Row],[Удельное сопротивление грунта, Ом·м]]))</f>
        <v/>
      </c>
      <c r="AQ636" s="53"/>
      <c r="AR636" s="52"/>
      <c r="AS636" s="50"/>
      <c r="AT636" s="61" t="str">
        <f t="shared" si="79"/>
        <v/>
      </c>
      <c r="AU636" s="61" t="str">
        <f>IFERROR(IF(AR636-AR635&lt;=0,"",AT636/SQRT(Таблица_pr7[[#This Row],[Удельное сопротивление грунта, Ом·м]])),AT636/SQRT(Таблица_pr7[[#This Row],[Удельное сопротивление грунта, Ом·м]]))</f>
        <v/>
      </c>
      <c r="AW636" s="53"/>
      <c r="AX636" s="52"/>
      <c r="AY636" s="50"/>
      <c r="AZ636" s="61" t="str">
        <f t="shared" si="84"/>
        <v/>
      </c>
      <c r="BA636" s="61" t="str">
        <f>IFERROR(IF(AX636-AX635&lt;=0,"",AZ636/SQRT(Таблица_pr8[[#This Row],[Удельное сопротивление грунта, Ом·м]])),AZ636/SQRT(Таблица_pr8[[#This Row],[Удельное сопротивление грунта, Ом·м]]))</f>
        <v/>
      </c>
      <c r="BC636" s="53"/>
      <c r="BD636" s="52"/>
      <c r="BE636" s="50"/>
      <c r="BF636" s="61" t="str">
        <f t="shared" si="80"/>
        <v/>
      </c>
      <c r="BG636" s="61" t="str">
        <f>IFERROR(IF(BD636-AX655&lt;=0,"",BF636/SQRT(Таблица_pr9[[#This Row],[Удельное сопротивление грунта, Ом·м]])),BF636/SQRT(Таблица_pr9[[#This Row],[Удельное сопротивление грунта, Ом·м]]))</f>
        <v/>
      </c>
      <c r="BI636" s="53"/>
      <c r="BJ636" s="52"/>
      <c r="BK636" s="50"/>
      <c r="BL636" s="61" t="str">
        <f t="shared" si="85"/>
        <v/>
      </c>
      <c r="BM636" s="61" t="str">
        <f>IFERROR(IF(BJ636-BD665&lt;=0,"",BL636/SQRT(Таблица_pr10[[#This Row],[Удельное сопротивление грунта, Ом·м]])),BL636/SQRT(Таблица_pr10[[#This Row],[Удельное сопротивление грунта, Ом·м]]))</f>
        <v/>
      </c>
    </row>
    <row r="637" spans="1:65">
      <c r="A637" s="51"/>
      <c r="B637" s="52"/>
      <c r="C637" s="50"/>
      <c r="D637" s="61" t="str">
        <f t="shared" si="75"/>
        <v/>
      </c>
      <c r="E637" s="61" t="str">
        <f>IFERROR(IF(B637-B636&lt;=0,"",D637/SQRT(Таблица_pr[[#This Row],[Удельное сопротивление грунта, Ом·м]])),D637/SQRT(Таблица_pr[[#This Row],[Удельное сопротивление грунта, Ом·м]]))</f>
        <v/>
      </c>
      <c r="G637" s="189"/>
      <c r="H637" s="185"/>
      <c r="I637" s="183"/>
      <c r="J637" s="180" t="str">
        <f t="shared" si="76"/>
        <v/>
      </c>
      <c r="K637" s="61" t="str">
        <f>IFERROR(IF(H637-H636&lt;=0,"",J637/SQRT(Таблица_pr1[[#This Row],[Удельное сопротивление грунта, Ом·м]])),J637/SQRT(Таблица_pr1[[#This Row],[Удельное сопротивление грунта, Ом·м]]))</f>
        <v/>
      </c>
      <c r="M637" s="51"/>
      <c r="N637" s="52"/>
      <c r="O637" s="50"/>
      <c r="P637" s="61" t="str">
        <f t="shared" si="81"/>
        <v/>
      </c>
      <c r="Q637" s="61" t="str">
        <f>IFERROR(IF(N637-N636&lt;=0,"",P637/SQRT(Таблица_pr2[[#This Row],[Удельное сопротивление грунта, Ом·м]])),P637/SQRT(Таблица_pr2[[#This Row],[Удельное сопротивление грунта, Ом·м]]))</f>
        <v/>
      </c>
      <c r="S637" s="51"/>
      <c r="T637" s="52"/>
      <c r="U637" s="50"/>
      <c r="V637" s="61" t="str">
        <f t="shared" si="77"/>
        <v/>
      </c>
      <c r="W637" s="61" t="str">
        <f>IFERROR(IF(T637-T636&lt;=0,"",V637/SQRT(Таблица_pr3[[#This Row],[Удельное сопротивление грунта, Ом·м]])),V637/SQRT(Таблица_pr3[[#This Row],[Удельное сопротивление грунта, Ом·м]]))</f>
        <v/>
      </c>
      <c r="Y637" s="51"/>
      <c r="Z637" s="52"/>
      <c r="AA637" s="50"/>
      <c r="AB637" s="61" t="str">
        <f t="shared" si="82"/>
        <v/>
      </c>
      <c r="AC637" s="61" t="str">
        <f>IFERROR(IF(Z637-Z636&lt;=0,"",AB637/SQRT(Таблица_pr4[[#This Row],[Удельное сопротивление грунта, Ом·м]])),AB637/SQRT(Таблица_pr4[[#This Row],[Удельное сопротивление грунта, Ом·м]]))</f>
        <v/>
      </c>
      <c r="AE637" s="51"/>
      <c r="AF637" s="52"/>
      <c r="AG637" s="50"/>
      <c r="AH637" s="61" t="str">
        <f t="shared" si="78"/>
        <v/>
      </c>
      <c r="AI637" s="61" t="str">
        <f>IFERROR(IF(AF637-AF636&lt;=0,"",AH637/SQRT(Таблица_pr5[[#This Row],[Удельное сопротивление грунта, Ом·м]])),AH637/SQRT(Таблица_pr5[[#This Row],[Удельное сопротивление грунта, Ом·м]]))</f>
        <v/>
      </c>
      <c r="AK637" s="51"/>
      <c r="AL637" s="52"/>
      <c r="AM637" s="50"/>
      <c r="AN637" s="61" t="str">
        <f t="shared" si="83"/>
        <v/>
      </c>
      <c r="AO637" s="61" t="str">
        <f>IFERROR(IF(AL637-AL636&lt;=0,"",AN637/SQRT(Таблица_pr6[[#This Row],[Удельное сопротивление грунта, Ом·м]])),AN637/SQRT(Таблица_pr6[[#This Row],[Удельное сопротивление грунта, Ом·м]]))</f>
        <v/>
      </c>
      <c r="AQ637" s="51"/>
      <c r="AR637" s="52"/>
      <c r="AS637" s="50"/>
      <c r="AT637" s="61" t="str">
        <f t="shared" si="79"/>
        <v/>
      </c>
      <c r="AU637" s="61" t="str">
        <f>IFERROR(IF(AR637-AR636&lt;=0,"",AT637/SQRT(Таблица_pr7[[#This Row],[Удельное сопротивление грунта, Ом·м]])),AT637/SQRT(Таблица_pr7[[#This Row],[Удельное сопротивление грунта, Ом·м]]))</f>
        <v/>
      </c>
      <c r="AW637" s="51"/>
      <c r="AX637" s="52"/>
      <c r="AY637" s="50"/>
      <c r="AZ637" s="61" t="str">
        <f t="shared" si="84"/>
        <v/>
      </c>
      <c r="BA637" s="61" t="str">
        <f>IFERROR(IF(AX637-AX636&lt;=0,"",AZ637/SQRT(Таблица_pr8[[#This Row],[Удельное сопротивление грунта, Ом·м]])),AZ637/SQRT(Таблица_pr8[[#This Row],[Удельное сопротивление грунта, Ом·м]]))</f>
        <v/>
      </c>
      <c r="BC637" s="51"/>
      <c r="BD637" s="52"/>
      <c r="BE637" s="50"/>
      <c r="BF637" s="61" t="str">
        <f t="shared" si="80"/>
        <v/>
      </c>
      <c r="BG637" s="61" t="str">
        <f>IFERROR(IF(BD637-AX656&lt;=0,"",BF637/SQRT(Таблица_pr9[[#This Row],[Удельное сопротивление грунта, Ом·м]])),BF637/SQRT(Таблица_pr9[[#This Row],[Удельное сопротивление грунта, Ом·м]]))</f>
        <v/>
      </c>
      <c r="BI637" s="51"/>
      <c r="BJ637" s="52"/>
      <c r="BK637" s="50"/>
      <c r="BL637" s="61" t="str">
        <f t="shared" si="85"/>
        <v/>
      </c>
      <c r="BM637" s="61" t="str">
        <f>IFERROR(IF(BJ637-BD666&lt;=0,"",BL637/SQRT(Таблица_pr10[[#This Row],[Удельное сопротивление грунта, Ом·м]])),BL637/SQRT(Таблица_pr10[[#This Row],[Удельное сопротивление грунта, Ом·м]]))</f>
        <v/>
      </c>
    </row>
    <row r="638" spans="1:65">
      <c r="A638" s="53"/>
      <c r="B638" s="52"/>
      <c r="C638" s="50"/>
      <c r="D638" s="61" t="str">
        <f t="shared" si="75"/>
        <v/>
      </c>
      <c r="E638" s="61" t="str">
        <f>IFERROR(IF(B638-B637&lt;=0,"",D638/SQRT(Таблица_pr[[#This Row],[Удельное сопротивление грунта, Ом·м]])),D638/SQRT(Таблица_pr[[#This Row],[Удельное сопротивление грунта, Ом·м]]))</f>
        <v/>
      </c>
      <c r="G638" s="188"/>
      <c r="H638" s="184"/>
      <c r="I638" s="182"/>
      <c r="J638" s="181" t="str">
        <f t="shared" si="76"/>
        <v/>
      </c>
      <c r="K638" s="61" t="str">
        <f>IFERROR(IF(H638-H637&lt;=0,"",J638/SQRT(Таблица_pr1[[#This Row],[Удельное сопротивление грунта, Ом·м]])),J638/SQRT(Таблица_pr1[[#This Row],[Удельное сопротивление грунта, Ом·м]]))</f>
        <v/>
      </c>
      <c r="M638" s="53"/>
      <c r="N638" s="52"/>
      <c r="O638" s="50"/>
      <c r="P638" s="61" t="str">
        <f t="shared" si="81"/>
        <v/>
      </c>
      <c r="Q638" s="61" t="str">
        <f>IFERROR(IF(N638-N637&lt;=0,"",P638/SQRT(Таблица_pr2[[#This Row],[Удельное сопротивление грунта, Ом·м]])),P638/SQRT(Таблица_pr2[[#This Row],[Удельное сопротивление грунта, Ом·м]]))</f>
        <v/>
      </c>
      <c r="S638" s="53"/>
      <c r="T638" s="52"/>
      <c r="U638" s="50"/>
      <c r="V638" s="61" t="str">
        <f t="shared" si="77"/>
        <v/>
      </c>
      <c r="W638" s="61" t="str">
        <f>IFERROR(IF(T638-T637&lt;=0,"",V638/SQRT(Таблица_pr3[[#This Row],[Удельное сопротивление грунта, Ом·м]])),V638/SQRT(Таблица_pr3[[#This Row],[Удельное сопротивление грунта, Ом·м]]))</f>
        <v/>
      </c>
      <c r="Y638" s="53"/>
      <c r="Z638" s="52"/>
      <c r="AA638" s="50"/>
      <c r="AB638" s="61" t="str">
        <f t="shared" si="82"/>
        <v/>
      </c>
      <c r="AC638" s="61" t="str">
        <f>IFERROR(IF(Z638-Z637&lt;=0,"",AB638/SQRT(Таблица_pr4[[#This Row],[Удельное сопротивление грунта, Ом·м]])),AB638/SQRT(Таблица_pr4[[#This Row],[Удельное сопротивление грунта, Ом·м]]))</f>
        <v/>
      </c>
      <c r="AE638" s="53"/>
      <c r="AF638" s="52"/>
      <c r="AG638" s="50"/>
      <c r="AH638" s="61" t="str">
        <f t="shared" si="78"/>
        <v/>
      </c>
      <c r="AI638" s="61" t="str">
        <f>IFERROR(IF(AF638-AF637&lt;=0,"",AH638/SQRT(Таблица_pr5[[#This Row],[Удельное сопротивление грунта, Ом·м]])),AH638/SQRT(Таблица_pr5[[#This Row],[Удельное сопротивление грунта, Ом·м]]))</f>
        <v/>
      </c>
      <c r="AK638" s="53"/>
      <c r="AL638" s="52"/>
      <c r="AM638" s="50"/>
      <c r="AN638" s="61" t="str">
        <f t="shared" si="83"/>
        <v/>
      </c>
      <c r="AO638" s="61" t="str">
        <f>IFERROR(IF(AL638-AL637&lt;=0,"",AN638/SQRT(Таблица_pr6[[#This Row],[Удельное сопротивление грунта, Ом·м]])),AN638/SQRT(Таблица_pr6[[#This Row],[Удельное сопротивление грунта, Ом·м]]))</f>
        <v/>
      </c>
      <c r="AQ638" s="53"/>
      <c r="AR638" s="52"/>
      <c r="AS638" s="50"/>
      <c r="AT638" s="61" t="str">
        <f t="shared" si="79"/>
        <v/>
      </c>
      <c r="AU638" s="61" t="str">
        <f>IFERROR(IF(AR638-AR637&lt;=0,"",AT638/SQRT(Таблица_pr7[[#This Row],[Удельное сопротивление грунта, Ом·м]])),AT638/SQRT(Таблица_pr7[[#This Row],[Удельное сопротивление грунта, Ом·м]]))</f>
        <v/>
      </c>
      <c r="AW638" s="53"/>
      <c r="AX638" s="52"/>
      <c r="AY638" s="50"/>
      <c r="AZ638" s="61" t="str">
        <f t="shared" si="84"/>
        <v/>
      </c>
      <c r="BA638" s="61" t="str">
        <f>IFERROR(IF(AX638-AX637&lt;=0,"",AZ638/SQRT(Таблица_pr8[[#This Row],[Удельное сопротивление грунта, Ом·м]])),AZ638/SQRT(Таблица_pr8[[#This Row],[Удельное сопротивление грунта, Ом·м]]))</f>
        <v/>
      </c>
      <c r="BC638" s="53"/>
      <c r="BD638" s="52"/>
      <c r="BE638" s="50"/>
      <c r="BF638" s="61" t="str">
        <f t="shared" si="80"/>
        <v/>
      </c>
      <c r="BG638" s="61" t="str">
        <f>IFERROR(IF(BD638-AX657&lt;=0,"",BF638/SQRT(Таблица_pr9[[#This Row],[Удельное сопротивление грунта, Ом·м]])),BF638/SQRT(Таблица_pr9[[#This Row],[Удельное сопротивление грунта, Ом·м]]))</f>
        <v/>
      </c>
      <c r="BI638" s="53"/>
      <c r="BJ638" s="52"/>
      <c r="BK638" s="50"/>
      <c r="BL638" s="61" t="str">
        <f t="shared" si="85"/>
        <v/>
      </c>
      <c r="BM638" s="61" t="str">
        <f>IFERROR(IF(BJ638-BD667&lt;=0,"",BL638/SQRT(Таблица_pr10[[#This Row],[Удельное сопротивление грунта, Ом·м]])),BL638/SQRT(Таблица_pr10[[#This Row],[Удельное сопротивление грунта, Ом·м]]))</f>
        <v/>
      </c>
    </row>
    <row r="639" spans="1:65">
      <c r="A639" s="51"/>
      <c r="B639" s="52"/>
      <c r="C639" s="50"/>
      <c r="D639" s="61" t="str">
        <f t="shared" si="75"/>
        <v/>
      </c>
      <c r="E639" s="61" t="str">
        <f>IFERROR(IF(B639-B638&lt;=0,"",D639/SQRT(Таблица_pr[[#This Row],[Удельное сопротивление грунта, Ом·м]])),D639/SQRT(Таблица_pr[[#This Row],[Удельное сопротивление грунта, Ом·м]]))</f>
        <v/>
      </c>
      <c r="G639" s="189"/>
      <c r="H639" s="185"/>
      <c r="I639" s="183"/>
      <c r="J639" s="180" t="str">
        <f t="shared" si="76"/>
        <v/>
      </c>
      <c r="K639" s="61" t="str">
        <f>IFERROR(IF(H639-H638&lt;=0,"",J639/SQRT(Таблица_pr1[[#This Row],[Удельное сопротивление грунта, Ом·м]])),J639/SQRT(Таблица_pr1[[#This Row],[Удельное сопротивление грунта, Ом·м]]))</f>
        <v/>
      </c>
      <c r="M639" s="51"/>
      <c r="N639" s="52"/>
      <c r="O639" s="50"/>
      <c r="P639" s="61" t="str">
        <f t="shared" si="81"/>
        <v/>
      </c>
      <c r="Q639" s="61" t="str">
        <f>IFERROR(IF(N639-N638&lt;=0,"",P639/SQRT(Таблица_pr2[[#This Row],[Удельное сопротивление грунта, Ом·м]])),P639/SQRT(Таблица_pr2[[#This Row],[Удельное сопротивление грунта, Ом·м]]))</f>
        <v/>
      </c>
      <c r="S639" s="51"/>
      <c r="T639" s="52"/>
      <c r="U639" s="50"/>
      <c r="V639" s="61" t="str">
        <f t="shared" si="77"/>
        <v/>
      </c>
      <c r="W639" s="61" t="str">
        <f>IFERROR(IF(T639-T638&lt;=0,"",V639/SQRT(Таблица_pr3[[#This Row],[Удельное сопротивление грунта, Ом·м]])),V639/SQRT(Таблица_pr3[[#This Row],[Удельное сопротивление грунта, Ом·м]]))</f>
        <v/>
      </c>
      <c r="Y639" s="51"/>
      <c r="Z639" s="52"/>
      <c r="AA639" s="50"/>
      <c r="AB639" s="61" t="str">
        <f t="shared" si="82"/>
        <v/>
      </c>
      <c r="AC639" s="61" t="str">
        <f>IFERROR(IF(Z639-Z638&lt;=0,"",AB639/SQRT(Таблица_pr4[[#This Row],[Удельное сопротивление грунта, Ом·м]])),AB639/SQRT(Таблица_pr4[[#This Row],[Удельное сопротивление грунта, Ом·м]]))</f>
        <v/>
      </c>
      <c r="AE639" s="51"/>
      <c r="AF639" s="52"/>
      <c r="AG639" s="50"/>
      <c r="AH639" s="61" t="str">
        <f t="shared" si="78"/>
        <v/>
      </c>
      <c r="AI639" s="61" t="str">
        <f>IFERROR(IF(AF639-AF638&lt;=0,"",AH639/SQRT(Таблица_pr5[[#This Row],[Удельное сопротивление грунта, Ом·м]])),AH639/SQRT(Таблица_pr5[[#This Row],[Удельное сопротивление грунта, Ом·м]]))</f>
        <v/>
      </c>
      <c r="AK639" s="51"/>
      <c r="AL639" s="52"/>
      <c r="AM639" s="50"/>
      <c r="AN639" s="61" t="str">
        <f t="shared" si="83"/>
        <v/>
      </c>
      <c r="AO639" s="61" t="str">
        <f>IFERROR(IF(AL639-AL638&lt;=0,"",AN639/SQRT(Таблица_pr6[[#This Row],[Удельное сопротивление грунта, Ом·м]])),AN639/SQRT(Таблица_pr6[[#This Row],[Удельное сопротивление грунта, Ом·м]]))</f>
        <v/>
      </c>
      <c r="AQ639" s="51"/>
      <c r="AR639" s="52"/>
      <c r="AS639" s="50"/>
      <c r="AT639" s="61" t="str">
        <f t="shared" si="79"/>
        <v/>
      </c>
      <c r="AU639" s="61" t="str">
        <f>IFERROR(IF(AR639-AR638&lt;=0,"",AT639/SQRT(Таблица_pr7[[#This Row],[Удельное сопротивление грунта, Ом·м]])),AT639/SQRT(Таблица_pr7[[#This Row],[Удельное сопротивление грунта, Ом·м]]))</f>
        <v/>
      </c>
      <c r="AW639" s="51"/>
      <c r="AX639" s="52"/>
      <c r="AY639" s="50"/>
      <c r="AZ639" s="61" t="str">
        <f t="shared" si="84"/>
        <v/>
      </c>
      <c r="BA639" s="61" t="str">
        <f>IFERROR(IF(AX639-AX638&lt;=0,"",AZ639/SQRT(Таблица_pr8[[#This Row],[Удельное сопротивление грунта, Ом·м]])),AZ639/SQRT(Таблица_pr8[[#This Row],[Удельное сопротивление грунта, Ом·м]]))</f>
        <v/>
      </c>
      <c r="BC639" s="51"/>
      <c r="BD639" s="52"/>
      <c r="BE639" s="50"/>
      <c r="BF639" s="61" t="str">
        <f t="shared" si="80"/>
        <v/>
      </c>
      <c r="BG639" s="61" t="str">
        <f>IFERROR(IF(BD639-AX658&lt;=0,"",BF639/SQRT(Таблица_pr9[[#This Row],[Удельное сопротивление грунта, Ом·м]])),BF639/SQRT(Таблица_pr9[[#This Row],[Удельное сопротивление грунта, Ом·м]]))</f>
        <v/>
      </c>
      <c r="BI639" s="51"/>
      <c r="BJ639" s="52"/>
      <c r="BK639" s="50"/>
      <c r="BL639" s="61" t="str">
        <f t="shared" si="85"/>
        <v/>
      </c>
      <c r="BM639" s="61" t="str">
        <f>IFERROR(IF(BJ639-BD668&lt;=0,"",BL639/SQRT(Таблица_pr10[[#This Row],[Удельное сопротивление грунта, Ом·м]])),BL639/SQRT(Таблица_pr10[[#This Row],[Удельное сопротивление грунта, Ом·м]]))</f>
        <v/>
      </c>
    </row>
    <row r="640" spans="1:65">
      <c r="A640" s="53"/>
      <c r="B640" s="52"/>
      <c r="C640" s="50"/>
      <c r="D640" s="61" t="str">
        <f t="shared" ref="D640:D703" si="86">IFERROR(IF(B640-B639&lt;=0,"",(B640-B639)*1000),100)</f>
        <v/>
      </c>
      <c r="E640" s="61" t="str">
        <f>IFERROR(IF(B640-B639&lt;=0,"",D640/SQRT(Таблица_pr[[#This Row],[Удельное сопротивление грунта, Ом·м]])),D640/SQRT(Таблица_pr[[#This Row],[Удельное сопротивление грунта, Ом·м]]))</f>
        <v/>
      </c>
      <c r="G640" s="188"/>
      <c r="H640" s="184"/>
      <c r="I640" s="182"/>
      <c r="J640" s="181" t="str">
        <f t="shared" ref="J640:J703" si="87">IFERROR(IF(H640-H639&lt;=0,"",(H640-H639)*1000),100)</f>
        <v/>
      </c>
      <c r="K640" s="61" t="str">
        <f>IFERROR(IF(H640-H639&lt;=0,"",J640/SQRT(Таблица_pr1[[#This Row],[Удельное сопротивление грунта, Ом·м]])),J640/SQRT(Таблица_pr1[[#This Row],[Удельное сопротивление грунта, Ом·м]]))</f>
        <v/>
      </c>
      <c r="M640" s="53"/>
      <c r="N640" s="52"/>
      <c r="O640" s="50"/>
      <c r="P640" s="61" t="str">
        <f t="shared" si="81"/>
        <v/>
      </c>
      <c r="Q640" s="61" t="str">
        <f>IFERROR(IF(N640-N639&lt;=0,"",P640/SQRT(Таблица_pr2[[#This Row],[Удельное сопротивление грунта, Ом·м]])),P640/SQRT(Таблица_pr2[[#This Row],[Удельное сопротивление грунта, Ом·м]]))</f>
        <v/>
      </c>
      <c r="S640" s="53"/>
      <c r="T640" s="52"/>
      <c r="U640" s="50"/>
      <c r="V640" s="61" t="str">
        <f t="shared" ref="V640:V703" si="88">IFERROR(IF(T640-T639&lt;=0,"",(T640-T639)*1000),100)</f>
        <v/>
      </c>
      <c r="W640" s="61" t="str">
        <f>IFERROR(IF(T640-T639&lt;=0,"",V640/SQRT(Таблица_pr3[[#This Row],[Удельное сопротивление грунта, Ом·м]])),V640/SQRT(Таблица_pr3[[#This Row],[Удельное сопротивление грунта, Ом·м]]))</f>
        <v/>
      </c>
      <c r="Y640" s="53"/>
      <c r="Z640" s="52"/>
      <c r="AA640" s="50"/>
      <c r="AB640" s="61" t="str">
        <f t="shared" si="82"/>
        <v/>
      </c>
      <c r="AC640" s="61" t="str">
        <f>IFERROR(IF(Z640-Z639&lt;=0,"",AB640/SQRT(Таблица_pr4[[#This Row],[Удельное сопротивление грунта, Ом·м]])),AB640/SQRT(Таблица_pr4[[#This Row],[Удельное сопротивление грунта, Ом·м]]))</f>
        <v/>
      </c>
      <c r="AE640" s="53"/>
      <c r="AF640" s="52"/>
      <c r="AG640" s="50"/>
      <c r="AH640" s="61" t="str">
        <f t="shared" ref="AH640:AH703" si="89">IFERROR(IF(AF640-AF639&lt;=0,"",(AF640-AF639)*1000),100)</f>
        <v/>
      </c>
      <c r="AI640" s="61" t="str">
        <f>IFERROR(IF(AF640-AF639&lt;=0,"",AH640/SQRT(Таблица_pr5[[#This Row],[Удельное сопротивление грунта, Ом·м]])),AH640/SQRT(Таблица_pr5[[#This Row],[Удельное сопротивление грунта, Ом·м]]))</f>
        <v/>
      </c>
      <c r="AK640" s="53"/>
      <c r="AL640" s="52"/>
      <c r="AM640" s="50"/>
      <c r="AN640" s="61" t="str">
        <f t="shared" si="83"/>
        <v/>
      </c>
      <c r="AO640" s="61" t="str">
        <f>IFERROR(IF(AL640-AL639&lt;=0,"",AN640/SQRT(Таблица_pr6[[#This Row],[Удельное сопротивление грунта, Ом·м]])),AN640/SQRT(Таблица_pr6[[#This Row],[Удельное сопротивление грунта, Ом·м]]))</f>
        <v/>
      </c>
      <c r="AQ640" s="53"/>
      <c r="AR640" s="52"/>
      <c r="AS640" s="50"/>
      <c r="AT640" s="61" t="str">
        <f t="shared" ref="AT640:AT703" si="90">IFERROR(IF(AR640-AR639&lt;=0,"",(AR640-AR639)*1000),100)</f>
        <v/>
      </c>
      <c r="AU640" s="61" t="str">
        <f>IFERROR(IF(AR640-AR639&lt;=0,"",AT640/SQRT(Таблица_pr7[[#This Row],[Удельное сопротивление грунта, Ом·м]])),AT640/SQRT(Таблица_pr7[[#This Row],[Удельное сопротивление грунта, Ом·м]]))</f>
        <v/>
      </c>
      <c r="AW640" s="53"/>
      <c r="AX640" s="52"/>
      <c r="AY640" s="50"/>
      <c r="AZ640" s="61" t="str">
        <f t="shared" si="84"/>
        <v/>
      </c>
      <c r="BA640" s="61" t="str">
        <f>IFERROR(IF(AX640-AX639&lt;=0,"",AZ640/SQRT(Таблица_pr8[[#This Row],[Удельное сопротивление грунта, Ом·м]])),AZ640/SQRT(Таблица_pr8[[#This Row],[Удельное сопротивление грунта, Ом·м]]))</f>
        <v/>
      </c>
      <c r="BC640" s="53"/>
      <c r="BD640" s="52"/>
      <c r="BE640" s="50"/>
      <c r="BF640" s="61" t="str">
        <f t="shared" ref="BF640:BF703" si="91">IFERROR(IF(BD640-BD639&lt;=0,"",(BD640-BD639)*1000),100)</f>
        <v/>
      </c>
      <c r="BG640" s="61" t="str">
        <f>IFERROR(IF(BD640-AX659&lt;=0,"",BF640/SQRT(Таблица_pr9[[#This Row],[Удельное сопротивление грунта, Ом·м]])),BF640/SQRT(Таблица_pr9[[#This Row],[Удельное сопротивление грунта, Ом·м]]))</f>
        <v/>
      </c>
      <c r="BI640" s="53"/>
      <c r="BJ640" s="52"/>
      <c r="BK640" s="50"/>
      <c r="BL640" s="61" t="str">
        <f t="shared" si="85"/>
        <v/>
      </c>
      <c r="BM640" s="61" t="str">
        <f>IFERROR(IF(BJ640-BD669&lt;=0,"",BL640/SQRT(Таблица_pr10[[#This Row],[Удельное сопротивление грунта, Ом·м]])),BL640/SQRT(Таблица_pr10[[#This Row],[Удельное сопротивление грунта, Ом·м]]))</f>
        <v/>
      </c>
    </row>
    <row r="641" spans="1:65">
      <c r="A641" s="51"/>
      <c r="B641" s="52"/>
      <c r="C641" s="50"/>
      <c r="D641" s="61" t="str">
        <f t="shared" si="86"/>
        <v/>
      </c>
      <c r="E641" s="61" t="str">
        <f>IFERROR(IF(B641-B640&lt;=0,"",D641/SQRT(Таблица_pr[[#This Row],[Удельное сопротивление грунта, Ом·м]])),D641/SQRT(Таблица_pr[[#This Row],[Удельное сопротивление грунта, Ом·м]]))</f>
        <v/>
      </c>
      <c r="G641" s="189"/>
      <c r="H641" s="185"/>
      <c r="I641" s="183"/>
      <c r="J641" s="180" t="str">
        <f t="shared" si="87"/>
        <v/>
      </c>
      <c r="K641" s="61" t="str">
        <f>IFERROR(IF(H641-H640&lt;=0,"",J641/SQRT(Таблица_pr1[[#This Row],[Удельное сопротивление грунта, Ом·м]])),J641/SQRT(Таблица_pr1[[#This Row],[Удельное сопротивление грунта, Ом·м]]))</f>
        <v/>
      </c>
      <c r="M641" s="51"/>
      <c r="N641" s="52"/>
      <c r="O641" s="50"/>
      <c r="P641" s="61" t="str">
        <f t="shared" si="81"/>
        <v/>
      </c>
      <c r="Q641" s="61" t="str">
        <f>IFERROR(IF(N641-N640&lt;=0,"",P641/SQRT(Таблица_pr2[[#This Row],[Удельное сопротивление грунта, Ом·м]])),P641/SQRT(Таблица_pr2[[#This Row],[Удельное сопротивление грунта, Ом·м]]))</f>
        <v/>
      </c>
      <c r="S641" s="51"/>
      <c r="T641" s="52"/>
      <c r="U641" s="50"/>
      <c r="V641" s="61" t="str">
        <f t="shared" si="88"/>
        <v/>
      </c>
      <c r="W641" s="61" t="str">
        <f>IFERROR(IF(T641-T640&lt;=0,"",V641/SQRT(Таблица_pr3[[#This Row],[Удельное сопротивление грунта, Ом·м]])),V641/SQRT(Таблица_pr3[[#This Row],[Удельное сопротивление грунта, Ом·м]]))</f>
        <v/>
      </c>
      <c r="Y641" s="51"/>
      <c r="Z641" s="52"/>
      <c r="AA641" s="50"/>
      <c r="AB641" s="61" t="str">
        <f t="shared" si="82"/>
        <v/>
      </c>
      <c r="AC641" s="61" t="str">
        <f>IFERROR(IF(Z641-Z640&lt;=0,"",AB641/SQRT(Таблица_pr4[[#This Row],[Удельное сопротивление грунта, Ом·м]])),AB641/SQRT(Таблица_pr4[[#This Row],[Удельное сопротивление грунта, Ом·м]]))</f>
        <v/>
      </c>
      <c r="AE641" s="51"/>
      <c r="AF641" s="52"/>
      <c r="AG641" s="50"/>
      <c r="AH641" s="61" t="str">
        <f t="shared" si="89"/>
        <v/>
      </c>
      <c r="AI641" s="61" t="str">
        <f>IFERROR(IF(AF641-AF640&lt;=0,"",AH641/SQRT(Таблица_pr5[[#This Row],[Удельное сопротивление грунта, Ом·м]])),AH641/SQRT(Таблица_pr5[[#This Row],[Удельное сопротивление грунта, Ом·м]]))</f>
        <v/>
      </c>
      <c r="AK641" s="51"/>
      <c r="AL641" s="52"/>
      <c r="AM641" s="50"/>
      <c r="AN641" s="61" t="str">
        <f t="shared" si="83"/>
        <v/>
      </c>
      <c r="AO641" s="61" t="str">
        <f>IFERROR(IF(AL641-AL640&lt;=0,"",AN641/SQRT(Таблица_pr6[[#This Row],[Удельное сопротивление грунта, Ом·м]])),AN641/SQRT(Таблица_pr6[[#This Row],[Удельное сопротивление грунта, Ом·м]]))</f>
        <v/>
      </c>
      <c r="AQ641" s="51"/>
      <c r="AR641" s="52"/>
      <c r="AS641" s="50"/>
      <c r="AT641" s="61" t="str">
        <f t="shared" si="90"/>
        <v/>
      </c>
      <c r="AU641" s="61" t="str">
        <f>IFERROR(IF(AR641-AR640&lt;=0,"",AT641/SQRT(Таблица_pr7[[#This Row],[Удельное сопротивление грунта, Ом·м]])),AT641/SQRT(Таблица_pr7[[#This Row],[Удельное сопротивление грунта, Ом·м]]))</f>
        <v/>
      </c>
      <c r="AW641" s="51"/>
      <c r="AX641" s="52"/>
      <c r="AY641" s="50"/>
      <c r="AZ641" s="61" t="str">
        <f t="shared" si="84"/>
        <v/>
      </c>
      <c r="BA641" s="61" t="str">
        <f>IFERROR(IF(AX641-AX640&lt;=0,"",AZ641/SQRT(Таблица_pr8[[#This Row],[Удельное сопротивление грунта, Ом·м]])),AZ641/SQRT(Таблица_pr8[[#This Row],[Удельное сопротивление грунта, Ом·м]]))</f>
        <v/>
      </c>
      <c r="BC641" s="51"/>
      <c r="BD641" s="52"/>
      <c r="BE641" s="50"/>
      <c r="BF641" s="61" t="str">
        <f t="shared" si="91"/>
        <v/>
      </c>
      <c r="BG641" s="61" t="str">
        <f>IFERROR(IF(BD641-AX660&lt;=0,"",BF641/SQRT(Таблица_pr9[[#This Row],[Удельное сопротивление грунта, Ом·м]])),BF641/SQRT(Таблица_pr9[[#This Row],[Удельное сопротивление грунта, Ом·м]]))</f>
        <v/>
      </c>
      <c r="BI641" s="51"/>
      <c r="BJ641" s="52"/>
      <c r="BK641" s="50"/>
      <c r="BL641" s="61" t="str">
        <f t="shared" si="85"/>
        <v/>
      </c>
      <c r="BM641" s="61" t="str">
        <f>IFERROR(IF(BJ641-BD670&lt;=0,"",BL641/SQRT(Таблица_pr10[[#This Row],[Удельное сопротивление грунта, Ом·м]])),BL641/SQRT(Таблица_pr10[[#This Row],[Удельное сопротивление грунта, Ом·м]]))</f>
        <v/>
      </c>
    </row>
    <row r="642" spans="1:65">
      <c r="A642" s="53"/>
      <c r="B642" s="52"/>
      <c r="C642" s="50"/>
      <c r="D642" s="61" t="str">
        <f t="shared" si="86"/>
        <v/>
      </c>
      <c r="E642" s="61" t="str">
        <f>IFERROR(IF(B642-B641&lt;=0,"",D642/SQRT(Таблица_pr[[#This Row],[Удельное сопротивление грунта, Ом·м]])),D642/SQRT(Таблица_pr[[#This Row],[Удельное сопротивление грунта, Ом·м]]))</f>
        <v/>
      </c>
      <c r="G642" s="188"/>
      <c r="H642" s="184"/>
      <c r="I642" s="182"/>
      <c r="J642" s="181" t="str">
        <f t="shared" si="87"/>
        <v/>
      </c>
      <c r="K642" s="61" t="str">
        <f>IFERROR(IF(H642-H641&lt;=0,"",J642/SQRT(Таблица_pr1[[#This Row],[Удельное сопротивление грунта, Ом·м]])),J642/SQRT(Таблица_pr1[[#This Row],[Удельное сопротивление грунта, Ом·м]]))</f>
        <v/>
      </c>
      <c r="M642" s="53"/>
      <c r="N642" s="52"/>
      <c r="O642" s="50"/>
      <c r="P642" s="61" t="str">
        <f t="shared" si="81"/>
        <v/>
      </c>
      <c r="Q642" s="61" t="str">
        <f>IFERROR(IF(N642-N641&lt;=0,"",P642/SQRT(Таблица_pr2[[#This Row],[Удельное сопротивление грунта, Ом·м]])),P642/SQRT(Таблица_pr2[[#This Row],[Удельное сопротивление грунта, Ом·м]]))</f>
        <v/>
      </c>
      <c r="S642" s="53"/>
      <c r="T642" s="52"/>
      <c r="U642" s="50"/>
      <c r="V642" s="61" t="str">
        <f t="shared" si="88"/>
        <v/>
      </c>
      <c r="W642" s="61" t="str">
        <f>IFERROR(IF(T642-T641&lt;=0,"",V642/SQRT(Таблица_pr3[[#This Row],[Удельное сопротивление грунта, Ом·м]])),V642/SQRT(Таблица_pr3[[#This Row],[Удельное сопротивление грунта, Ом·м]]))</f>
        <v/>
      </c>
      <c r="Y642" s="53"/>
      <c r="Z642" s="52"/>
      <c r="AA642" s="50"/>
      <c r="AB642" s="61" t="str">
        <f t="shared" si="82"/>
        <v/>
      </c>
      <c r="AC642" s="61" t="str">
        <f>IFERROR(IF(Z642-Z641&lt;=0,"",AB642/SQRT(Таблица_pr4[[#This Row],[Удельное сопротивление грунта, Ом·м]])),AB642/SQRT(Таблица_pr4[[#This Row],[Удельное сопротивление грунта, Ом·м]]))</f>
        <v/>
      </c>
      <c r="AE642" s="53"/>
      <c r="AF642" s="52"/>
      <c r="AG642" s="50"/>
      <c r="AH642" s="61" t="str">
        <f t="shared" si="89"/>
        <v/>
      </c>
      <c r="AI642" s="61" t="str">
        <f>IFERROR(IF(AF642-AF641&lt;=0,"",AH642/SQRT(Таблица_pr5[[#This Row],[Удельное сопротивление грунта, Ом·м]])),AH642/SQRT(Таблица_pr5[[#This Row],[Удельное сопротивление грунта, Ом·м]]))</f>
        <v/>
      </c>
      <c r="AK642" s="53"/>
      <c r="AL642" s="52"/>
      <c r="AM642" s="50"/>
      <c r="AN642" s="61" t="str">
        <f t="shared" si="83"/>
        <v/>
      </c>
      <c r="AO642" s="61" t="str">
        <f>IFERROR(IF(AL642-AL641&lt;=0,"",AN642/SQRT(Таблица_pr6[[#This Row],[Удельное сопротивление грунта, Ом·м]])),AN642/SQRT(Таблица_pr6[[#This Row],[Удельное сопротивление грунта, Ом·м]]))</f>
        <v/>
      </c>
      <c r="AQ642" s="53"/>
      <c r="AR642" s="52"/>
      <c r="AS642" s="50"/>
      <c r="AT642" s="61" t="str">
        <f t="shared" si="90"/>
        <v/>
      </c>
      <c r="AU642" s="61" t="str">
        <f>IFERROR(IF(AR642-AR641&lt;=0,"",AT642/SQRT(Таблица_pr7[[#This Row],[Удельное сопротивление грунта, Ом·м]])),AT642/SQRT(Таблица_pr7[[#This Row],[Удельное сопротивление грунта, Ом·м]]))</f>
        <v/>
      </c>
      <c r="AW642" s="53"/>
      <c r="AX642" s="52"/>
      <c r="AY642" s="50"/>
      <c r="AZ642" s="61" t="str">
        <f t="shared" si="84"/>
        <v/>
      </c>
      <c r="BA642" s="61" t="str">
        <f>IFERROR(IF(AX642-AX641&lt;=0,"",AZ642/SQRT(Таблица_pr8[[#This Row],[Удельное сопротивление грунта, Ом·м]])),AZ642/SQRT(Таблица_pr8[[#This Row],[Удельное сопротивление грунта, Ом·м]]))</f>
        <v/>
      </c>
      <c r="BC642" s="53"/>
      <c r="BD642" s="52"/>
      <c r="BE642" s="50"/>
      <c r="BF642" s="61" t="str">
        <f t="shared" si="91"/>
        <v/>
      </c>
      <c r="BG642" s="61" t="str">
        <f>IFERROR(IF(BD642-AX661&lt;=0,"",BF642/SQRT(Таблица_pr9[[#This Row],[Удельное сопротивление грунта, Ом·м]])),BF642/SQRT(Таблица_pr9[[#This Row],[Удельное сопротивление грунта, Ом·м]]))</f>
        <v/>
      </c>
      <c r="BI642" s="53"/>
      <c r="BJ642" s="52"/>
      <c r="BK642" s="50"/>
      <c r="BL642" s="61" t="str">
        <f t="shared" si="85"/>
        <v/>
      </c>
      <c r="BM642" s="61" t="str">
        <f>IFERROR(IF(BJ642-BD671&lt;=0,"",BL642/SQRT(Таблица_pr10[[#This Row],[Удельное сопротивление грунта, Ом·м]])),BL642/SQRT(Таблица_pr10[[#This Row],[Удельное сопротивление грунта, Ом·м]]))</f>
        <v/>
      </c>
    </row>
    <row r="643" spans="1:65">
      <c r="A643" s="51"/>
      <c r="B643" s="52"/>
      <c r="C643" s="50"/>
      <c r="D643" s="61" t="str">
        <f t="shared" si="86"/>
        <v/>
      </c>
      <c r="E643" s="61" t="str">
        <f>IFERROR(IF(B643-B642&lt;=0,"",D643/SQRT(Таблица_pr[[#This Row],[Удельное сопротивление грунта, Ом·м]])),D643/SQRT(Таблица_pr[[#This Row],[Удельное сопротивление грунта, Ом·м]]))</f>
        <v/>
      </c>
      <c r="G643" s="189"/>
      <c r="H643" s="185"/>
      <c r="I643" s="183"/>
      <c r="J643" s="180" t="str">
        <f t="shared" si="87"/>
        <v/>
      </c>
      <c r="K643" s="61" t="str">
        <f>IFERROR(IF(H643-H642&lt;=0,"",J643/SQRT(Таблица_pr1[[#This Row],[Удельное сопротивление грунта, Ом·м]])),J643/SQRT(Таблица_pr1[[#This Row],[Удельное сопротивление грунта, Ом·м]]))</f>
        <v/>
      </c>
      <c r="M643" s="51"/>
      <c r="N643" s="52"/>
      <c r="O643" s="50"/>
      <c r="P643" s="61" t="str">
        <f t="shared" si="81"/>
        <v/>
      </c>
      <c r="Q643" s="61" t="str">
        <f>IFERROR(IF(N643-N642&lt;=0,"",P643/SQRT(Таблица_pr2[[#This Row],[Удельное сопротивление грунта, Ом·м]])),P643/SQRT(Таблица_pr2[[#This Row],[Удельное сопротивление грунта, Ом·м]]))</f>
        <v/>
      </c>
      <c r="S643" s="51"/>
      <c r="T643" s="52"/>
      <c r="U643" s="50"/>
      <c r="V643" s="61" t="str">
        <f t="shared" si="88"/>
        <v/>
      </c>
      <c r="W643" s="61" t="str">
        <f>IFERROR(IF(T643-T642&lt;=0,"",V643/SQRT(Таблица_pr3[[#This Row],[Удельное сопротивление грунта, Ом·м]])),V643/SQRT(Таблица_pr3[[#This Row],[Удельное сопротивление грунта, Ом·м]]))</f>
        <v/>
      </c>
      <c r="Y643" s="51"/>
      <c r="Z643" s="52"/>
      <c r="AA643" s="50"/>
      <c r="AB643" s="61" t="str">
        <f t="shared" si="82"/>
        <v/>
      </c>
      <c r="AC643" s="61" t="str">
        <f>IFERROR(IF(Z643-Z642&lt;=0,"",AB643/SQRT(Таблица_pr4[[#This Row],[Удельное сопротивление грунта, Ом·м]])),AB643/SQRT(Таблица_pr4[[#This Row],[Удельное сопротивление грунта, Ом·м]]))</f>
        <v/>
      </c>
      <c r="AE643" s="51"/>
      <c r="AF643" s="52"/>
      <c r="AG643" s="50"/>
      <c r="AH643" s="61" t="str">
        <f t="shared" si="89"/>
        <v/>
      </c>
      <c r="AI643" s="61" t="str">
        <f>IFERROR(IF(AF643-AF642&lt;=0,"",AH643/SQRT(Таблица_pr5[[#This Row],[Удельное сопротивление грунта, Ом·м]])),AH643/SQRT(Таблица_pr5[[#This Row],[Удельное сопротивление грунта, Ом·м]]))</f>
        <v/>
      </c>
      <c r="AK643" s="51"/>
      <c r="AL643" s="52"/>
      <c r="AM643" s="50"/>
      <c r="AN643" s="61" t="str">
        <f t="shared" si="83"/>
        <v/>
      </c>
      <c r="AO643" s="61" t="str">
        <f>IFERROR(IF(AL643-AL642&lt;=0,"",AN643/SQRT(Таблица_pr6[[#This Row],[Удельное сопротивление грунта, Ом·м]])),AN643/SQRT(Таблица_pr6[[#This Row],[Удельное сопротивление грунта, Ом·м]]))</f>
        <v/>
      </c>
      <c r="AQ643" s="51"/>
      <c r="AR643" s="52"/>
      <c r="AS643" s="50"/>
      <c r="AT643" s="61" t="str">
        <f t="shared" si="90"/>
        <v/>
      </c>
      <c r="AU643" s="61" t="str">
        <f>IFERROR(IF(AR643-AR642&lt;=0,"",AT643/SQRT(Таблица_pr7[[#This Row],[Удельное сопротивление грунта, Ом·м]])),AT643/SQRT(Таблица_pr7[[#This Row],[Удельное сопротивление грунта, Ом·м]]))</f>
        <v/>
      </c>
      <c r="AW643" s="51"/>
      <c r="AX643" s="52"/>
      <c r="AY643" s="50"/>
      <c r="AZ643" s="61" t="str">
        <f t="shared" si="84"/>
        <v/>
      </c>
      <c r="BA643" s="61" t="str">
        <f>IFERROR(IF(AX643-AX642&lt;=0,"",AZ643/SQRT(Таблица_pr8[[#This Row],[Удельное сопротивление грунта, Ом·м]])),AZ643/SQRT(Таблица_pr8[[#This Row],[Удельное сопротивление грунта, Ом·м]]))</f>
        <v/>
      </c>
      <c r="BC643" s="51"/>
      <c r="BD643" s="52"/>
      <c r="BE643" s="50"/>
      <c r="BF643" s="61" t="str">
        <f t="shared" si="91"/>
        <v/>
      </c>
      <c r="BG643" s="61" t="str">
        <f>IFERROR(IF(BD643-AX662&lt;=0,"",BF643/SQRT(Таблица_pr9[[#This Row],[Удельное сопротивление грунта, Ом·м]])),BF643/SQRT(Таблица_pr9[[#This Row],[Удельное сопротивление грунта, Ом·м]]))</f>
        <v/>
      </c>
      <c r="BI643" s="51"/>
      <c r="BJ643" s="52"/>
      <c r="BK643" s="50"/>
      <c r="BL643" s="61" t="str">
        <f t="shared" si="85"/>
        <v/>
      </c>
      <c r="BM643" s="61" t="str">
        <f>IFERROR(IF(BJ643-BD672&lt;=0,"",BL643/SQRT(Таблица_pr10[[#This Row],[Удельное сопротивление грунта, Ом·м]])),BL643/SQRT(Таблица_pr10[[#This Row],[Удельное сопротивление грунта, Ом·м]]))</f>
        <v/>
      </c>
    </row>
    <row r="644" spans="1:65">
      <c r="A644" s="53"/>
      <c r="B644" s="52"/>
      <c r="C644" s="50"/>
      <c r="D644" s="61" t="str">
        <f t="shared" si="86"/>
        <v/>
      </c>
      <c r="E644" s="61" t="str">
        <f>IFERROR(IF(B644-B643&lt;=0,"",D644/SQRT(Таблица_pr[[#This Row],[Удельное сопротивление грунта, Ом·м]])),D644/SQRT(Таблица_pr[[#This Row],[Удельное сопротивление грунта, Ом·м]]))</f>
        <v/>
      </c>
      <c r="G644" s="188"/>
      <c r="H644" s="184"/>
      <c r="I644" s="182"/>
      <c r="J644" s="181" t="str">
        <f t="shared" si="87"/>
        <v/>
      </c>
      <c r="K644" s="61" t="str">
        <f>IFERROR(IF(H644-H643&lt;=0,"",J644/SQRT(Таблица_pr1[[#This Row],[Удельное сопротивление грунта, Ом·м]])),J644/SQRT(Таблица_pr1[[#This Row],[Удельное сопротивление грунта, Ом·м]]))</f>
        <v/>
      </c>
      <c r="M644" s="53"/>
      <c r="N644" s="52"/>
      <c r="O644" s="50"/>
      <c r="P644" s="61" t="str">
        <f t="shared" si="81"/>
        <v/>
      </c>
      <c r="Q644" s="61" t="str">
        <f>IFERROR(IF(N644-N643&lt;=0,"",P644/SQRT(Таблица_pr2[[#This Row],[Удельное сопротивление грунта, Ом·м]])),P644/SQRT(Таблица_pr2[[#This Row],[Удельное сопротивление грунта, Ом·м]]))</f>
        <v/>
      </c>
      <c r="S644" s="53"/>
      <c r="T644" s="52"/>
      <c r="U644" s="50"/>
      <c r="V644" s="61" t="str">
        <f t="shared" si="88"/>
        <v/>
      </c>
      <c r="W644" s="61" t="str">
        <f>IFERROR(IF(T644-T643&lt;=0,"",V644/SQRT(Таблица_pr3[[#This Row],[Удельное сопротивление грунта, Ом·м]])),V644/SQRT(Таблица_pr3[[#This Row],[Удельное сопротивление грунта, Ом·м]]))</f>
        <v/>
      </c>
      <c r="Y644" s="53"/>
      <c r="Z644" s="52"/>
      <c r="AA644" s="50"/>
      <c r="AB644" s="61" t="str">
        <f t="shared" si="82"/>
        <v/>
      </c>
      <c r="AC644" s="61" t="str">
        <f>IFERROR(IF(Z644-Z643&lt;=0,"",AB644/SQRT(Таблица_pr4[[#This Row],[Удельное сопротивление грунта, Ом·м]])),AB644/SQRT(Таблица_pr4[[#This Row],[Удельное сопротивление грунта, Ом·м]]))</f>
        <v/>
      </c>
      <c r="AE644" s="53"/>
      <c r="AF644" s="52"/>
      <c r="AG644" s="50"/>
      <c r="AH644" s="61" t="str">
        <f t="shared" si="89"/>
        <v/>
      </c>
      <c r="AI644" s="61" t="str">
        <f>IFERROR(IF(AF644-AF643&lt;=0,"",AH644/SQRT(Таблица_pr5[[#This Row],[Удельное сопротивление грунта, Ом·м]])),AH644/SQRT(Таблица_pr5[[#This Row],[Удельное сопротивление грунта, Ом·м]]))</f>
        <v/>
      </c>
      <c r="AK644" s="53"/>
      <c r="AL644" s="52"/>
      <c r="AM644" s="50"/>
      <c r="AN644" s="61" t="str">
        <f t="shared" si="83"/>
        <v/>
      </c>
      <c r="AO644" s="61" t="str">
        <f>IFERROR(IF(AL644-AL643&lt;=0,"",AN644/SQRT(Таблица_pr6[[#This Row],[Удельное сопротивление грунта, Ом·м]])),AN644/SQRT(Таблица_pr6[[#This Row],[Удельное сопротивление грунта, Ом·м]]))</f>
        <v/>
      </c>
      <c r="AQ644" s="53"/>
      <c r="AR644" s="52"/>
      <c r="AS644" s="50"/>
      <c r="AT644" s="61" t="str">
        <f t="shared" si="90"/>
        <v/>
      </c>
      <c r="AU644" s="61" t="str">
        <f>IFERROR(IF(AR644-AR643&lt;=0,"",AT644/SQRT(Таблица_pr7[[#This Row],[Удельное сопротивление грунта, Ом·м]])),AT644/SQRT(Таблица_pr7[[#This Row],[Удельное сопротивление грунта, Ом·м]]))</f>
        <v/>
      </c>
      <c r="AW644" s="53"/>
      <c r="AX644" s="52"/>
      <c r="AY644" s="50"/>
      <c r="AZ644" s="61" t="str">
        <f t="shared" si="84"/>
        <v/>
      </c>
      <c r="BA644" s="61" t="str">
        <f>IFERROR(IF(AX644-AX643&lt;=0,"",AZ644/SQRT(Таблица_pr8[[#This Row],[Удельное сопротивление грунта, Ом·м]])),AZ644/SQRT(Таблица_pr8[[#This Row],[Удельное сопротивление грунта, Ом·м]]))</f>
        <v/>
      </c>
      <c r="BC644" s="53"/>
      <c r="BD644" s="52"/>
      <c r="BE644" s="50"/>
      <c r="BF644" s="61" t="str">
        <f t="shared" si="91"/>
        <v/>
      </c>
      <c r="BG644" s="61" t="str">
        <f>IFERROR(IF(BD644-AX663&lt;=0,"",BF644/SQRT(Таблица_pr9[[#This Row],[Удельное сопротивление грунта, Ом·м]])),BF644/SQRT(Таблица_pr9[[#This Row],[Удельное сопротивление грунта, Ом·м]]))</f>
        <v/>
      </c>
      <c r="BI644" s="53"/>
      <c r="BJ644" s="52"/>
      <c r="BK644" s="50"/>
      <c r="BL644" s="61" t="str">
        <f t="shared" si="85"/>
        <v/>
      </c>
      <c r="BM644" s="61" t="str">
        <f>IFERROR(IF(BJ644-BD673&lt;=0,"",BL644/SQRT(Таблица_pr10[[#This Row],[Удельное сопротивление грунта, Ом·м]])),BL644/SQRT(Таблица_pr10[[#This Row],[Удельное сопротивление грунта, Ом·м]]))</f>
        <v/>
      </c>
    </row>
    <row r="645" spans="1:65">
      <c r="A645" s="51"/>
      <c r="B645" s="52"/>
      <c r="C645" s="50"/>
      <c r="D645" s="61" t="str">
        <f t="shared" si="86"/>
        <v/>
      </c>
      <c r="E645" s="61" t="str">
        <f>IFERROR(IF(B645-B644&lt;=0,"",D645/SQRT(Таблица_pr[[#This Row],[Удельное сопротивление грунта, Ом·м]])),D645/SQRT(Таблица_pr[[#This Row],[Удельное сопротивление грунта, Ом·м]]))</f>
        <v/>
      </c>
      <c r="G645" s="189"/>
      <c r="H645" s="185"/>
      <c r="I645" s="183"/>
      <c r="J645" s="180" t="str">
        <f t="shared" si="87"/>
        <v/>
      </c>
      <c r="K645" s="61" t="str">
        <f>IFERROR(IF(H645-H644&lt;=0,"",J645/SQRT(Таблица_pr1[[#This Row],[Удельное сопротивление грунта, Ом·м]])),J645/SQRT(Таблица_pr1[[#This Row],[Удельное сопротивление грунта, Ом·м]]))</f>
        <v/>
      </c>
      <c r="M645" s="51"/>
      <c r="N645" s="52"/>
      <c r="O645" s="50"/>
      <c r="P645" s="61" t="str">
        <f t="shared" si="81"/>
        <v/>
      </c>
      <c r="Q645" s="61" t="str">
        <f>IFERROR(IF(N645-N644&lt;=0,"",P645/SQRT(Таблица_pr2[[#This Row],[Удельное сопротивление грунта, Ом·м]])),P645/SQRT(Таблица_pr2[[#This Row],[Удельное сопротивление грунта, Ом·м]]))</f>
        <v/>
      </c>
      <c r="S645" s="51"/>
      <c r="T645" s="52"/>
      <c r="U645" s="50"/>
      <c r="V645" s="61" t="str">
        <f t="shared" si="88"/>
        <v/>
      </c>
      <c r="W645" s="61" t="str">
        <f>IFERROR(IF(T645-T644&lt;=0,"",V645/SQRT(Таблица_pr3[[#This Row],[Удельное сопротивление грунта, Ом·м]])),V645/SQRT(Таблица_pr3[[#This Row],[Удельное сопротивление грунта, Ом·м]]))</f>
        <v/>
      </c>
      <c r="Y645" s="51"/>
      <c r="Z645" s="52"/>
      <c r="AA645" s="50"/>
      <c r="AB645" s="61" t="str">
        <f t="shared" si="82"/>
        <v/>
      </c>
      <c r="AC645" s="61" t="str">
        <f>IFERROR(IF(Z645-Z644&lt;=0,"",AB645/SQRT(Таблица_pr4[[#This Row],[Удельное сопротивление грунта, Ом·м]])),AB645/SQRT(Таблица_pr4[[#This Row],[Удельное сопротивление грунта, Ом·м]]))</f>
        <v/>
      </c>
      <c r="AE645" s="51"/>
      <c r="AF645" s="52"/>
      <c r="AG645" s="50"/>
      <c r="AH645" s="61" t="str">
        <f t="shared" si="89"/>
        <v/>
      </c>
      <c r="AI645" s="61" t="str">
        <f>IFERROR(IF(AF645-AF644&lt;=0,"",AH645/SQRT(Таблица_pr5[[#This Row],[Удельное сопротивление грунта, Ом·м]])),AH645/SQRT(Таблица_pr5[[#This Row],[Удельное сопротивление грунта, Ом·м]]))</f>
        <v/>
      </c>
      <c r="AK645" s="51"/>
      <c r="AL645" s="52"/>
      <c r="AM645" s="50"/>
      <c r="AN645" s="61" t="str">
        <f t="shared" si="83"/>
        <v/>
      </c>
      <c r="AO645" s="61" t="str">
        <f>IFERROR(IF(AL645-AL644&lt;=0,"",AN645/SQRT(Таблица_pr6[[#This Row],[Удельное сопротивление грунта, Ом·м]])),AN645/SQRT(Таблица_pr6[[#This Row],[Удельное сопротивление грунта, Ом·м]]))</f>
        <v/>
      </c>
      <c r="AQ645" s="51"/>
      <c r="AR645" s="52"/>
      <c r="AS645" s="50"/>
      <c r="AT645" s="61" t="str">
        <f t="shared" si="90"/>
        <v/>
      </c>
      <c r="AU645" s="61" t="str">
        <f>IFERROR(IF(AR645-AR644&lt;=0,"",AT645/SQRT(Таблица_pr7[[#This Row],[Удельное сопротивление грунта, Ом·м]])),AT645/SQRT(Таблица_pr7[[#This Row],[Удельное сопротивление грунта, Ом·м]]))</f>
        <v/>
      </c>
      <c r="AW645" s="51"/>
      <c r="AX645" s="52"/>
      <c r="AY645" s="50"/>
      <c r="AZ645" s="61" t="str">
        <f t="shared" si="84"/>
        <v/>
      </c>
      <c r="BA645" s="61" t="str">
        <f>IFERROR(IF(AX645-AX644&lt;=0,"",AZ645/SQRT(Таблица_pr8[[#This Row],[Удельное сопротивление грунта, Ом·м]])),AZ645/SQRT(Таблица_pr8[[#This Row],[Удельное сопротивление грунта, Ом·м]]))</f>
        <v/>
      </c>
      <c r="BC645" s="51"/>
      <c r="BD645" s="52"/>
      <c r="BE645" s="50"/>
      <c r="BF645" s="61" t="str">
        <f t="shared" si="91"/>
        <v/>
      </c>
      <c r="BG645" s="61" t="str">
        <f>IFERROR(IF(BD645-AX664&lt;=0,"",BF645/SQRT(Таблица_pr9[[#This Row],[Удельное сопротивление грунта, Ом·м]])),BF645/SQRT(Таблица_pr9[[#This Row],[Удельное сопротивление грунта, Ом·м]]))</f>
        <v/>
      </c>
      <c r="BI645" s="51"/>
      <c r="BJ645" s="52"/>
      <c r="BK645" s="50"/>
      <c r="BL645" s="61" t="str">
        <f t="shared" si="85"/>
        <v/>
      </c>
      <c r="BM645" s="61" t="str">
        <f>IFERROR(IF(BJ645-BD674&lt;=0,"",BL645/SQRT(Таблица_pr10[[#This Row],[Удельное сопротивление грунта, Ом·м]])),BL645/SQRT(Таблица_pr10[[#This Row],[Удельное сопротивление грунта, Ом·м]]))</f>
        <v/>
      </c>
    </row>
    <row r="646" spans="1:65">
      <c r="A646" s="53"/>
      <c r="B646" s="52"/>
      <c r="C646" s="50"/>
      <c r="D646" s="61" t="str">
        <f t="shared" si="86"/>
        <v/>
      </c>
      <c r="E646" s="61" t="str">
        <f>IFERROR(IF(B646-B645&lt;=0,"",D646/SQRT(Таблица_pr[[#This Row],[Удельное сопротивление грунта, Ом·м]])),D646/SQRT(Таблица_pr[[#This Row],[Удельное сопротивление грунта, Ом·м]]))</f>
        <v/>
      </c>
      <c r="G646" s="188"/>
      <c r="H646" s="184"/>
      <c r="I646" s="182"/>
      <c r="J646" s="181" t="str">
        <f t="shared" si="87"/>
        <v/>
      </c>
      <c r="K646" s="61" t="str">
        <f>IFERROR(IF(H646-H645&lt;=0,"",J646/SQRT(Таблица_pr1[[#This Row],[Удельное сопротивление грунта, Ом·м]])),J646/SQRT(Таблица_pr1[[#This Row],[Удельное сопротивление грунта, Ом·м]]))</f>
        <v/>
      </c>
      <c r="M646" s="53"/>
      <c r="N646" s="52"/>
      <c r="O646" s="50"/>
      <c r="P646" s="61" t="str">
        <f t="shared" ref="P646:P709" si="92">IFERROR(IF(N646-N645&lt;=0,"",(N646-N645)*1000),100)</f>
        <v/>
      </c>
      <c r="Q646" s="61" t="str">
        <f>IFERROR(IF(N646-N645&lt;=0,"",P646/SQRT(Таблица_pr2[[#This Row],[Удельное сопротивление грунта, Ом·м]])),P646/SQRT(Таблица_pr2[[#This Row],[Удельное сопротивление грунта, Ом·м]]))</f>
        <v/>
      </c>
      <c r="S646" s="53"/>
      <c r="T646" s="52"/>
      <c r="U646" s="50"/>
      <c r="V646" s="61" t="str">
        <f t="shared" si="88"/>
        <v/>
      </c>
      <c r="W646" s="61" t="str">
        <f>IFERROR(IF(T646-T645&lt;=0,"",V646/SQRT(Таблица_pr3[[#This Row],[Удельное сопротивление грунта, Ом·м]])),V646/SQRT(Таблица_pr3[[#This Row],[Удельное сопротивление грунта, Ом·м]]))</f>
        <v/>
      </c>
      <c r="Y646" s="53"/>
      <c r="Z646" s="52"/>
      <c r="AA646" s="50"/>
      <c r="AB646" s="61" t="str">
        <f t="shared" si="82"/>
        <v/>
      </c>
      <c r="AC646" s="61" t="str">
        <f>IFERROR(IF(Z646-Z645&lt;=0,"",AB646/SQRT(Таблица_pr4[[#This Row],[Удельное сопротивление грунта, Ом·м]])),AB646/SQRT(Таблица_pr4[[#This Row],[Удельное сопротивление грунта, Ом·м]]))</f>
        <v/>
      </c>
      <c r="AE646" s="53"/>
      <c r="AF646" s="52"/>
      <c r="AG646" s="50"/>
      <c r="AH646" s="61" t="str">
        <f t="shared" si="89"/>
        <v/>
      </c>
      <c r="AI646" s="61" t="str">
        <f>IFERROR(IF(AF646-AF645&lt;=0,"",AH646/SQRT(Таблица_pr5[[#This Row],[Удельное сопротивление грунта, Ом·м]])),AH646/SQRT(Таблица_pr5[[#This Row],[Удельное сопротивление грунта, Ом·м]]))</f>
        <v/>
      </c>
      <c r="AK646" s="53"/>
      <c r="AL646" s="52"/>
      <c r="AM646" s="50"/>
      <c r="AN646" s="61" t="str">
        <f t="shared" si="83"/>
        <v/>
      </c>
      <c r="AO646" s="61" t="str">
        <f>IFERROR(IF(AL646-AL645&lt;=0,"",AN646/SQRT(Таблица_pr6[[#This Row],[Удельное сопротивление грунта, Ом·м]])),AN646/SQRT(Таблица_pr6[[#This Row],[Удельное сопротивление грунта, Ом·м]]))</f>
        <v/>
      </c>
      <c r="AQ646" s="53"/>
      <c r="AR646" s="52"/>
      <c r="AS646" s="50"/>
      <c r="AT646" s="61" t="str">
        <f t="shared" si="90"/>
        <v/>
      </c>
      <c r="AU646" s="61" t="str">
        <f>IFERROR(IF(AR646-AR645&lt;=0,"",AT646/SQRT(Таблица_pr7[[#This Row],[Удельное сопротивление грунта, Ом·м]])),AT646/SQRT(Таблица_pr7[[#This Row],[Удельное сопротивление грунта, Ом·м]]))</f>
        <v/>
      </c>
      <c r="AW646" s="53"/>
      <c r="AX646" s="52"/>
      <c r="AY646" s="50"/>
      <c r="AZ646" s="61" t="str">
        <f t="shared" si="84"/>
        <v/>
      </c>
      <c r="BA646" s="61" t="str">
        <f>IFERROR(IF(AX646-AX645&lt;=0,"",AZ646/SQRT(Таблица_pr8[[#This Row],[Удельное сопротивление грунта, Ом·м]])),AZ646/SQRT(Таблица_pr8[[#This Row],[Удельное сопротивление грунта, Ом·м]]))</f>
        <v/>
      </c>
      <c r="BC646" s="53"/>
      <c r="BD646" s="52"/>
      <c r="BE646" s="50"/>
      <c r="BF646" s="61" t="str">
        <f t="shared" si="91"/>
        <v/>
      </c>
      <c r="BG646" s="61" t="str">
        <f>IFERROR(IF(BD646-AX665&lt;=0,"",BF646/SQRT(Таблица_pr9[[#This Row],[Удельное сопротивление грунта, Ом·м]])),BF646/SQRT(Таблица_pr9[[#This Row],[Удельное сопротивление грунта, Ом·м]]))</f>
        <v/>
      </c>
      <c r="BI646" s="53"/>
      <c r="BJ646" s="52"/>
      <c r="BK646" s="50"/>
      <c r="BL646" s="61" t="str">
        <f t="shared" si="85"/>
        <v/>
      </c>
      <c r="BM646" s="61" t="str">
        <f>IFERROR(IF(BJ646-BD675&lt;=0,"",BL646/SQRT(Таблица_pr10[[#This Row],[Удельное сопротивление грунта, Ом·м]])),BL646/SQRT(Таблица_pr10[[#This Row],[Удельное сопротивление грунта, Ом·м]]))</f>
        <v/>
      </c>
    </row>
    <row r="647" spans="1:65">
      <c r="A647" s="51"/>
      <c r="B647" s="52"/>
      <c r="C647" s="50"/>
      <c r="D647" s="61" t="str">
        <f t="shared" si="86"/>
        <v/>
      </c>
      <c r="E647" s="61" t="str">
        <f>IFERROR(IF(B647-B646&lt;=0,"",D647/SQRT(Таблица_pr[[#This Row],[Удельное сопротивление грунта, Ом·м]])),D647/SQRT(Таблица_pr[[#This Row],[Удельное сопротивление грунта, Ом·м]]))</f>
        <v/>
      </c>
      <c r="G647" s="189"/>
      <c r="H647" s="185"/>
      <c r="I647" s="183"/>
      <c r="J647" s="180" t="str">
        <f t="shared" si="87"/>
        <v/>
      </c>
      <c r="K647" s="61" t="str">
        <f>IFERROR(IF(H647-H646&lt;=0,"",J647/SQRT(Таблица_pr1[[#This Row],[Удельное сопротивление грунта, Ом·м]])),J647/SQRT(Таблица_pr1[[#This Row],[Удельное сопротивление грунта, Ом·м]]))</f>
        <v/>
      </c>
      <c r="M647" s="51"/>
      <c r="N647" s="52"/>
      <c r="O647" s="50"/>
      <c r="P647" s="61" t="str">
        <f t="shared" si="92"/>
        <v/>
      </c>
      <c r="Q647" s="61" t="str">
        <f>IFERROR(IF(N647-N646&lt;=0,"",P647/SQRT(Таблица_pr2[[#This Row],[Удельное сопротивление грунта, Ом·м]])),P647/SQRT(Таблица_pr2[[#This Row],[Удельное сопротивление грунта, Ом·м]]))</f>
        <v/>
      </c>
      <c r="S647" s="51"/>
      <c r="T647" s="52"/>
      <c r="U647" s="50"/>
      <c r="V647" s="61" t="str">
        <f t="shared" si="88"/>
        <v/>
      </c>
      <c r="W647" s="61" t="str">
        <f>IFERROR(IF(T647-T646&lt;=0,"",V647/SQRT(Таблица_pr3[[#This Row],[Удельное сопротивление грунта, Ом·м]])),V647/SQRT(Таблица_pr3[[#This Row],[Удельное сопротивление грунта, Ом·м]]))</f>
        <v/>
      </c>
      <c r="Y647" s="51"/>
      <c r="Z647" s="52"/>
      <c r="AA647" s="50"/>
      <c r="AB647" s="61" t="str">
        <f t="shared" ref="AB647:AB710" si="93">IFERROR(IF(Z647-Z646&lt;=0,"",(Z647-Z646)*1000),100)</f>
        <v/>
      </c>
      <c r="AC647" s="61" t="str">
        <f>IFERROR(IF(Z647-Z646&lt;=0,"",AB647/SQRT(Таблица_pr4[[#This Row],[Удельное сопротивление грунта, Ом·м]])),AB647/SQRT(Таблица_pr4[[#This Row],[Удельное сопротивление грунта, Ом·м]]))</f>
        <v/>
      </c>
      <c r="AE647" s="51"/>
      <c r="AF647" s="52"/>
      <c r="AG647" s="50"/>
      <c r="AH647" s="61" t="str">
        <f t="shared" si="89"/>
        <v/>
      </c>
      <c r="AI647" s="61" t="str">
        <f>IFERROR(IF(AF647-AF646&lt;=0,"",AH647/SQRT(Таблица_pr5[[#This Row],[Удельное сопротивление грунта, Ом·м]])),AH647/SQRT(Таблица_pr5[[#This Row],[Удельное сопротивление грунта, Ом·м]]))</f>
        <v/>
      </c>
      <c r="AK647" s="51"/>
      <c r="AL647" s="52"/>
      <c r="AM647" s="50"/>
      <c r="AN647" s="61" t="str">
        <f t="shared" ref="AN647:AN710" si="94">IFERROR(IF(AL647-AL646&lt;=0,"",(AL647-AL646)*1000),100)</f>
        <v/>
      </c>
      <c r="AO647" s="61" t="str">
        <f>IFERROR(IF(AL647-AL646&lt;=0,"",AN647/SQRT(Таблица_pr6[[#This Row],[Удельное сопротивление грунта, Ом·м]])),AN647/SQRT(Таблица_pr6[[#This Row],[Удельное сопротивление грунта, Ом·м]]))</f>
        <v/>
      </c>
      <c r="AQ647" s="51"/>
      <c r="AR647" s="52"/>
      <c r="AS647" s="50"/>
      <c r="AT647" s="61" t="str">
        <f t="shared" si="90"/>
        <v/>
      </c>
      <c r="AU647" s="61" t="str">
        <f>IFERROR(IF(AR647-AR646&lt;=0,"",AT647/SQRT(Таблица_pr7[[#This Row],[Удельное сопротивление грунта, Ом·м]])),AT647/SQRT(Таблица_pr7[[#This Row],[Удельное сопротивление грунта, Ом·м]]))</f>
        <v/>
      </c>
      <c r="AW647" s="51"/>
      <c r="AX647" s="52"/>
      <c r="AY647" s="50"/>
      <c r="AZ647" s="61" t="str">
        <f t="shared" ref="AZ647:AZ710" si="95">IFERROR(IF(AX647-AX646&lt;=0,"",(AX647-AX646)*1000),100)</f>
        <v/>
      </c>
      <c r="BA647" s="61" t="str">
        <f>IFERROR(IF(AX647-AX646&lt;=0,"",AZ647/SQRT(Таблица_pr8[[#This Row],[Удельное сопротивление грунта, Ом·м]])),AZ647/SQRT(Таблица_pr8[[#This Row],[Удельное сопротивление грунта, Ом·м]]))</f>
        <v/>
      </c>
      <c r="BC647" s="51"/>
      <c r="BD647" s="52"/>
      <c r="BE647" s="50"/>
      <c r="BF647" s="61" t="str">
        <f t="shared" si="91"/>
        <v/>
      </c>
      <c r="BG647" s="61" t="str">
        <f>IFERROR(IF(BD647-AX666&lt;=0,"",BF647/SQRT(Таблица_pr9[[#This Row],[Удельное сопротивление грунта, Ом·м]])),BF647/SQRT(Таблица_pr9[[#This Row],[Удельное сопротивление грунта, Ом·м]]))</f>
        <v/>
      </c>
      <c r="BI647" s="51"/>
      <c r="BJ647" s="52"/>
      <c r="BK647" s="50"/>
      <c r="BL647" s="61" t="str">
        <f t="shared" ref="BL647:BL710" si="96">IFERROR(IF(BJ647-BJ646&lt;=0,"",(BJ647-BJ646)*1000),100)</f>
        <v/>
      </c>
      <c r="BM647" s="61" t="str">
        <f>IFERROR(IF(BJ647-BD676&lt;=0,"",BL647/SQRT(Таблица_pr10[[#This Row],[Удельное сопротивление грунта, Ом·м]])),BL647/SQRT(Таблица_pr10[[#This Row],[Удельное сопротивление грунта, Ом·м]]))</f>
        <v/>
      </c>
    </row>
    <row r="648" spans="1:65">
      <c r="A648" s="53"/>
      <c r="B648" s="52"/>
      <c r="C648" s="50"/>
      <c r="D648" s="61" t="str">
        <f t="shared" si="86"/>
        <v/>
      </c>
      <c r="E648" s="61" t="str">
        <f>IFERROR(IF(B648-B647&lt;=0,"",D648/SQRT(Таблица_pr[[#This Row],[Удельное сопротивление грунта, Ом·м]])),D648/SQRT(Таблица_pr[[#This Row],[Удельное сопротивление грунта, Ом·м]]))</f>
        <v/>
      </c>
      <c r="G648" s="188"/>
      <c r="H648" s="184"/>
      <c r="I648" s="182"/>
      <c r="J648" s="181" t="str">
        <f t="shared" si="87"/>
        <v/>
      </c>
      <c r="K648" s="61" t="str">
        <f>IFERROR(IF(H648-H647&lt;=0,"",J648/SQRT(Таблица_pr1[[#This Row],[Удельное сопротивление грунта, Ом·м]])),J648/SQRT(Таблица_pr1[[#This Row],[Удельное сопротивление грунта, Ом·м]]))</f>
        <v/>
      </c>
      <c r="M648" s="53"/>
      <c r="N648" s="52"/>
      <c r="O648" s="50"/>
      <c r="P648" s="61" t="str">
        <f t="shared" si="92"/>
        <v/>
      </c>
      <c r="Q648" s="61" t="str">
        <f>IFERROR(IF(N648-N647&lt;=0,"",P648/SQRT(Таблица_pr2[[#This Row],[Удельное сопротивление грунта, Ом·м]])),P648/SQRT(Таблица_pr2[[#This Row],[Удельное сопротивление грунта, Ом·м]]))</f>
        <v/>
      </c>
      <c r="S648" s="53"/>
      <c r="T648" s="52"/>
      <c r="U648" s="50"/>
      <c r="V648" s="61" t="str">
        <f t="shared" si="88"/>
        <v/>
      </c>
      <c r="W648" s="61" t="str">
        <f>IFERROR(IF(T648-T647&lt;=0,"",V648/SQRT(Таблица_pr3[[#This Row],[Удельное сопротивление грунта, Ом·м]])),V648/SQRT(Таблица_pr3[[#This Row],[Удельное сопротивление грунта, Ом·м]]))</f>
        <v/>
      </c>
      <c r="Y648" s="53"/>
      <c r="Z648" s="52"/>
      <c r="AA648" s="50"/>
      <c r="AB648" s="61" t="str">
        <f t="shared" si="93"/>
        <v/>
      </c>
      <c r="AC648" s="61" t="str">
        <f>IFERROR(IF(Z648-Z647&lt;=0,"",AB648/SQRT(Таблица_pr4[[#This Row],[Удельное сопротивление грунта, Ом·м]])),AB648/SQRT(Таблица_pr4[[#This Row],[Удельное сопротивление грунта, Ом·м]]))</f>
        <v/>
      </c>
      <c r="AE648" s="53"/>
      <c r="AF648" s="52"/>
      <c r="AG648" s="50"/>
      <c r="AH648" s="61" t="str">
        <f t="shared" si="89"/>
        <v/>
      </c>
      <c r="AI648" s="61" t="str">
        <f>IFERROR(IF(AF648-AF647&lt;=0,"",AH648/SQRT(Таблица_pr5[[#This Row],[Удельное сопротивление грунта, Ом·м]])),AH648/SQRT(Таблица_pr5[[#This Row],[Удельное сопротивление грунта, Ом·м]]))</f>
        <v/>
      </c>
      <c r="AK648" s="53"/>
      <c r="AL648" s="52"/>
      <c r="AM648" s="50"/>
      <c r="AN648" s="61" t="str">
        <f t="shared" si="94"/>
        <v/>
      </c>
      <c r="AO648" s="61" t="str">
        <f>IFERROR(IF(AL648-AL647&lt;=0,"",AN648/SQRT(Таблица_pr6[[#This Row],[Удельное сопротивление грунта, Ом·м]])),AN648/SQRT(Таблица_pr6[[#This Row],[Удельное сопротивление грунта, Ом·м]]))</f>
        <v/>
      </c>
      <c r="AQ648" s="53"/>
      <c r="AR648" s="52"/>
      <c r="AS648" s="50"/>
      <c r="AT648" s="61" t="str">
        <f t="shared" si="90"/>
        <v/>
      </c>
      <c r="AU648" s="61" t="str">
        <f>IFERROR(IF(AR648-AR647&lt;=0,"",AT648/SQRT(Таблица_pr7[[#This Row],[Удельное сопротивление грунта, Ом·м]])),AT648/SQRT(Таблица_pr7[[#This Row],[Удельное сопротивление грунта, Ом·м]]))</f>
        <v/>
      </c>
      <c r="AW648" s="53"/>
      <c r="AX648" s="52"/>
      <c r="AY648" s="50"/>
      <c r="AZ648" s="61" t="str">
        <f t="shared" si="95"/>
        <v/>
      </c>
      <c r="BA648" s="61" t="str">
        <f>IFERROR(IF(AX648-AX647&lt;=0,"",AZ648/SQRT(Таблица_pr8[[#This Row],[Удельное сопротивление грунта, Ом·м]])),AZ648/SQRT(Таблица_pr8[[#This Row],[Удельное сопротивление грунта, Ом·м]]))</f>
        <v/>
      </c>
      <c r="BC648" s="53"/>
      <c r="BD648" s="52"/>
      <c r="BE648" s="50"/>
      <c r="BF648" s="61" t="str">
        <f t="shared" si="91"/>
        <v/>
      </c>
      <c r="BG648" s="61" t="str">
        <f>IFERROR(IF(BD648-AX667&lt;=0,"",BF648/SQRT(Таблица_pr9[[#This Row],[Удельное сопротивление грунта, Ом·м]])),BF648/SQRT(Таблица_pr9[[#This Row],[Удельное сопротивление грунта, Ом·м]]))</f>
        <v/>
      </c>
      <c r="BI648" s="53"/>
      <c r="BJ648" s="52"/>
      <c r="BK648" s="50"/>
      <c r="BL648" s="61" t="str">
        <f t="shared" si="96"/>
        <v/>
      </c>
      <c r="BM648" s="61" t="str">
        <f>IFERROR(IF(BJ648-BD677&lt;=0,"",BL648/SQRT(Таблица_pr10[[#This Row],[Удельное сопротивление грунта, Ом·м]])),BL648/SQRT(Таблица_pr10[[#This Row],[Удельное сопротивление грунта, Ом·м]]))</f>
        <v/>
      </c>
    </row>
    <row r="649" spans="1:65">
      <c r="A649" s="51"/>
      <c r="B649" s="52"/>
      <c r="C649" s="50"/>
      <c r="D649" s="61" t="str">
        <f t="shared" si="86"/>
        <v/>
      </c>
      <c r="E649" s="61" t="str">
        <f>IFERROR(IF(B649-B648&lt;=0,"",D649/SQRT(Таблица_pr[[#This Row],[Удельное сопротивление грунта, Ом·м]])),D649/SQRT(Таблица_pr[[#This Row],[Удельное сопротивление грунта, Ом·м]]))</f>
        <v/>
      </c>
      <c r="G649" s="189"/>
      <c r="H649" s="185"/>
      <c r="I649" s="183"/>
      <c r="J649" s="180" t="str">
        <f t="shared" si="87"/>
        <v/>
      </c>
      <c r="K649" s="61" t="str">
        <f>IFERROR(IF(H649-H648&lt;=0,"",J649/SQRT(Таблица_pr1[[#This Row],[Удельное сопротивление грунта, Ом·м]])),J649/SQRT(Таблица_pr1[[#This Row],[Удельное сопротивление грунта, Ом·м]]))</f>
        <v/>
      </c>
      <c r="M649" s="51"/>
      <c r="N649" s="52"/>
      <c r="O649" s="50"/>
      <c r="P649" s="61" t="str">
        <f t="shared" si="92"/>
        <v/>
      </c>
      <c r="Q649" s="61" t="str">
        <f>IFERROR(IF(N649-N648&lt;=0,"",P649/SQRT(Таблица_pr2[[#This Row],[Удельное сопротивление грунта, Ом·м]])),P649/SQRT(Таблица_pr2[[#This Row],[Удельное сопротивление грунта, Ом·м]]))</f>
        <v/>
      </c>
      <c r="S649" s="51"/>
      <c r="T649" s="52"/>
      <c r="U649" s="50"/>
      <c r="V649" s="61" t="str">
        <f t="shared" si="88"/>
        <v/>
      </c>
      <c r="W649" s="61" t="str">
        <f>IFERROR(IF(T649-T648&lt;=0,"",V649/SQRT(Таблица_pr3[[#This Row],[Удельное сопротивление грунта, Ом·м]])),V649/SQRT(Таблица_pr3[[#This Row],[Удельное сопротивление грунта, Ом·м]]))</f>
        <v/>
      </c>
      <c r="Y649" s="51"/>
      <c r="Z649" s="52"/>
      <c r="AA649" s="50"/>
      <c r="AB649" s="61" t="str">
        <f t="shared" si="93"/>
        <v/>
      </c>
      <c r="AC649" s="61" t="str">
        <f>IFERROR(IF(Z649-Z648&lt;=0,"",AB649/SQRT(Таблица_pr4[[#This Row],[Удельное сопротивление грунта, Ом·м]])),AB649/SQRT(Таблица_pr4[[#This Row],[Удельное сопротивление грунта, Ом·м]]))</f>
        <v/>
      </c>
      <c r="AE649" s="51"/>
      <c r="AF649" s="52"/>
      <c r="AG649" s="50"/>
      <c r="AH649" s="61" t="str">
        <f t="shared" si="89"/>
        <v/>
      </c>
      <c r="AI649" s="61" t="str">
        <f>IFERROR(IF(AF649-AF648&lt;=0,"",AH649/SQRT(Таблица_pr5[[#This Row],[Удельное сопротивление грунта, Ом·м]])),AH649/SQRT(Таблица_pr5[[#This Row],[Удельное сопротивление грунта, Ом·м]]))</f>
        <v/>
      </c>
      <c r="AK649" s="51"/>
      <c r="AL649" s="52"/>
      <c r="AM649" s="50"/>
      <c r="AN649" s="61" t="str">
        <f t="shared" si="94"/>
        <v/>
      </c>
      <c r="AO649" s="61" t="str">
        <f>IFERROR(IF(AL649-AL648&lt;=0,"",AN649/SQRT(Таблица_pr6[[#This Row],[Удельное сопротивление грунта, Ом·м]])),AN649/SQRT(Таблица_pr6[[#This Row],[Удельное сопротивление грунта, Ом·м]]))</f>
        <v/>
      </c>
      <c r="AQ649" s="51"/>
      <c r="AR649" s="52"/>
      <c r="AS649" s="50"/>
      <c r="AT649" s="61" t="str">
        <f t="shared" si="90"/>
        <v/>
      </c>
      <c r="AU649" s="61" t="str">
        <f>IFERROR(IF(AR649-AR648&lt;=0,"",AT649/SQRT(Таблица_pr7[[#This Row],[Удельное сопротивление грунта, Ом·м]])),AT649/SQRT(Таблица_pr7[[#This Row],[Удельное сопротивление грунта, Ом·м]]))</f>
        <v/>
      </c>
      <c r="AW649" s="51"/>
      <c r="AX649" s="52"/>
      <c r="AY649" s="50"/>
      <c r="AZ649" s="61" t="str">
        <f t="shared" si="95"/>
        <v/>
      </c>
      <c r="BA649" s="61" t="str">
        <f>IFERROR(IF(AX649-AX648&lt;=0,"",AZ649/SQRT(Таблица_pr8[[#This Row],[Удельное сопротивление грунта, Ом·м]])),AZ649/SQRT(Таблица_pr8[[#This Row],[Удельное сопротивление грунта, Ом·м]]))</f>
        <v/>
      </c>
      <c r="BC649" s="51"/>
      <c r="BD649" s="52"/>
      <c r="BE649" s="50"/>
      <c r="BF649" s="61" t="str">
        <f t="shared" si="91"/>
        <v/>
      </c>
      <c r="BG649" s="61" t="str">
        <f>IFERROR(IF(BD649-AX668&lt;=0,"",BF649/SQRT(Таблица_pr9[[#This Row],[Удельное сопротивление грунта, Ом·м]])),BF649/SQRT(Таблица_pr9[[#This Row],[Удельное сопротивление грунта, Ом·м]]))</f>
        <v/>
      </c>
      <c r="BI649" s="51"/>
      <c r="BJ649" s="52"/>
      <c r="BK649" s="50"/>
      <c r="BL649" s="61" t="str">
        <f t="shared" si="96"/>
        <v/>
      </c>
      <c r="BM649" s="61" t="str">
        <f>IFERROR(IF(BJ649-BD678&lt;=0,"",BL649/SQRT(Таблица_pr10[[#This Row],[Удельное сопротивление грунта, Ом·м]])),BL649/SQRT(Таблица_pr10[[#This Row],[Удельное сопротивление грунта, Ом·м]]))</f>
        <v/>
      </c>
    </row>
    <row r="650" spans="1:65">
      <c r="A650" s="53"/>
      <c r="B650" s="52"/>
      <c r="C650" s="50"/>
      <c r="D650" s="61" t="str">
        <f t="shared" si="86"/>
        <v/>
      </c>
      <c r="E650" s="61" t="str">
        <f>IFERROR(IF(B650-B649&lt;=0,"",D650/SQRT(Таблица_pr[[#This Row],[Удельное сопротивление грунта, Ом·м]])),D650/SQRT(Таблица_pr[[#This Row],[Удельное сопротивление грунта, Ом·м]]))</f>
        <v/>
      </c>
      <c r="G650" s="188"/>
      <c r="H650" s="184"/>
      <c r="I650" s="182"/>
      <c r="J650" s="181" t="str">
        <f t="shared" si="87"/>
        <v/>
      </c>
      <c r="K650" s="61" t="str">
        <f>IFERROR(IF(H650-H649&lt;=0,"",J650/SQRT(Таблица_pr1[[#This Row],[Удельное сопротивление грунта, Ом·м]])),J650/SQRT(Таблица_pr1[[#This Row],[Удельное сопротивление грунта, Ом·м]]))</f>
        <v/>
      </c>
      <c r="M650" s="53"/>
      <c r="N650" s="52"/>
      <c r="O650" s="50"/>
      <c r="P650" s="61" t="str">
        <f t="shared" si="92"/>
        <v/>
      </c>
      <c r="Q650" s="61" t="str">
        <f>IFERROR(IF(N650-N649&lt;=0,"",P650/SQRT(Таблица_pr2[[#This Row],[Удельное сопротивление грунта, Ом·м]])),P650/SQRT(Таблица_pr2[[#This Row],[Удельное сопротивление грунта, Ом·м]]))</f>
        <v/>
      </c>
      <c r="S650" s="53"/>
      <c r="T650" s="52"/>
      <c r="U650" s="50"/>
      <c r="V650" s="61" t="str">
        <f t="shared" si="88"/>
        <v/>
      </c>
      <c r="W650" s="61" t="str">
        <f>IFERROR(IF(T650-T649&lt;=0,"",V650/SQRT(Таблица_pr3[[#This Row],[Удельное сопротивление грунта, Ом·м]])),V650/SQRT(Таблица_pr3[[#This Row],[Удельное сопротивление грунта, Ом·м]]))</f>
        <v/>
      </c>
      <c r="Y650" s="53"/>
      <c r="Z650" s="52"/>
      <c r="AA650" s="50"/>
      <c r="AB650" s="61" t="str">
        <f t="shared" si="93"/>
        <v/>
      </c>
      <c r="AC650" s="61" t="str">
        <f>IFERROR(IF(Z650-Z649&lt;=0,"",AB650/SQRT(Таблица_pr4[[#This Row],[Удельное сопротивление грунта, Ом·м]])),AB650/SQRT(Таблица_pr4[[#This Row],[Удельное сопротивление грунта, Ом·м]]))</f>
        <v/>
      </c>
      <c r="AE650" s="53"/>
      <c r="AF650" s="52"/>
      <c r="AG650" s="50"/>
      <c r="AH650" s="61" t="str">
        <f t="shared" si="89"/>
        <v/>
      </c>
      <c r="AI650" s="61" t="str">
        <f>IFERROR(IF(AF650-AF649&lt;=0,"",AH650/SQRT(Таблица_pr5[[#This Row],[Удельное сопротивление грунта, Ом·м]])),AH650/SQRT(Таблица_pr5[[#This Row],[Удельное сопротивление грунта, Ом·м]]))</f>
        <v/>
      </c>
      <c r="AK650" s="53"/>
      <c r="AL650" s="52"/>
      <c r="AM650" s="50"/>
      <c r="AN650" s="61" t="str">
        <f t="shared" si="94"/>
        <v/>
      </c>
      <c r="AO650" s="61" t="str">
        <f>IFERROR(IF(AL650-AL649&lt;=0,"",AN650/SQRT(Таблица_pr6[[#This Row],[Удельное сопротивление грунта, Ом·м]])),AN650/SQRT(Таблица_pr6[[#This Row],[Удельное сопротивление грунта, Ом·м]]))</f>
        <v/>
      </c>
      <c r="AQ650" s="53"/>
      <c r="AR650" s="52"/>
      <c r="AS650" s="50"/>
      <c r="AT650" s="61" t="str">
        <f t="shared" si="90"/>
        <v/>
      </c>
      <c r="AU650" s="61" t="str">
        <f>IFERROR(IF(AR650-AR649&lt;=0,"",AT650/SQRT(Таблица_pr7[[#This Row],[Удельное сопротивление грунта, Ом·м]])),AT650/SQRT(Таблица_pr7[[#This Row],[Удельное сопротивление грунта, Ом·м]]))</f>
        <v/>
      </c>
      <c r="AW650" s="53"/>
      <c r="AX650" s="52"/>
      <c r="AY650" s="50"/>
      <c r="AZ650" s="61" t="str">
        <f t="shared" si="95"/>
        <v/>
      </c>
      <c r="BA650" s="61" t="str">
        <f>IFERROR(IF(AX650-AX649&lt;=0,"",AZ650/SQRT(Таблица_pr8[[#This Row],[Удельное сопротивление грунта, Ом·м]])),AZ650/SQRT(Таблица_pr8[[#This Row],[Удельное сопротивление грунта, Ом·м]]))</f>
        <v/>
      </c>
      <c r="BC650" s="53"/>
      <c r="BD650" s="52"/>
      <c r="BE650" s="50"/>
      <c r="BF650" s="61" t="str">
        <f t="shared" si="91"/>
        <v/>
      </c>
      <c r="BG650" s="61" t="str">
        <f>IFERROR(IF(BD650-AX669&lt;=0,"",BF650/SQRT(Таблица_pr9[[#This Row],[Удельное сопротивление грунта, Ом·м]])),BF650/SQRT(Таблица_pr9[[#This Row],[Удельное сопротивление грунта, Ом·м]]))</f>
        <v/>
      </c>
      <c r="BI650" s="53"/>
      <c r="BJ650" s="52"/>
      <c r="BK650" s="50"/>
      <c r="BL650" s="61" t="str">
        <f t="shared" si="96"/>
        <v/>
      </c>
      <c r="BM650" s="61" t="str">
        <f>IFERROR(IF(BJ650-BD679&lt;=0,"",BL650/SQRT(Таблица_pr10[[#This Row],[Удельное сопротивление грунта, Ом·м]])),BL650/SQRT(Таблица_pr10[[#This Row],[Удельное сопротивление грунта, Ом·м]]))</f>
        <v/>
      </c>
    </row>
    <row r="651" spans="1:65">
      <c r="A651" s="51"/>
      <c r="B651" s="52"/>
      <c r="C651" s="50"/>
      <c r="D651" s="61" t="str">
        <f t="shared" si="86"/>
        <v/>
      </c>
      <c r="E651" s="61" t="str">
        <f>IFERROR(IF(B651-B650&lt;=0,"",D651/SQRT(Таблица_pr[[#This Row],[Удельное сопротивление грунта, Ом·м]])),D651/SQRT(Таблица_pr[[#This Row],[Удельное сопротивление грунта, Ом·м]]))</f>
        <v/>
      </c>
      <c r="G651" s="189"/>
      <c r="H651" s="185"/>
      <c r="I651" s="183"/>
      <c r="J651" s="180" t="str">
        <f t="shared" si="87"/>
        <v/>
      </c>
      <c r="K651" s="61" t="str">
        <f>IFERROR(IF(H651-H650&lt;=0,"",J651/SQRT(Таблица_pr1[[#This Row],[Удельное сопротивление грунта, Ом·м]])),J651/SQRT(Таблица_pr1[[#This Row],[Удельное сопротивление грунта, Ом·м]]))</f>
        <v/>
      </c>
      <c r="M651" s="51"/>
      <c r="N651" s="52"/>
      <c r="O651" s="50"/>
      <c r="P651" s="61" t="str">
        <f t="shared" si="92"/>
        <v/>
      </c>
      <c r="Q651" s="61" t="str">
        <f>IFERROR(IF(N651-N650&lt;=0,"",P651/SQRT(Таблица_pr2[[#This Row],[Удельное сопротивление грунта, Ом·м]])),P651/SQRT(Таблица_pr2[[#This Row],[Удельное сопротивление грунта, Ом·м]]))</f>
        <v/>
      </c>
      <c r="S651" s="51"/>
      <c r="T651" s="52"/>
      <c r="U651" s="50"/>
      <c r="V651" s="61" t="str">
        <f t="shared" si="88"/>
        <v/>
      </c>
      <c r="W651" s="61" t="str">
        <f>IFERROR(IF(T651-T650&lt;=0,"",V651/SQRT(Таблица_pr3[[#This Row],[Удельное сопротивление грунта, Ом·м]])),V651/SQRT(Таблица_pr3[[#This Row],[Удельное сопротивление грунта, Ом·м]]))</f>
        <v/>
      </c>
      <c r="Y651" s="51"/>
      <c r="Z651" s="52"/>
      <c r="AA651" s="50"/>
      <c r="AB651" s="61" t="str">
        <f t="shared" si="93"/>
        <v/>
      </c>
      <c r="AC651" s="61" t="str">
        <f>IFERROR(IF(Z651-Z650&lt;=0,"",AB651/SQRT(Таблица_pr4[[#This Row],[Удельное сопротивление грунта, Ом·м]])),AB651/SQRT(Таблица_pr4[[#This Row],[Удельное сопротивление грунта, Ом·м]]))</f>
        <v/>
      </c>
      <c r="AE651" s="51"/>
      <c r="AF651" s="52"/>
      <c r="AG651" s="50"/>
      <c r="AH651" s="61" t="str">
        <f t="shared" si="89"/>
        <v/>
      </c>
      <c r="AI651" s="61" t="str">
        <f>IFERROR(IF(AF651-AF650&lt;=0,"",AH651/SQRT(Таблица_pr5[[#This Row],[Удельное сопротивление грунта, Ом·м]])),AH651/SQRT(Таблица_pr5[[#This Row],[Удельное сопротивление грунта, Ом·м]]))</f>
        <v/>
      </c>
      <c r="AK651" s="51"/>
      <c r="AL651" s="52"/>
      <c r="AM651" s="50"/>
      <c r="AN651" s="61" t="str">
        <f t="shared" si="94"/>
        <v/>
      </c>
      <c r="AO651" s="61" t="str">
        <f>IFERROR(IF(AL651-AL650&lt;=0,"",AN651/SQRT(Таблица_pr6[[#This Row],[Удельное сопротивление грунта, Ом·м]])),AN651/SQRT(Таблица_pr6[[#This Row],[Удельное сопротивление грунта, Ом·м]]))</f>
        <v/>
      </c>
      <c r="AQ651" s="51"/>
      <c r="AR651" s="52"/>
      <c r="AS651" s="50"/>
      <c r="AT651" s="61" t="str">
        <f t="shared" si="90"/>
        <v/>
      </c>
      <c r="AU651" s="61" t="str">
        <f>IFERROR(IF(AR651-AR650&lt;=0,"",AT651/SQRT(Таблица_pr7[[#This Row],[Удельное сопротивление грунта, Ом·м]])),AT651/SQRT(Таблица_pr7[[#This Row],[Удельное сопротивление грунта, Ом·м]]))</f>
        <v/>
      </c>
      <c r="AW651" s="51"/>
      <c r="AX651" s="52"/>
      <c r="AY651" s="50"/>
      <c r="AZ651" s="61" t="str">
        <f t="shared" si="95"/>
        <v/>
      </c>
      <c r="BA651" s="61" t="str">
        <f>IFERROR(IF(AX651-AX650&lt;=0,"",AZ651/SQRT(Таблица_pr8[[#This Row],[Удельное сопротивление грунта, Ом·м]])),AZ651/SQRT(Таблица_pr8[[#This Row],[Удельное сопротивление грунта, Ом·м]]))</f>
        <v/>
      </c>
      <c r="BC651" s="51"/>
      <c r="BD651" s="52"/>
      <c r="BE651" s="50"/>
      <c r="BF651" s="61" t="str">
        <f t="shared" si="91"/>
        <v/>
      </c>
      <c r="BG651" s="61" t="str">
        <f>IFERROR(IF(BD651-AX670&lt;=0,"",BF651/SQRT(Таблица_pr9[[#This Row],[Удельное сопротивление грунта, Ом·м]])),BF651/SQRT(Таблица_pr9[[#This Row],[Удельное сопротивление грунта, Ом·м]]))</f>
        <v/>
      </c>
      <c r="BI651" s="51"/>
      <c r="BJ651" s="52"/>
      <c r="BK651" s="50"/>
      <c r="BL651" s="61" t="str">
        <f t="shared" si="96"/>
        <v/>
      </c>
      <c r="BM651" s="61" t="str">
        <f>IFERROR(IF(BJ651-BD680&lt;=0,"",BL651/SQRT(Таблица_pr10[[#This Row],[Удельное сопротивление грунта, Ом·м]])),BL651/SQRT(Таблица_pr10[[#This Row],[Удельное сопротивление грунта, Ом·м]]))</f>
        <v/>
      </c>
    </row>
    <row r="652" spans="1:65">
      <c r="A652" s="53"/>
      <c r="B652" s="52"/>
      <c r="C652" s="50"/>
      <c r="D652" s="61" t="str">
        <f t="shared" si="86"/>
        <v/>
      </c>
      <c r="E652" s="61" t="str">
        <f>IFERROR(IF(B652-B651&lt;=0,"",D652/SQRT(Таблица_pr[[#This Row],[Удельное сопротивление грунта, Ом·м]])),D652/SQRT(Таблица_pr[[#This Row],[Удельное сопротивление грунта, Ом·м]]))</f>
        <v/>
      </c>
      <c r="G652" s="188"/>
      <c r="H652" s="184"/>
      <c r="I652" s="182"/>
      <c r="J652" s="181" t="str">
        <f t="shared" si="87"/>
        <v/>
      </c>
      <c r="K652" s="61" t="str">
        <f>IFERROR(IF(H652-H651&lt;=0,"",J652/SQRT(Таблица_pr1[[#This Row],[Удельное сопротивление грунта, Ом·м]])),J652/SQRT(Таблица_pr1[[#This Row],[Удельное сопротивление грунта, Ом·м]]))</f>
        <v/>
      </c>
      <c r="M652" s="53"/>
      <c r="N652" s="52"/>
      <c r="O652" s="50"/>
      <c r="P652" s="61" t="str">
        <f t="shared" si="92"/>
        <v/>
      </c>
      <c r="Q652" s="61" t="str">
        <f>IFERROR(IF(N652-N651&lt;=0,"",P652/SQRT(Таблица_pr2[[#This Row],[Удельное сопротивление грунта, Ом·м]])),P652/SQRT(Таблица_pr2[[#This Row],[Удельное сопротивление грунта, Ом·м]]))</f>
        <v/>
      </c>
      <c r="S652" s="53"/>
      <c r="T652" s="52"/>
      <c r="U652" s="50"/>
      <c r="V652" s="61" t="str">
        <f t="shared" si="88"/>
        <v/>
      </c>
      <c r="W652" s="61" t="str">
        <f>IFERROR(IF(T652-T651&lt;=0,"",V652/SQRT(Таблица_pr3[[#This Row],[Удельное сопротивление грунта, Ом·м]])),V652/SQRT(Таблица_pr3[[#This Row],[Удельное сопротивление грунта, Ом·м]]))</f>
        <v/>
      </c>
      <c r="Y652" s="53"/>
      <c r="Z652" s="52"/>
      <c r="AA652" s="50"/>
      <c r="AB652" s="61" t="str">
        <f t="shared" si="93"/>
        <v/>
      </c>
      <c r="AC652" s="61" t="str">
        <f>IFERROR(IF(Z652-Z651&lt;=0,"",AB652/SQRT(Таблица_pr4[[#This Row],[Удельное сопротивление грунта, Ом·м]])),AB652/SQRT(Таблица_pr4[[#This Row],[Удельное сопротивление грунта, Ом·м]]))</f>
        <v/>
      </c>
      <c r="AE652" s="53"/>
      <c r="AF652" s="52"/>
      <c r="AG652" s="50"/>
      <c r="AH652" s="61" t="str">
        <f t="shared" si="89"/>
        <v/>
      </c>
      <c r="AI652" s="61" t="str">
        <f>IFERROR(IF(AF652-AF651&lt;=0,"",AH652/SQRT(Таблица_pr5[[#This Row],[Удельное сопротивление грунта, Ом·м]])),AH652/SQRT(Таблица_pr5[[#This Row],[Удельное сопротивление грунта, Ом·м]]))</f>
        <v/>
      </c>
      <c r="AK652" s="53"/>
      <c r="AL652" s="52"/>
      <c r="AM652" s="50"/>
      <c r="AN652" s="61" t="str">
        <f t="shared" si="94"/>
        <v/>
      </c>
      <c r="AO652" s="61" t="str">
        <f>IFERROR(IF(AL652-AL651&lt;=0,"",AN652/SQRT(Таблица_pr6[[#This Row],[Удельное сопротивление грунта, Ом·м]])),AN652/SQRT(Таблица_pr6[[#This Row],[Удельное сопротивление грунта, Ом·м]]))</f>
        <v/>
      </c>
      <c r="AQ652" s="53"/>
      <c r="AR652" s="52"/>
      <c r="AS652" s="50"/>
      <c r="AT652" s="61" t="str">
        <f t="shared" si="90"/>
        <v/>
      </c>
      <c r="AU652" s="61" t="str">
        <f>IFERROR(IF(AR652-AR651&lt;=0,"",AT652/SQRT(Таблица_pr7[[#This Row],[Удельное сопротивление грунта, Ом·м]])),AT652/SQRT(Таблица_pr7[[#This Row],[Удельное сопротивление грунта, Ом·м]]))</f>
        <v/>
      </c>
      <c r="AW652" s="53"/>
      <c r="AX652" s="52"/>
      <c r="AY652" s="50"/>
      <c r="AZ652" s="61" t="str">
        <f t="shared" si="95"/>
        <v/>
      </c>
      <c r="BA652" s="61" t="str">
        <f>IFERROR(IF(AX652-AX651&lt;=0,"",AZ652/SQRT(Таблица_pr8[[#This Row],[Удельное сопротивление грунта, Ом·м]])),AZ652/SQRT(Таблица_pr8[[#This Row],[Удельное сопротивление грунта, Ом·м]]))</f>
        <v/>
      </c>
      <c r="BC652" s="53"/>
      <c r="BD652" s="52"/>
      <c r="BE652" s="50"/>
      <c r="BF652" s="61" t="str">
        <f t="shared" si="91"/>
        <v/>
      </c>
      <c r="BG652" s="61" t="str">
        <f>IFERROR(IF(BD652-AX671&lt;=0,"",BF652/SQRT(Таблица_pr9[[#This Row],[Удельное сопротивление грунта, Ом·м]])),BF652/SQRT(Таблица_pr9[[#This Row],[Удельное сопротивление грунта, Ом·м]]))</f>
        <v/>
      </c>
      <c r="BI652" s="53"/>
      <c r="BJ652" s="52"/>
      <c r="BK652" s="50"/>
      <c r="BL652" s="61" t="str">
        <f t="shared" si="96"/>
        <v/>
      </c>
      <c r="BM652" s="61" t="str">
        <f>IFERROR(IF(BJ652-BD681&lt;=0,"",BL652/SQRT(Таблица_pr10[[#This Row],[Удельное сопротивление грунта, Ом·м]])),BL652/SQRT(Таблица_pr10[[#This Row],[Удельное сопротивление грунта, Ом·м]]))</f>
        <v/>
      </c>
    </row>
    <row r="653" spans="1:65">
      <c r="A653" s="51"/>
      <c r="B653" s="52"/>
      <c r="C653" s="50"/>
      <c r="D653" s="61" t="str">
        <f t="shared" si="86"/>
        <v/>
      </c>
      <c r="E653" s="61" t="str">
        <f>IFERROR(IF(B653-B652&lt;=0,"",D653/SQRT(Таблица_pr[[#This Row],[Удельное сопротивление грунта, Ом·м]])),D653/SQRT(Таблица_pr[[#This Row],[Удельное сопротивление грунта, Ом·м]]))</f>
        <v/>
      </c>
      <c r="G653" s="189"/>
      <c r="H653" s="185"/>
      <c r="I653" s="183"/>
      <c r="J653" s="180" t="str">
        <f t="shared" si="87"/>
        <v/>
      </c>
      <c r="K653" s="61" t="str">
        <f>IFERROR(IF(H653-H652&lt;=0,"",J653/SQRT(Таблица_pr1[[#This Row],[Удельное сопротивление грунта, Ом·м]])),J653/SQRT(Таблица_pr1[[#This Row],[Удельное сопротивление грунта, Ом·м]]))</f>
        <v/>
      </c>
      <c r="M653" s="51"/>
      <c r="N653" s="52"/>
      <c r="O653" s="50"/>
      <c r="P653" s="61" t="str">
        <f t="shared" si="92"/>
        <v/>
      </c>
      <c r="Q653" s="61" t="str">
        <f>IFERROR(IF(N653-N652&lt;=0,"",P653/SQRT(Таблица_pr2[[#This Row],[Удельное сопротивление грунта, Ом·м]])),P653/SQRT(Таблица_pr2[[#This Row],[Удельное сопротивление грунта, Ом·м]]))</f>
        <v/>
      </c>
      <c r="S653" s="51"/>
      <c r="T653" s="52"/>
      <c r="U653" s="50"/>
      <c r="V653" s="61" t="str">
        <f t="shared" si="88"/>
        <v/>
      </c>
      <c r="W653" s="61" t="str">
        <f>IFERROR(IF(T653-T652&lt;=0,"",V653/SQRT(Таблица_pr3[[#This Row],[Удельное сопротивление грунта, Ом·м]])),V653/SQRT(Таблица_pr3[[#This Row],[Удельное сопротивление грунта, Ом·м]]))</f>
        <v/>
      </c>
      <c r="Y653" s="51"/>
      <c r="Z653" s="52"/>
      <c r="AA653" s="50"/>
      <c r="AB653" s="61" t="str">
        <f t="shared" si="93"/>
        <v/>
      </c>
      <c r="AC653" s="61" t="str">
        <f>IFERROR(IF(Z653-Z652&lt;=0,"",AB653/SQRT(Таблица_pr4[[#This Row],[Удельное сопротивление грунта, Ом·м]])),AB653/SQRT(Таблица_pr4[[#This Row],[Удельное сопротивление грунта, Ом·м]]))</f>
        <v/>
      </c>
      <c r="AE653" s="51"/>
      <c r="AF653" s="52"/>
      <c r="AG653" s="50"/>
      <c r="AH653" s="61" t="str">
        <f t="shared" si="89"/>
        <v/>
      </c>
      <c r="AI653" s="61" t="str">
        <f>IFERROR(IF(AF653-AF652&lt;=0,"",AH653/SQRT(Таблица_pr5[[#This Row],[Удельное сопротивление грунта, Ом·м]])),AH653/SQRT(Таблица_pr5[[#This Row],[Удельное сопротивление грунта, Ом·м]]))</f>
        <v/>
      </c>
      <c r="AK653" s="51"/>
      <c r="AL653" s="52"/>
      <c r="AM653" s="50"/>
      <c r="AN653" s="61" t="str">
        <f t="shared" si="94"/>
        <v/>
      </c>
      <c r="AO653" s="61" t="str">
        <f>IFERROR(IF(AL653-AL652&lt;=0,"",AN653/SQRT(Таблица_pr6[[#This Row],[Удельное сопротивление грунта, Ом·м]])),AN653/SQRT(Таблица_pr6[[#This Row],[Удельное сопротивление грунта, Ом·м]]))</f>
        <v/>
      </c>
      <c r="AQ653" s="51"/>
      <c r="AR653" s="52"/>
      <c r="AS653" s="50"/>
      <c r="AT653" s="61" t="str">
        <f t="shared" si="90"/>
        <v/>
      </c>
      <c r="AU653" s="61" t="str">
        <f>IFERROR(IF(AR653-AR652&lt;=0,"",AT653/SQRT(Таблица_pr7[[#This Row],[Удельное сопротивление грунта, Ом·м]])),AT653/SQRT(Таблица_pr7[[#This Row],[Удельное сопротивление грунта, Ом·м]]))</f>
        <v/>
      </c>
      <c r="AW653" s="51"/>
      <c r="AX653" s="52"/>
      <c r="AY653" s="50"/>
      <c r="AZ653" s="61" t="str">
        <f t="shared" si="95"/>
        <v/>
      </c>
      <c r="BA653" s="61" t="str">
        <f>IFERROR(IF(AX653-AX652&lt;=0,"",AZ653/SQRT(Таблица_pr8[[#This Row],[Удельное сопротивление грунта, Ом·м]])),AZ653/SQRT(Таблица_pr8[[#This Row],[Удельное сопротивление грунта, Ом·м]]))</f>
        <v/>
      </c>
      <c r="BC653" s="51"/>
      <c r="BD653" s="52"/>
      <c r="BE653" s="50"/>
      <c r="BF653" s="61" t="str">
        <f t="shared" si="91"/>
        <v/>
      </c>
      <c r="BG653" s="61" t="str">
        <f>IFERROR(IF(BD653-AX672&lt;=0,"",BF653/SQRT(Таблица_pr9[[#This Row],[Удельное сопротивление грунта, Ом·м]])),BF653/SQRT(Таблица_pr9[[#This Row],[Удельное сопротивление грунта, Ом·м]]))</f>
        <v/>
      </c>
      <c r="BI653" s="51"/>
      <c r="BJ653" s="52"/>
      <c r="BK653" s="50"/>
      <c r="BL653" s="61" t="str">
        <f t="shared" si="96"/>
        <v/>
      </c>
      <c r="BM653" s="61" t="str">
        <f>IFERROR(IF(BJ653-BD682&lt;=0,"",BL653/SQRT(Таблица_pr10[[#This Row],[Удельное сопротивление грунта, Ом·м]])),BL653/SQRT(Таблица_pr10[[#This Row],[Удельное сопротивление грунта, Ом·м]]))</f>
        <v/>
      </c>
    </row>
    <row r="654" spans="1:65">
      <c r="A654" s="53"/>
      <c r="B654" s="52"/>
      <c r="C654" s="50"/>
      <c r="D654" s="61" t="str">
        <f t="shared" si="86"/>
        <v/>
      </c>
      <c r="E654" s="61" t="str">
        <f>IFERROR(IF(B654-B653&lt;=0,"",D654/SQRT(Таблица_pr[[#This Row],[Удельное сопротивление грунта, Ом·м]])),D654/SQRT(Таблица_pr[[#This Row],[Удельное сопротивление грунта, Ом·м]]))</f>
        <v/>
      </c>
      <c r="G654" s="188"/>
      <c r="H654" s="184"/>
      <c r="I654" s="182"/>
      <c r="J654" s="181" t="str">
        <f t="shared" si="87"/>
        <v/>
      </c>
      <c r="K654" s="61" t="str">
        <f>IFERROR(IF(H654-H653&lt;=0,"",J654/SQRT(Таблица_pr1[[#This Row],[Удельное сопротивление грунта, Ом·м]])),J654/SQRT(Таблица_pr1[[#This Row],[Удельное сопротивление грунта, Ом·м]]))</f>
        <v/>
      </c>
      <c r="M654" s="53"/>
      <c r="N654" s="52"/>
      <c r="O654" s="50"/>
      <c r="P654" s="61" t="str">
        <f t="shared" si="92"/>
        <v/>
      </c>
      <c r="Q654" s="61" t="str">
        <f>IFERROR(IF(N654-N653&lt;=0,"",P654/SQRT(Таблица_pr2[[#This Row],[Удельное сопротивление грунта, Ом·м]])),P654/SQRT(Таблица_pr2[[#This Row],[Удельное сопротивление грунта, Ом·м]]))</f>
        <v/>
      </c>
      <c r="S654" s="53"/>
      <c r="T654" s="52"/>
      <c r="U654" s="50"/>
      <c r="V654" s="61" t="str">
        <f t="shared" si="88"/>
        <v/>
      </c>
      <c r="W654" s="61" t="str">
        <f>IFERROR(IF(T654-T653&lt;=0,"",V654/SQRT(Таблица_pr3[[#This Row],[Удельное сопротивление грунта, Ом·м]])),V654/SQRT(Таблица_pr3[[#This Row],[Удельное сопротивление грунта, Ом·м]]))</f>
        <v/>
      </c>
      <c r="Y654" s="53"/>
      <c r="Z654" s="52"/>
      <c r="AA654" s="50"/>
      <c r="AB654" s="61" t="str">
        <f t="shared" si="93"/>
        <v/>
      </c>
      <c r="AC654" s="61" t="str">
        <f>IFERROR(IF(Z654-Z653&lt;=0,"",AB654/SQRT(Таблица_pr4[[#This Row],[Удельное сопротивление грунта, Ом·м]])),AB654/SQRT(Таблица_pr4[[#This Row],[Удельное сопротивление грунта, Ом·м]]))</f>
        <v/>
      </c>
      <c r="AE654" s="53"/>
      <c r="AF654" s="52"/>
      <c r="AG654" s="50"/>
      <c r="AH654" s="61" t="str">
        <f t="shared" si="89"/>
        <v/>
      </c>
      <c r="AI654" s="61" t="str">
        <f>IFERROR(IF(AF654-AF653&lt;=0,"",AH654/SQRT(Таблица_pr5[[#This Row],[Удельное сопротивление грунта, Ом·м]])),AH654/SQRT(Таблица_pr5[[#This Row],[Удельное сопротивление грунта, Ом·м]]))</f>
        <v/>
      </c>
      <c r="AK654" s="53"/>
      <c r="AL654" s="52"/>
      <c r="AM654" s="50"/>
      <c r="AN654" s="61" t="str">
        <f t="shared" si="94"/>
        <v/>
      </c>
      <c r="AO654" s="61" t="str">
        <f>IFERROR(IF(AL654-AL653&lt;=0,"",AN654/SQRT(Таблица_pr6[[#This Row],[Удельное сопротивление грунта, Ом·м]])),AN654/SQRT(Таблица_pr6[[#This Row],[Удельное сопротивление грунта, Ом·м]]))</f>
        <v/>
      </c>
      <c r="AQ654" s="53"/>
      <c r="AR654" s="52"/>
      <c r="AS654" s="50"/>
      <c r="AT654" s="61" t="str">
        <f t="shared" si="90"/>
        <v/>
      </c>
      <c r="AU654" s="61" t="str">
        <f>IFERROR(IF(AR654-AR653&lt;=0,"",AT654/SQRT(Таблица_pr7[[#This Row],[Удельное сопротивление грунта, Ом·м]])),AT654/SQRT(Таблица_pr7[[#This Row],[Удельное сопротивление грунта, Ом·м]]))</f>
        <v/>
      </c>
      <c r="AW654" s="53"/>
      <c r="AX654" s="52"/>
      <c r="AY654" s="50"/>
      <c r="AZ654" s="61" t="str">
        <f t="shared" si="95"/>
        <v/>
      </c>
      <c r="BA654" s="61" t="str">
        <f>IFERROR(IF(AX654-AX653&lt;=0,"",AZ654/SQRT(Таблица_pr8[[#This Row],[Удельное сопротивление грунта, Ом·м]])),AZ654/SQRT(Таблица_pr8[[#This Row],[Удельное сопротивление грунта, Ом·м]]))</f>
        <v/>
      </c>
      <c r="BC654" s="53"/>
      <c r="BD654" s="52"/>
      <c r="BE654" s="50"/>
      <c r="BF654" s="61" t="str">
        <f t="shared" si="91"/>
        <v/>
      </c>
      <c r="BG654" s="61" t="str">
        <f>IFERROR(IF(BD654-AX673&lt;=0,"",BF654/SQRT(Таблица_pr9[[#This Row],[Удельное сопротивление грунта, Ом·м]])),BF654/SQRT(Таблица_pr9[[#This Row],[Удельное сопротивление грунта, Ом·м]]))</f>
        <v/>
      </c>
      <c r="BI654" s="53"/>
      <c r="BJ654" s="52"/>
      <c r="BK654" s="50"/>
      <c r="BL654" s="61" t="str">
        <f t="shared" si="96"/>
        <v/>
      </c>
      <c r="BM654" s="61" t="str">
        <f>IFERROR(IF(BJ654-BD683&lt;=0,"",BL654/SQRT(Таблица_pr10[[#This Row],[Удельное сопротивление грунта, Ом·м]])),BL654/SQRT(Таблица_pr10[[#This Row],[Удельное сопротивление грунта, Ом·м]]))</f>
        <v/>
      </c>
    </row>
    <row r="655" spans="1:65">
      <c r="A655" s="51"/>
      <c r="B655" s="52"/>
      <c r="C655" s="50"/>
      <c r="D655" s="61" t="str">
        <f t="shared" si="86"/>
        <v/>
      </c>
      <c r="E655" s="61" t="str">
        <f>IFERROR(IF(B655-B654&lt;=0,"",D655/SQRT(Таблица_pr[[#This Row],[Удельное сопротивление грунта, Ом·м]])),D655/SQRT(Таблица_pr[[#This Row],[Удельное сопротивление грунта, Ом·м]]))</f>
        <v/>
      </c>
      <c r="G655" s="189"/>
      <c r="H655" s="185"/>
      <c r="I655" s="183"/>
      <c r="J655" s="180" t="str">
        <f t="shared" si="87"/>
        <v/>
      </c>
      <c r="K655" s="61" t="str">
        <f>IFERROR(IF(H655-H654&lt;=0,"",J655/SQRT(Таблица_pr1[[#This Row],[Удельное сопротивление грунта, Ом·м]])),J655/SQRT(Таблица_pr1[[#This Row],[Удельное сопротивление грунта, Ом·м]]))</f>
        <v/>
      </c>
      <c r="M655" s="51"/>
      <c r="N655" s="52"/>
      <c r="O655" s="50"/>
      <c r="P655" s="61" t="str">
        <f t="shared" si="92"/>
        <v/>
      </c>
      <c r="Q655" s="61" t="str">
        <f>IFERROR(IF(N655-N654&lt;=0,"",P655/SQRT(Таблица_pr2[[#This Row],[Удельное сопротивление грунта, Ом·м]])),P655/SQRT(Таблица_pr2[[#This Row],[Удельное сопротивление грунта, Ом·м]]))</f>
        <v/>
      </c>
      <c r="S655" s="51"/>
      <c r="T655" s="52"/>
      <c r="U655" s="50"/>
      <c r="V655" s="61" t="str">
        <f t="shared" si="88"/>
        <v/>
      </c>
      <c r="W655" s="61" t="str">
        <f>IFERROR(IF(T655-T654&lt;=0,"",V655/SQRT(Таблица_pr3[[#This Row],[Удельное сопротивление грунта, Ом·м]])),V655/SQRT(Таблица_pr3[[#This Row],[Удельное сопротивление грунта, Ом·м]]))</f>
        <v/>
      </c>
      <c r="Y655" s="51"/>
      <c r="Z655" s="52"/>
      <c r="AA655" s="50"/>
      <c r="AB655" s="61" t="str">
        <f t="shared" si="93"/>
        <v/>
      </c>
      <c r="AC655" s="61" t="str">
        <f>IFERROR(IF(Z655-Z654&lt;=0,"",AB655/SQRT(Таблица_pr4[[#This Row],[Удельное сопротивление грунта, Ом·м]])),AB655/SQRT(Таблица_pr4[[#This Row],[Удельное сопротивление грунта, Ом·м]]))</f>
        <v/>
      </c>
      <c r="AE655" s="51"/>
      <c r="AF655" s="52"/>
      <c r="AG655" s="50"/>
      <c r="AH655" s="61" t="str">
        <f t="shared" si="89"/>
        <v/>
      </c>
      <c r="AI655" s="61" t="str">
        <f>IFERROR(IF(AF655-AF654&lt;=0,"",AH655/SQRT(Таблица_pr5[[#This Row],[Удельное сопротивление грунта, Ом·м]])),AH655/SQRT(Таблица_pr5[[#This Row],[Удельное сопротивление грунта, Ом·м]]))</f>
        <v/>
      </c>
      <c r="AK655" s="51"/>
      <c r="AL655" s="52"/>
      <c r="AM655" s="50"/>
      <c r="AN655" s="61" t="str">
        <f t="shared" si="94"/>
        <v/>
      </c>
      <c r="AO655" s="61" t="str">
        <f>IFERROR(IF(AL655-AL654&lt;=0,"",AN655/SQRT(Таблица_pr6[[#This Row],[Удельное сопротивление грунта, Ом·м]])),AN655/SQRT(Таблица_pr6[[#This Row],[Удельное сопротивление грунта, Ом·м]]))</f>
        <v/>
      </c>
      <c r="AQ655" s="51"/>
      <c r="AR655" s="52"/>
      <c r="AS655" s="50"/>
      <c r="AT655" s="61" t="str">
        <f t="shared" si="90"/>
        <v/>
      </c>
      <c r="AU655" s="61" t="str">
        <f>IFERROR(IF(AR655-AR654&lt;=0,"",AT655/SQRT(Таблица_pr7[[#This Row],[Удельное сопротивление грунта, Ом·м]])),AT655/SQRT(Таблица_pr7[[#This Row],[Удельное сопротивление грунта, Ом·м]]))</f>
        <v/>
      </c>
      <c r="AW655" s="51"/>
      <c r="AX655" s="52"/>
      <c r="AY655" s="50"/>
      <c r="AZ655" s="61" t="str">
        <f t="shared" si="95"/>
        <v/>
      </c>
      <c r="BA655" s="61" t="str">
        <f>IFERROR(IF(AX655-AX654&lt;=0,"",AZ655/SQRT(Таблица_pr8[[#This Row],[Удельное сопротивление грунта, Ом·м]])),AZ655/SQRT(Таблица_pr8[[#This Row],[Удельное сопротивление грунта, Ом·м]]))</f>
        <v/>
      </c>
      <c r="BC655" s="51"/>
      <c r="BD655" s="52"/>
      <c r="BE655" s="50"/>
      <c r="BF655" s="61" t="str">
        <f t="shared" si="91"/>
        <v/>
      </c>
      <c r="BG655" s="61" t="str">
        <f>IFERROR(IF(BD655-AX674&lt;=0,"",BF655/SQRT(Таблица_pr9[[#This Row],[Удельное сопротивление грунта, Ом·м]])),BF655/SQRT(Таблица_pr9[[#This Row],[Удельное сопротивление грунта, Ом·м]]))</f>
        <v/>
      </c>
      <c r="BI655" s="51"/>
      <c r="BJ655" s="52"/>
      <c r="BK655" s="50"/>
      <c r="BL655" s="61" t="str">
        <f t="shared" si="96"/>
        <v/>
      </c>
      <c r="BM655" s="61" t="str">
        <f>IFERROR(IF(BJ655-BD684&lt;=0,"",BL655/SQRT(Таблица_pr10[[#This Row],[Удельное сопротивление грунта, Ом·м]])),BL655/SQRT(Таблица_pr10[[#This Row],[Удельное сопротивление грунта, Ом·м]]))</f>
        <v/>
      </c>
    </row>
    <row r="656" spans="1:65">
      <c r="A656" s="53"/>
      <c r="B656" s="52"/>
      <c r="C656" s="50"/>
      <c r="D656" s="61" t="str">
        <f t="shared" si="86"/>
        <v/>
      </c>
      <c r="E656" s="61" t="str">
        <f>IFERROR(IF(B656-B655&lt;=0,"",D656/SQRT(Таблица_pr[[#This Row],[Удельное сопротивление грунта, Ом·м]])),D656/SQRT(Таблица_pr[[#This Row],[Удельное сопротивление грунта, Ом·м]]))</f>
        <v/>
      </c>
      <c r="G656" s="188"/>
      <c r="H656" s="184"/>
      <c r="I656" s="182"/>
      <c r="J656" s="181" t="str">
        <f t="shared" si="87"/>
        <v/>
      </c>
      <c r="K656" s="61" t="str">
        <f>IFERROR(IF(H656-H655&lt;=0,"",J656/SQRT(Таблица_pr1[[#This Row],[Удельное сопротивление грунта, Ом·м]])),J656/SQRT(Таблица_pr1[[#This Row],[Удельное сопротивление грунта, Ом·м]]))</f>
        <v/>
      </c>
      <c r="M656" s="53"/>
      <c r="N656" s="52"/>
      <c r="O656" s="50"/>
      <c r="P656" s="61" t="str">
        <f t="shared" si="92"/>
        <v/>
      </c>
      <c r="Q656" s="61" t="str">
        <f>IFERROR(IF(N656-N655&lt;=0,"",P656/SQRT(Таблица_pr2[[#This Row],[Удельное сопротивление грунта, Ом·м]])),P656/SQRT(Таблица_pr2[[#This Row],[Удельное сопротивление грунта, Ом·м]]))</f>
        <v/>
      </c>
      <c r="S656" s="53"/>
      <c r="T656" s="52"/>
      <c r="U656" s="50"/>
      <c r="V656" s="61" t="str">
        <f t="shared" si="88"/>
        <v/>
      </c>
      <c r="W656" s="61" t="str">
        <f>IFERROR(IF(T656-T655&lt;=0,"",V656/SQRT(Таблица_pr3[[#This Row],[Удельное сопротивление грунта, Ом·м]])),V656/SQRT(Таблица_pr3[[#This Row],[Удельное сопротивление грунта, Ом·м]]))</f>
        <v/>
      </c>
      <c r="Y656" s="53"/>
      <c r="Z656" s="52"/>
      <c r="AA656" s="50"/>
      <c r="AB656" s="61" t="str">
        <f t="shared" si="93"/>
        <v/>
      </c>
      <c r="AC656" s="61" t="str">
        <f>IFERROR(IF(Z656-Z655&lt;=0,"",AB656/SQRT(Таблица_pr4[[#This Row],[Удельное сопротивление грунта, Ом·м]])),AB656/SQRT(Таблица_pr4[[#This Row],[Удельное сопротивление грунта, Ом·м]]))</f>
        <v/>
      </c>
      <c r="AE656" s="53"/>
      <c r="AF656" s="52"/>
      <c r="AG656" s="50"/>
      <c r="AH656" s="61" t="str">
        <f t="shared" si="89"/>
        <v/>
      </c>
      <c r="AI656" s="61" t="str">
        <f>IFERROR(IF(AF656-AF655&lt;=0,"",AH656/SQRT(Таблица_pr5[[#This Row],[Удельное сопротивление грунта, Ом·м]])),AH656/SQRT(Таблица_pr5[[#This Row],[Удельное сопротивление грунта, Ом·м]]))</f>
        <v/>
      </c>
      <c r="AK656" s="53"/>
      <c r="AL656" s="52"/>
      <c r="AM656" s="50"/>
      <c r="AN656" s="61" t="str">
        <f t="shared" si="94"/>
        <v/>
      </c>
      <c r="AO656" s="61" t="str">
        <f>IFERROR(IF(AL656-AL655&lt;=0,"",AN656/SQRT(Таблица_pr6[[#This Row],[Удельное сопротивление грунта, Ом·м]])),AN656/SQRT(Таблица_pr6[[#This Row],[Удельное сопротивление грунта, Ом·м]]))</f>
        <v/>
      </c>
      <c r="AQ656" s="53"/>
      <c r="AR656" s="52"/>
      <c r="AS656" s="50"/>
      <c r="AT656" s="61" t="str">
        <f t="shared" si="90"/>
        <v/>
      </c>
      <c r="AU656" s="61" t="str">
        <f>IFERROR(IF(AR656-AR655&lt;=0,"",AT656/SQRT(Таблица_pr7[[#This Row],[Удельное сопротивление грунта, Ом·м]])),AT656/SQRT(Таблица_pr7[[#This Row],[Удельное сопротивление грунта, Ом·м]]))</f>
        <v/>
      </c>
      <c r="AW656" s="53"/>
      <c r="AX656" s="52"/>
      <c r="AY656" s="50"/>
      <c r="AZ656" s="61" t="str">
        <f t="shared" si="95"/>
        <v/>
      </c>
      <c r="BA656" s="61" t="str">
        <f>IFERROR(IF(AX656-AX655&lt;=0,"",AZ656/SQRT(Таблица_pr8[[#This Row],[Удельное сопротивление грунта, Ом·м]])),AZ656/SQRT(Таблица_pr8[[#This Row],[Удельное сопротивление грунта, Ом·м]]))</f>
        <v/>
      </c>
      <c r="BC656" s="53"/>
      <c r="BD656" s="52"/>
      <c r="BE656" s="50"/>
      <c r="BF656" s="61" t="str">
        <f t="shared" si="91"/>
        <v/>
      </c>
      <c r="BG656" s="61" t="str">
        <f>IFERROR(IF(BD656-AX675&lt;=0,"",BF656/SQRT(Таблица_pr9[[#This Row],[Удельное сопротивление грунта, Ом·м]])),BF656/SQRT(Таблица_pr9[[#This Row],[Удельное сопротивление грунта, Ом·м]]))</f>
        <v/>
      </c>
      <c r="BI656" s="53"/>
      <c r="BJ656" s="52"/>
      <c r="BK656" s="50"/>
      <c r="BL656" s="61" t="str">
        <f t="shared" si="96"/>
        <v/>
      </c>
      <c r="BM656" s="61" t="str">
        <f>IFERROR(IF(BJ656-BD685&lt;=0,"",BL656/SQRT(Таблица_pr10[[#This Row],[Удельное сопротивление грунта, Ом·м]])),BL656/SQRT(Таблица_pr10[[#This Row],[Удельное сопротивление грунта, Ом·м]]))</f>
        <v/>
      </c>
    </row>
    <row r="657" spans="1:65">
      <c r="A657" s="51"/>
      <c r="B657" s="52"/>
      <c r="C657" s="50"/>
      <c r="D657" s="61" t="str">
        <f t="shared" si="86"/>
        <v/>
      </c>
      <c r="E657" s="61" t="str">
        <f>IFERROR(IF(B657-B656&lt;=0,"",D657/SQRT(Таблица_pr[[#This Row],[Удельное сопротивление грунта, Ом·м]])),D657/SQRT(Таблица_pr[[#This Row],[Удельное сопротивление грунта, Ом·м]]))</f>
        <v/>
      </c>
      <c r="G657" s="189"/>
      <c r="H657" s="185"/>
      <c r="I657" s="183"/>
      <c r="J657" s="180" t="str">
        <f t="shared" si="87"/>
        <v/>
      </c>
      <c r="K657" s="61" t="str">
        <f>IFERROR(IF(H657-H656&lt;=0,"",J657/SQRT(Таблица_pr1[[#This Row],[Удельное сопротивление грунта, Ом·м]])),J657/SQRT(Таблица_pr1[[#This Row],[Удельное сопротивление грунта, Ом·м]]))</f>
        <v/>
      </c>
      <c r="M657" s="51"/>
      <c r="N657" s="52"/>
      <c r="O657" s="50"/>
      <c r="P657" s="61" t="str">
        <f t="shared" si="92"/>
        <v/>
      </c>
      <c r="Q657" s="61" t="str">
        <f>IFERROR(IF(N657-N656&lt;=0,"",P657/SQRT(Таблица_pr2[[#This Row],[Удельное сопротивление грунта, Ом·м]])),P657/SQRT(Таблица_pr2[[#This Row],[Удельное сопротивление грунта, Ом·м]]))</f>
        <v/>
      </c>
      <c r="S657" s="51"/>
      <c r="T657" s="52"/>
      <c r="U657" s="50"/>
      <c r="V657" s="61" t="str">
        <f t="shared" si="88"/>
        <v/>
      </c>
      <c r="W657" s="61" t="str">
        <f>IFERROR(IF(T657-T656&lt;=0,"",V657/SQRT(Таблица_pr3[[#This Row],[Удельное сопротивление грунта, Ом·м]])),V657/SQRT(Таблица_pr3[[#This Row],[Удельное сопротивление грунта, Ом·м]]))</f>
        <v/>
      </c>
      <c r="Y657" s="51"/>
      <c r="Z657" s="52"/>
      <c r="AA657" s="50"/>
      <c r="AB657" s="61" t="str">
        <f t="shared" si="93"/>
        <v/>
      </c>
      <c r="AC657" s="61" t="str">
        <f>IFERROR(IF(Z657-Z656&lt;=0,"",AB657/SQRT(Таблица_pr4[[#This Row],[Удельное сопротивление грунта, Ом·м]])),AB657/SQRT(Таблица_pr4[[#This Row],[Удельное сопротивление грунта, Ом·м]]))</f>
        <v/>
      </c>
      <c r="AE657" s="51"/>
      <c r="AF657" s="52"/>
      <c r="AG657" s="50"/>
      <c r="AH657" s="61" t="str">
        <f t="shared" si="89"/>
        <v/>
      </c>
      <c r="AI657" s="61" t="str">
        <f>IFERROR(IF(AF657-AF656&lt;=0,"",AH657/SQRT(Таблица_pr5[[#This Row],[Удельное сопротивление грунта, Ом·м]])),AH657/SQRT(Таблица_pr5[[#This Row],[Удельное сопротивление грунта, Ом·м]]))</f>
        <v/>
      </c>
      <c r="AK657" s="51"/>
      <c r="AL657" s="52"/>
      <c r="AM657" s="50"/>
      <c r="AN657" s="61" t="str">
        <f t="shared" si="94"/>
        <v/>
      </c>
      <c r="AO657" s="61" t="str">
        <f>IFERROR(IF(AL657-AL656&lt;=0,"",AN657/SQRT(Таблица_pr6[[#This Row],[Удельное сопротивление грунта, Ом·м]])),AN657/SQRT(Таблица_pr6[[#This Row],[Удельное сопротивление грунта, Ом·м]]))</f>
        <v/>
      </c>
      <c r="AQ657" s="51"/>
      <c r="AR657" s="52"/>
      <c r="AS657" s="50"/>
      <c r="AT657" s="61" t="str">
        <f t="shared" si="90"/>
        <v/>
      </c>
      <c r="AU657" s="61" t="str">
        <f>IFERROR(IF(AR657-AR656&lt;=0,"",AT657/SQRT(Таблица_pr7[[#This Row],[Удельное сопротивление грунта, Ом·м]])),AT657/SQRT(Таблица_pr7[[#This Row],[Удельное сопротивление грунта, Ом·м]]))</f>
        <v/>
      </c>
      <c r="AW657" s="51"/>
      <c r="AX657" s="52"/>
      <c r="AY657" s="50"/>
      <c r="AZ657" s="61" t="str">
        <f t="shared" si="95"/>
        <v/>
      </c>
      <c r="BA657" s="61" t="str">
        <f>IFERROR(IF(AX657-AX656&lt;=0,"",AZ657/SQRT(Таблица_pr8[[#This Row],[Удельное сопротивление грунта, Ом·м]])),AZ657/SQRT(Таблица_pr8[[#This Row],[Удельное сопротивление грунта, Ом·м]]))</f>
        <v/>
      </c>
      <c r="BC657" s="51"/>
      <c r="BD657" s="52"/>
      <c r="BE657" s="50"/>
      <c r="BF657" s="61" t="str">
        <f t="shared" si="91"/>
        <v/>
      </c>
      <c r="BG657" s="61" t="str">
        <f>IFERROR(IF(BD657-AX676&lt;=0,"",BF657/SQRT(Таблица_pr9[[#This Row],[Удельное сопротивление грунта, Ом·м]])),BF657/SQRT(Таблица_pr9[[#This Row],[Удельное сопротивление грунта, Ом·м]]))</f>
        <v/>
      </c>
      <c r="BI657" s="51"/>
      <c r="BJ657" s="52"/>
      <c r="BK657" s="50"/>
      <c r="BL657" s="61" t="str">
        <f t="shared" si="96"/>
        <v/>
      </c>
      <c r="BM657" s="61" t="str">
        <f>IFERROR(IF(BJ657-BD686&lt;=0,"",BL657/SQRT(Таблица_pr10[[#This Row],[Удельное сопротивление грунта, Ом·м]])),BL657/SQRT(Таблица_pr10[[#This Row],[Удельное сопротивление грунта, Ом·м]]))</f>
        <v/>
      </c>
    </row>
    <row r="658" spans="1:65">
      <c r="A658" s="53"/>
      <c r="B658" s="52"/>
      <c r="C658" s="50"/>
      <c r="D658" s="61" t="str">
        <f t="shared" si="86"/>
        <v/>
      </c>
      <c r="E658" s="61" t="str">
        <f>IFERROR(IF(B658-B657&lt;=0,"",D658/SQRT(Таблица_pr[[#This Row],[Удельное сопротивление грунта, Ом·м]])),D658/SQRT(Таблица_pr[[#This Row],[Удельное сопротивление грунта, Ом·м]]))</f>
        <v/>
      </c>
      <c r="G658" s="188"/>
      <c r="H658" s="184"/>
      <c r="I658" s="182"/>
      <c r="J658" s="181" t="str">
        <f t="shared" si="87"/>
        <v/>
      </c>
      <c r="K658" s="61" t="str">
        <f>IFERROR(IF(H658-H657&lt;=0,"",J658/SQRT(Таблица_pr1[[#This Row],[Удельное сопротивление грунта, Ом·м]])),J658/SQRT(Таблица_pr1[[#This Row],[Удельное сопротивление грунта, Ом·м]]))</f>
        <v/>
      </c>
      <c r="M658" s="53"/>
      <c r="N658" s="52"/>
      <c r="O658" s="50"/>
      <c r="P658" s="61" t="str">
        <f t="shared" si="92"/>
        <v/>
      </c>
      <c r="Q658" s="61" t="str">
        <f>IFERROR(IF(N658-N657&lt;=0,"",P658/SQRT(Таблица_pr2[[#This Row],[Удельное сопротивление грунта, Ом·м]])),P658/SQRT(Таблица_pr2[[#This Row],[Удельное сопротивление грунта, Ом·м]]))</f>
        <v/>
      </c>
      <c r="S658" s="53"/>
      <c r="T658" s="52"/>
      <c r="U658" s="50"/>
      <c r="V658" s="61" t="str">
        <f t="shared" si="88"/>
        <v/>
      </c>
      <c r="W658" s="61" t="str">
        <f>IFERROR(IF(T658-T657&lt;=0,"",V658/SQRT(Таблица_pr3[[#This Row],[Удельное сопротивление грунта, Ом·м]])),V658/SQRT(Таблица_pr3[[#This Row],[Удельное сопротивление грунта, Ом·м]]))</f>
        <v/>
      </c>
      <c r="Y658" s="53"/>
      <c r="Z658" s="52"/>
      <c r="AA658" s="50"/>
      <c r="AB658" s="61" t="str">
        <f t="shared" si="93"/>
        <v/>
      </c>
      <c r="AC658" s="61" t="str">
        <f>IFERROR(IF(Z658-Z657&lt;=0,"",AB658/SQRT(Таблица_pr4[[#This Row],[Удельное сопротивление грунта, Ом·м]])),AB658/SQRT(Таблица_pr4[[#This Row],[Удельное сопротивление грунта, Ом·м]]))</f>
        <v/>
      </c>
      <c r="AE658" s="53"/>
      <c r="AF658" s="52"/>
      <c r="AG658" s="50"/>
      <c r="AH658" s="61" t="str">
        <f t="shared" si="89"/>
        <v/>
      </c>
      <c r="AI658" s="61" t="str">
        <f>IFERROR(IF(AF658-AF657&lt;=0,"",AH658/SQRT(Таблица_pr5[[#This Row],[Удельное сопротивление грунта, Ом·м]])),AH658/SQRT(Таблица_pr5[[#This Row],[Удельное сопротивление грунта, Ом·м]]))</f>
        <v/>
      </c>
      <c r="AK658" s="53"/>
      <c r="AL658" s="52"/>
      <c r="AM658" s="50"/>
      <c r="AN658" s="61" t="str">
        <f t="shared" si="94"/>
        <v/>
      </c>
      <c r="AO658" s="61" t="str">
        <f>IFERROR(IF(AL658-AL657&lt;=0,"",AN658/SQRT(Таблица_pr6[[#This Row],[Удельное сопротивление грунта, Ом·м]])),AN658/SQRT(Таблица_pr6[[#This Row],[Удельное сопротивление грунта, Ом·м]]))</f>
        <v/>
      </c>
      <c r="AQ658" s="53"/>
      <c r="AR658" s="52"/>
      <c r="AS658" s="50"/>
      <c r="AT658" s="61" t="str">
        <f t="shared" si="90"/>
        <v/>
      </c>
      <c r="AU658" s="61" t="str">
        <f>IFERROR(IF(AR658-AR657&lt;=0,"",AT658/SQRT(Таблица_pr7[[#This Row],[Удельное сопротивление грунта, Ом·м]])),AT658/SQRT(Таблица_pr7[[#This Row],[Удельное сопротивление грунта, Ом·м]]))</f>
        <v/>
      </c>
      <c r="AW658" s="53"/>
      <c r="AX658" s="52"/>
      <c r="AY658" s="50"/>
      <c r="AZ658" s="61" t="str">
        <f t="shared" si="95"/>
        <v/>
      </c>
      <c r="BA658" s="61" t="str">
        <f>IFERROR(IF(AX658-AX657&lt;=0,"",AZ658/SQRT(Таблица_pr8[[#This Row],[Удельное сопротивление грунта, Ом·м]])),AZ658/SQRT(Таблица_pr8[[#This Row],[Удельное сопротивление грунта, Ом·м]]))</f>
        <v/>
      </c>
      <c r="BC658" s="53"/>
      <c r="BD658" s="52"/>
      <c r="BE658" s="50"/>
      <c r="BF658" s="61" t="str">
        <f t="shared" si="91"/>
        <v/>
      </c>
      <c r="BG658" s="61" t="str">
        <f>IFERROR(IF(BD658-AX677&lt;=0,"",BF658/SQRT(Таблица_pr9[[#This Row],[Удельное сопротивление грунта, Ом·м]])),BF658/SQRT(Таблица_pr9[[#This Row],[Удельное сопротивление грунта, Ом·м]]))</f>
        <v/>
      </c>
      <c r="BI658" s="53"/>
      <c r="BJ658" s="52"/>
      <c r="BK658" s="50"/>
      <c r="BL658" s="61" t="str">
        <f t="shared" si="96"/>
        <v/>
      </c>
      <c r="BM658" s="61" t="str">
        <f>IFERROR(IF(BJ658-BD687&lt;=0,"",BL658/SQRT(Таблица_pr10[[#This Row],[Удельное сопротивление грунта, Ом·м]])),BL658/SQRT(Таблица_pr10[[#This Row],[Удельное сопротивление грунта, Ом·м]]))</f>
        <v/>
      </c>
    </row>
    <row r="659" spans="1:65">
      <c r="A659" s="51"/>
      <c r="B659" s="52"/>
      <c r="C659" s="50"/>
      <c r="D659" s="61" t="str">
        <f t="shared" si="86"/>
        <v/>
      </c>
      <c r="E659" s="61" t="str">
        <f>IFERROR(IF(B659-B658&lt;=0,"",D659/SQRT(Таблица_pr[[#This Row],[Удельное сопротивление грунта, Ом·м]])),D659/SQRT(Таблица_pr[[#This Row],[Удельное сопротивление грунта, Ом·м]]))</f>
        <v/>
      </c>
      <c r="G659" s="189"/>
      <c r="H659" s="185"/>
      <c r="I659" s="183"/>
      <c r="J659" s="180" t="str">
        <f t="shared" si="87"/>
        <v/>
      </c>
      <c r="K659" s="61" t="str">
        <f>IFERROR(IF(H659-H658&lt;=0,"",J659/SQRT(Таблица_pr1[[#This Row],[Удельное сопротивление грунта, Ом·м]])),J659/SQRT(Таблица_pr1[[#This Row],[Удельное сопротивление грунта, Ом·м]]))</f>
        <v/>
      </c>
      <c r="M659" s="51"/>
      <c r="N659" s="52"/>
      <c r="O659" s="50"/>
      <c r="P659" s="61" t="str">
        <f t="shared" si="92"/>
        <v/>
      </c>
      <c r="Q659" s="61" t="str">
        <f>IFERROR(IF(N659-N658&lt;=0,"",P659/SQRT(Таблица_pr2[[#This Row],[Удельное сопротивление грунта, Ом·м]])),P659/SQRT(Таблица_pr2[[#This Row],[Удельное сопротивление грунта, Ом·м]]))</f>
        <v/>
      </c>
      <c r="S659" s="51"/>
      <c r="T659" s="52"/>
      <c r="U659" s="50"/>
      <c r="V659" s="61" t="str">
        <f t="shared" si="88"/>
        <v/>
      </c>
      <c r="W659" s="61" t="str">
        <f>IFERROR(IF(T659-T658&lt;=0,"",V659/SQRT(Таблица_pr3[[#This Row],[Удельное сопротивление грунта, Ом·м]])),V659/SQRT(Таблица_pr3[[#This Row],[Удельное сопротивление грунта, Ом·м]]))</f>
        <v/>
      </c>
      <c r="Y659" s="51"/>
      <c r="Z659" s="52"/>
      <c r="AA659" s="50"/>
      <c r="AB659" s="61" t="str">
        <f t="shared" si="93"/>
        <v/>
      </c>
      <c r="AC659" s="61" t="str">
        <f>IFERROR(IF(Z659-Z658&lt;=0,"",AB659/SQRT(Таблица_pr4[[#This Row],[Удельное сопротивление грунта, Ом·м]])),AB659/SQRT(Таблица_pr4[[#This Row],[Удельное сопротивление грунта, Ом·м]]))</f>
        <v/>
      </c>
      <c r="AE659" s="51"/>
      <c r="AF659" s="52"/>
      <c r="AG659" s="50"/>
      <c r="AH659" s="61" t="str">
        <f t="shared" si="89"/>
        <v/>
      </c>
      <c r="AI659" s="61" t="str">
        <f>IFERROR(IF(AF659-AF658&lt;=0,"",AH659/SQRT(Таблица_pr5[[#This Row],[Удельное сопротивление грунта, Ом·м]])),AH659/SQRT(Таблица_pr5[[#This Row],[Удельное сопротивление грунта, Ом·м]]))</f>
        <v/>
      </c>
      <c r="AK659" s="51"/>
      <c r="AL659" s="52"/>
      <c r="AM659" s="50"/>
      <c r="AN659" s="61" t="str">
        <f t="shared" si="94"/>
        <v/>
      </c>
      <c r="AO659" s="61" t="str">
        <f>IFERROR(IF(AL659-AL658&lt;=0,"",AN659/SQRT(Таблица_pr6[[#This Row],[Удельное сопротивление грунта, Ом·м]])),AN659/SQRT(Таблица_pr6[[#This Row],[Удельное сопротивление грунта, Ом·м]]))</f>
        <v/>
      </c>
      <c r="AQ659" s="51"/>
      <c r="AR659" s="52"/>
      <c r="AS659" s="50"/>
      <c r="AT659" s="61" t="str">
        <f t="shared" si="90"/>
        <v/>
      </c>
      <c r="AU659" s="61" t="str">
        <f>IFERROR(IF(AR659-AR658&lt;=0,"",AT659/SQRT(Таблица_pr7[[#This Row],[Удельное сопротивление грунта, Ом·м]])),AT659/SQRT(Таблица_pr7[[#This Row],[Удельное сопротивление грунта, Ом·м]]))</f>
        <v/>
      </c>
      <c r="AW659" s="51"/>
      <c r="AX659" s="52"/>
      <c r="AY659" s="50"/>
      <c r="AZ659" s="61" t="str">
        <f t="shared" si="95"/>
        <v/>
      </c>
      <c r="BA659" s="61" t="str">
        <f>IFERROR(IF(AX659-AX658&lt;=0,"",AZ659/SQRT(Таблица_pr8[[#This Row],[Удельное сопротивление грунта, Ом·м]])),AZ659/SQRT(Таблица_pr8[[#This Row],[Удельное сопротивление грунта, Ом·м]]))</f>
        <v/>
      </c>
      <c r="BC659" s="51"/>
      <c r="BD659" s="52"/>
      <c r="BE659" s="50"/>
      <c r="BF659" s="61" t="str">
        <f t="shared" si="91"/>
        <v/>
      </c>
      <c r="BG659" s="61" t="str">
        <f>IFERROR(IF(BD659-AX678&lt;=0,"",BF659/SQRT(Таблица_pr9[[#This Row],[Удельное сопротивление грунта, Ом·м]])),BF659/SQRT(Таблица_pr9[[#This Row],[Удельное сопротивление грунта, Ом·м]]))</f>
        <v/>
      </c>
      <c r="BI659" s="51"/>
      <c r="BJ659" s="52"/>
      <c r="BK659" s="50"/>
      <c r="BL659" s="61" t="str">
        <f t="shared" si="96"/>
        <v/>
      </c>
      <c r="BM659" s="61" t="str">
        <f>IFERROR(IF(BJ659-BD688&lt;=0,"",BL659/SQRT(Таблица_pr10[[#This Row],[Удельное сопротивление грунта, Ом·м]])),BL659/SQRT(Таблица_pr10[[#This Row],[Удельное сопротивление грунта, Ом·м]]))</f>
        <v/>
      </c>
    </row>
    <row r="660" spans="1:65">
      <c r="A660" s="53"/>
      <c r="B660" s="52"/>
      <c r="C660" s="50"/>
      <c r="D660" s="61" t="str">
        <f t="shared" si="86"/>
        <v/>
      </c>
      <c r="E660" s="61" t="str">
        <f>IFERROR(IF(B660-B659&lt;=0,"",D660/SQRT(Таблица_pr[[#This Row],[Удельное сопротивление грунта, Ом·м]])),D660/SQRT(Таблица_pr[[#This Row],[Удельное сопротивление грунта, Ом·м]]))</f>
        <v/>
      </c>
      <c r="G660" s="188"/>
      <c r="H660" s="184"/>
      <c r="I660" s="182"/>
      <c r="J660" s="181" t="str">
        <f t="shared" si="87"/>
        <v/>
      </c>
      <c r="K660" s="61" t="str">
        <f>IFERROR(IF(H660-H659&lt;=0,"",J660/SQRT(Таблица_pr1[[#This Row],[Удельное сопротивление грунта, Ом·м]])),J660/SQRT(Таблица_pr1[[#This Row],[Удельное сопротивление грунта, Ом·м]]))</f>
        <v/>
      </c>
      <c r="M660" s="53"/>
      <c r="N660" s="52"/>
      <c r="O660" s="50"/>
      <c r="P660" s="61" t="str">
        <f t="shared" si="92"/>
        <v/>
      </c>
      <c r="Q660" s="61" t="str">
        <f>IFERROR(IF(N660-N659&lt;=0,"",P660/SQRT(Таблица_pr2[[#This Row],[Удельное сопротивление грунта, Ом·м]])),P660/SQRT(Таблица_pr2[[#This Row],[Удельное сопротивление грунта, Ом·м]]))</f>
        <v/>
      </c>
      <c r="S660" s="53"/>
      <c r="T660" s="52"/>
      <c r="U660" s="50"/>
      <c r="V660" s="61" t="str">
        <f t="shared" si="88"/>
        <v/>
      </c>
      <c r="W660" s="61" t="str">
        <f>IFERROR(IF(T660-T659&lt;=0,"",V660/SQRT(Таблица_pr3[[#This Row],[Удельное сопротивление грунта, Ом·м]])),V660/SQRT(Таблица_pr3[[#This Row],[Удельное сопротивление грунта, Ом·м]]))</f>
        <v/>
      </c>
      <c r="Y660" s="53"/>
      <c r="Z660" s="52"/>
      <c r="AA660" s="50"/>
      <c r="AB660" s="61" t="str">
        <f t="shared" si="93"/>
        <v/>
      </c>
      <c r="AC660" s="61" t="str">
        <f>IFERROR(IF(Z660-Z659&lt;=0,"",AB660/SQRT(Таблица_pr4[[#This Row],[Удельное сопротивление грунта, Ом·м]])),AB660/SQRT(Таблица_pr4[[#This Row],[Удельное сопротивление грунта, Ом·м]]))</f>
        <v/>
      </c>
      <c r="AE660" s="53"/>
      <c r="AF660" s="52"/>
      <c r="AG660" s="50"/>
      <c r="AH660" s="61" t="str">
        <f t="shared" si="89"/>
        <v/>
      </c>
      <c r="AI660" s="61" t="str">
        <f>IFERROR(IF(AF660-AF659&lt;=0,"",AH660/SQRT(Таблица_pr5[[#This Row],[Удельное сопротивление грунта, Ом·м]])),AH660/SQRT(Таблица_pr5[[#This Row],[Удельное сопротивление грунта, Ом·м]]))</f>
        <v/>
      </c>
      <c r="AK660" s="53"/>
      <c r="AL660" s="52"/>
      <c r="AM660" s="50"/>
      <c r="AN660" s="61" t="str">
        <f t="shared" si="94"/>
        <v/>
      </c>
      <c r="AO660" s="61" t="str">
        <f>IFERROR(IF(AL660-AL659&lt;=0,"",AN660/SQRT(Таблица_pr6[[#This Row],[Удельное сопротивление грунта, Ом·м]])),AN660/SQRT(Таблица_pr6[[#This Row],[Удельное сопротивление грунта, Ом·м]]))</f>
        <v/>
      </c>
      <c r="AQ660" s="53"/>
      <c r="AR660" s="52"/>
      <c r="AS660" s="50"/>
      <c r="AT660" s="61" t="str">
        <f t="shared" si="90"/>
        <v/>
      </c>
      <c r="AU660" s="61" t="str">
        <f>IFERROR(IF(AR660-AR659&lt;=0,"",AT660/SQRT(Таблица_pr7[[#This Row],[Удельное сопротивление грунта, Ом·м]])),AT660/SQRT(Таблица_pr7[[#This Row],[Удельное сопротивление грунта, Ом·м]]))</f>
        <v/>
      </c>
      <c r="AW660" s="53"/>
      <c r="AX660" s="52"/>
      <c r="AY660" s="50"/>
      <c r="AZ660" s="61" t="str">
        <f t="shared" si="95"/>
        <v/>
      </c>
      <c r="BA660" s="61" t="str">
        <f>IFERROR(IF(AX660-AX659&lt;=0,"",AZ660/SQRT(Таблица_pr8[[#This Row],[Удельное сопротивление грунта, Ом·м]])),AZ660/SQRT(Таблица_pr8[[#This Row],[Удельное сопротивление грунта, Ом·м]]))</f>
        <v/>
      </c>
      <c r="BC660" s="53"/>
      <c r="BD660" s="52"/>
      <c r="BE660" s="50"/>
      <c r="BF660" s="61" t="str">
        <f t="shared" si="91"/>
        <v/>
      </c>
      <c r="BG660" s="61" t="str">
        <f>IFERROR(IF(BD660-AX679&lt;=0,"",BF660/SQRT(Таблица_pr9[[#This Row],[Удельное сопротивление грунта, Ом·м]])),BF660/SQRT(Таблица_pr9[[#This Row],[Удельное сопротивление грунта, Ом·м]]))</f>
        <v/>
      </c>
      <c r="BI660" s="53"/>
      <c r="BJ660" s="52"/>
      <c r="BK660" s="50"/>
      <c r="BL660" s="61" t="str">
        <f t="shared" si="96"/>
        <v/>
      </c>
      <c r="BM660" s="61" t="str">
        <f>IFERROR(IF(BJ660-BD689&lt;=0,"",BL660/SQRT(Таблица_pr10[[#This Row],[Удельное сопротивление грунта, Ом·м]])),BL660/SQRT(Таблица_pr10[[#This Row],[Удельное сопротивление грунта, Ом·м]]))</f>
        <v/>
      </c>
    </row>
    <row r="661" spans="1:65">
      <c r="A661" s="51"/>
      <c r="B661" s="52"/>
      <c r="C661" s="50"/>
      <c r="D661" s="61" t="str">
        <f t="shared" si="86"/>
        <v/>
      </c>
      <c r="E661" s="61" t="str">
        <f>IFERROR(IF(B661-B660&lt;=0,"",D661/SQRT(Таблица_pr[[#This Row],[Удельное сопротивление грунта, Ом·м]])),D661/SQRT(Таблица_pr[[#This Row],[Удельное сопротивление грунта, Ом·м]]))</f>
        <v/>
      </c>
      <c r="G661" s="189"/>
      <c r="H661" s="185"/>
      <c r="I661" s="183"/>
      <c r="J661" s="180" t="str">
        <f t="shared" si="87"/>
        <v/>
      </c>
      <c r="K661" s="61" t="str">
        <f>IFERROR(IF(H661-H660&lt;=0,"",J661/SQRT(Таблица_pr1[[#This Row],[Удельное сопротивление грунта, Ом·м]])),J661/SQRT(Таблица_pr1[[#This Row],[Удельное сопротивление грунта, Ом·м]]))</f>
        <v/>
      </c>
      <c r="M661" s="51"/>
      <c r="N661" s="52"/>
      <c r="O661" s="50"/>
      <c r="P661" s="61" t="str">
        <f t="shared" si="92"/>
        <v/>
      </c>
      <c r="Q661" s="61" t="str">
        <f>IFERROR(IF(N661-N660&lt;=0,"",P661/SQRT(Таблица_pr2[[#This Row],[Удельное сопротивление грунта, Ом·м]])),P661/SQRT(Таблица_pr2[[#This Row],[Удельное сопротивление грунта, Ом·м]]))</f>
        <v/>
      </c>
      <c r="S661" s="51"/>
      <c r="T661" s="52"/>
      <c r="U661" s="50"/>
      <c r="V661" s="61" t="str">
        <f t="shared" si="88"/>
        <v/>
      </c>
      <c r="W661" s="61" t="str">
        <f>IFERROR(IF(T661-T660&lt;=0,"",V661/SQRT(Таблица_pr3[[#This Row],[Удельное сопротивление грунта, Ом·м]])),V661/SQRT(Таблица_pr3[[#This Row],[Удельное сопротивление грунта, Ом·м]]))</f>
        <v/>
      </c>
      <c r="Y661" s="51"/>
      <c r="Z661" s="52"/>
      <c r="AA661" s="50"/>
      <c r="AB661" s="61" t="str">
        <f t="shared" si="93"/>
        <v/>
      </c>
      <c r="AC661" s="61" t="str">
        <f>IFERROR(IF(Z661-Z660&lt;=0,"",AB661/SQRT(Таблица_pr4[[#This Row],[Удельное сопротивление грунта, Ом·м]])),AB661/SQRT(Таблица_pr4[[#This Row],[Удельное сопротивление грунта, Ом·м]]))</f>
        <v/>
      </c>
      <c r="AE661" s="51"/>
      <c r="AF661" s="52"/>
      <c r="AG661" s="50"/>
      <c r="AH661" s="61" t="str">
        <f t="shared" si="89"/>
        <v/>
      </c>
      <c r="AI661" s="61" t="str">
        <f>IFERROR(IF(AF661-AF660&lt;=0,"",AH661/SQRT(Таблица_pr5[[#This Row],[Удельное сопротивление грунта, Ом·м]])),AH661/SQRT(Таблица_pr5[[#This Row],[Удельное сопротивление грунта, Ом·м]]))</f>
        <v/>
      </c>
      <c r="AK661" s="51"/>
      <c r="AL661" s="52"/>
      <c r="AM661" s="50"/>
      <c r="AN661" s="61" t="str">
        <f t="shared" si="94"/>
        <v/>
      </c>
      <c r="AO661" s="61" t="str">
        <f>IFERROR(IF(AL661-AL660&lt;=0,"",AN661/SQRT(Таблица_pr6[[#This Row],[Удельное сопротивление грунта, Ом·м]])),AN661/SQRT(Таблица_pr6[[#This Row],[Удельное сопротивление грунта, Ом·м]]))</f>
        <v/>
      </c>
      <c r="AQ661" s="51"/>
      <c r="AR661" s="52"/>
      <c r="AS661" s="50"/>
      <c r="AT661" s="61" t="str">
        <f t="shared" si="90"/>
        <v/>
      </c>
      <c r="AU661" s="61" t="str">
        <f>IFERROR(IF(AR661-AR660&lt;=0,"",AT661/SQRT(Таблица_pr7[[#This Row],[Удельное сопротивление грунта, Ом·м]])),AT661/SQRT(Таблица_pr7[[#This Row],[Удельное сопротивление грунта, Ом·м]]))</f>
        <v/>
      </c>
      <c r="AW661" s="51"/>
      <c r="AX661" s="52"/>
      <c r="AY661" s="50"/>
      <c r="AZ661" s="61" t="str">
        <f t="shared" si="95"/>
        <v/>
      </c>
      <c r="BA661" s="61" t="str">
        <f>IFERROR(IF(AX661-AX660&lt;=0,"",AZ661/SQRT(Таблица_pr8[[#This Row],[Удельное сопротивление грунта, Ом·м]])),AZ661/SQRT(Таблица_pr8[[#This Row],[Удельное сопротивление грунта, Ом·м]]))</f>
        <v/>
      </c>
      <c r="BC661" s="51"/>
      <c r="BD661" s="52"/>
      <c r="BE661" s="50"/>
      <c r="BF661" s="61" t="str">
        <f t="shared" si="91"/>
        <v/>
      </c>
      <c r="BG661" s="61" t="str">
        <f>IFERROR(IF(BD661-AX680&lt;=0,"",BF661/SQRT(Таблица_pr9[[#This Row],[Удельное сопротивление грунта, Ом·м]])),BF661/SQRT(Таблица_pr9[[#This Row],[Удельное сопротивление грунта, Ом·м]]))</f>
        <v/>
      </c>
      <c r="BI661" s="51"/>
      <c r="BJ661" s="52"/>
      <c r="BK661" s="50"/>
      <c r="BL661" s="61" t="str">
        <f t="shared" si="96"/>
        <v/>
      </c>
      <c r="BM661" s="61" t="str">
        <f>IFERROR(IF(BJ661-BD690&lt;=0,"",BL661/SQRT(Таблица_pr10[[#This Row],[Удельное сопротивление грунта, Ом·м]])),BL661/SQRT(Таблица_pr10[[#This Row],[Удельное сопротивление грунта, Ом·м]]))</f>
        <v/>
      </c>
    </row>
    <row r="662" spans="1:65">
      <c r="A662" s="53"/>
      <c r="B662" s="52"/>
      <c r="C662" s="50"/>
      <c r="D662" s="61" t="str">
        <f t="shared" si="86"/>
        <v/>
      </c>
      <c r="E662" s="61" t="str">
        <f>IFERROR(IF(B662-B661&lt;=0,"",D662/SQRT(Таблица_pr[[#This Row],[Удельное сопротивление грунта, Ом·м]])),D662/SQRT(Таблица_pr[[#This Row],[Удельное сопротивление грунта, Ом·м]]))</f>
        <v/>
      </c>
      <c r="G662" s="188"/>
      <c r="H662" s="184"/>
      <c r="I662" s="182"/>
      <c r="J662" s="181" t="str">
        <f t="shared" si="87"/>
        <v/>
      </c>
      <c r="K662" s="61" t="str">
        <f>IFERROR(IF(H662-H661&lt;=0,"",J662/SQRT(Таблица_pr1[[#This Row],[Удельное сопротивление грунта, Ом·м]])),J662/SQRT(Таблица_pr1[[#This Row],[Удельное сопротивление грунта, Ом·м]]))</f>
        <v/>
      </c>
      <c r="M662" s="53"/>
      <c r="N662" s="52"/>
      <c r="O662" s="50"/>
      <c r="P662" s="61" t="str">
        <f t="shared" si="92"/>
        <v/>
      </c>
      <c r="Q662" s="61" t="str">
        <f>IFERROR(IF(N662-N661&lt;=0,"",P662/SQRT(Таблица_pr2[[#This Row],[Удельное сопротивление грунта, Ом·м]])),P662/SQRT(Таблица_pr2[[#This Row],[Удельное сопротивление грунта, Ом·м]]))</f>
        <v/>
      </c>
      <c r="S662" s="53"/>
      <c r="T662" s="52"/>
      <c r="U662" s="50"/>
      <c r="V662" s="61" t="str">
        <f t="shared" si="88"/>
        <v/>
      </c>
      <c r="W662" s="61" t="str">
        <f>IFERROR(IF(T662-T661&lt;=0,"",V662/SQRT(Таблица_pr3[[#This Row],[Удельное сопротивление грунта, Ом·м]])),V662/SQRT(Таблица_pr3[[#This Row],[Удельное сопротивление грунта, Ом·м]]))</f>
        <v/>
      </c>
      <c r="Y662" s="53"/>
      <c r="Z662" s="52"/>
      <c r="AA662" s="50"/>
      <c r="AB662" s="61" t="str">
        <f t="shared" si="93"/>
        <v/>
      </c>
      <c r="AC662" s="61" t="str">
        <f>IFERROR(IF(Z662-Z661&lt;=0,"",AB662/SQRT(Таблица_pr4[[#This Row],[Удельное сопротивление грунта, Ом·м]])),AB662/SQRT(Таблица_pr4[[#This Row],[Удельное сопротивление грунта, Ом·м]]))</f>
        <v/>
      </c>
      <c r="AE662" s="53"/>
      <c r="AF662" s="52"/>
      <c r="AG662" s="50"/>
      <c r="AH662" s="61" t="str">
        <f t="shared" si="89"/>
        <v/>
      </c>
      <c r="AI662" s="61" t="str">
        <f>IFERROR(IF(AF662-AF661&lt;=0,"",AH662/SQRT(Таблица_pr5[[#This Row],[Удельное сопротивление грунта, Ом·м]])),AH662/SQRT(Таблица_pr5[[#This Row],[Удельное сопротивление грунта, Ом·м]]))</f>
        <v/>
      </c>
      <c r="AK662" s="53"/>
      <c r="AL662" s="52"/>
      <c r="AM662" s="50"/>
      <c r="AN662" s="61" t="str">
        <f t="shared" si="94"/>
        <v/>
      </c>
      <c r="AO662" s="61" t="str">
        <f>IFERROR(IF(AL662-AL661&lt;=0,"",AN662/SQRT(Таблица_pr6[[#This Row],[Удельное сопротивление грунта, Ом·м]])),AN662/SQRT(Таблица_pr6[[#This Row],[Удельное сопротивление грунта, Ом·м]]))</f>
        <v/>
      </c>
      <c r="AQ662" s="53"/>
      <c r="AR662" s="52"/>
      <c r="AS662" s="50"/>
      <c r="AT662" s="61" t="str">
        <f t="shared" si="90"/>
        <v/>
      </c>
      <c r="AU662" s="61" t="str">
        <f>IFERROR(IF(AR662-AR661&lt;=0,"",AT662/SQRT(Таблица_pr7[[#This Row],[Удельное сопротивление грунта, Ом·м]])),AT662/SQRT(Таблица_pr7[[#This Row],[Удельное сопротивление грунта, Ом·м]]))</f>
        <v/>
      </c>
      <c r="AW662" s="53"/>
      <c r="AX662" s="52"/>
      <c r="AY662" s="50"/>
      <c r="AZ662" s="61" t="str">
        <f t="shared" si="95"/>
        <v/>
      </c>
      <c r="BA662" s="61" t="str">
        <f>IFERROR(IF(AX662-AX661&lt;=0,"",AZ662/SQRT(Таблица_pr8[[#This Row],[Удельное сопротивление грунта, Ом·м]])),AZ662/SQRT(Таблица_pr8[[#This Row],[Удельное сопротивление грунта, Ом·м]]))</f>
        <v/>
      </c>
      <c r="BC662" s="53"/>
      <c r="BD662" s="52"/>
      <c r="BE662" s="50"/>
      <c r="BF662" s="61" t="str">
        <f t="shared" si="91"/>
        <v/>
      </c>
      <c r="BG662" s="61" t="str">
        <f>IFERROR(IF(BD662-AX681&lt;=0,"",BF662/SQRT(Таблица_pr9[[#This Row],[Удельное сопротивление грунта, Ом·м]])),BF662/SQRT(Таблица_pr9[[#This Row],[Удельное сопротивление грунта, Ом·м]]))</f>
        <v/>
      </c>
      <c r="BI662" s="53"/>
      <c r="BJ662" s="52"/>
      <c r="BK662" s="50"/>
      <c r="BL662" s="61" t="str">
        <f t="shared" si="96"/>
        <v/>
      </c>
      <c r="BM662" s="61" t="str">
        <f>IFERROR(IF(BJ662-BD691&lt;=0,"",BL662/SQRT(Таблица_pr10[[#This Row],[Удельное сопротивление грунта, Ом·м]])),BL662/SQRT(Таблица_pr10[[#This Row],[Удельное сопротивление грунта, Ом·м]]))</f>
        <v/>
      </c>
    </row>
    <row r="663" spans="1:65">
      <c r="A663" s="51"/>
      <c r="B663" s="52"/>
      <c r="C663" s="50"/>
      <c r="D663" s="61" t="str">
        <f t="shared" si="86"/>
        <v/>
      </c>
      <c r="E663" s="61" t="str">
        <f>IFERROR(IF(B663-B662&lt;=0,"",D663/SQRT(Таблица_pr[[#This Row],[Удельное сопротивление грунта, Ом·м]])),D663/SQRT(Таблица_pr[[#This Row],[Удельное сопротивление грунта, Ом·м]]))</f>
        <v/>
      </c>
      <c r="G663" s="189"/>
      <c r="H663" s="185"/>
      <c r="I663" s="183"/>
      <c r="J663" s="180" t="str">
        <f t="shared" si="87"/>
        <v/>
      </c>
      <c r="K663" s="61" t="str">
        <f>IFERROR(IF(H663-H662&lt;=0,"",J663/SQRT(Таблица_pr1[[#This Row],[Удельное сопротивление грунта, Ом·м]])),J663/SQRT(Таблица_pr1[[#This Row],[Удельное сопротивление грунта, Ом·м]]))</f>
        <v/>
      </c>
      <c r="M663" s="51"/>
      <c r="N663" s="52"/>
      <c r="O663" s="50"/>
      <c r="P663" s="61" t="str">
        <f t="shared" si="92"/>
        <v/>
      </c>
      <c r="Q663" s="61" t="str">
        <f>IFERROR(IF(N663-N662&lt;=0,"",P663/SQRT(Таблица_pr2[[#This Row],[Удельное сопротивление грунта, Ом·м]])),P663/SQRT(Таблица_pr2[[#This Row],[Удельное сопротивление грунта, Ом·м]]))</f>
        <v/>
      </c>
      <c r="S663" s="51"/>
      <c r="T663" s="52"/>
      <c r="U663" s="50"/>
      <c r="V663" s="61" t="str">
        <f t="shared" si="88"/>
        <v/>
      </c>
      <c r="W663" s="61" t="str">
        <f>IFERROR(IF(T663-T662&lt;=0,"",V663/SQRT(Таблица_pr3[[#This Row],[Удельное сопротивление грунта, Ом·м]])),V663/SQRT(Таблица_pr3[[#This Row],[Удельное сопротивление грунта, Ом·м]]))</f>
        <v/>
      </c>
      <c r="Y663" s="51"/>
      <c r="Z663" s="52"/>
      <c r="AA663" s="50"/>
      <c r="AB663" s="61" t="str">
        <f t="shared" si="93"/>
        <v/>
      </c>
      <c r="AC663" s="61" t="str">
        <f>IFERROR(IF(Z663-Z662&lt;=0,"",AB663/SQRT(Таблица_pr4[[#This Row],[Удельное сопротивление грунта, Ом·м]])),AB663/SQRT(Таблица_pr4[[#This Row],[Удельное сопротивление грунта, Ом·м]]))</f>
        <v/>
      </c>
      <c r="AE663" s="51"/>
      <c r="AF663" s="52"/>
      <c r="AG663" s="50"/>
      <c r="AH663" s="61" t="str">
        <f t="shared" si="89"/>
        <v/>
      </c>
      <c r="AI663" s="61" t="str">
        <f>IFERROR(IF(AF663-AF662&lt;=0,"",AH663/SQRT(Таблица_pr5[[#This Row],[Удельное сопротивление грунта, Ом·м]])),AH663/SQRT(Таблица_pr5[[#This Row],[Удельное сопротивление грунта, Ом·м]]))</f>
        <v/>
      </c>
      <c r="AK663" s="51"/>
      <c r="AL663" s="52"/>
      <c r="AM663" s="50"/>
      <c r="AN663" s="61" t="str">
        <f t="shared" si="94"/>
        <v/>
      </c>
      <c r="AO663" s="61" t="str">
        <f>IFERROR(IF(AL663-AL662&lt;=0,"",AN663/SQRT(Таблица_pr6[[#This Row],[Удельное сопротивление грунта, Ом·м]])),AN663/SQRT(Таблица_pr6[[#This Row],[Удельное сопротивление грунта, Ом·м]]))</f>
        <v/>
      </c>
      <c r="AQ663" s="51"/>
      <c r="AR663" s="52"/>
      <c r="AS663" s="50"/>
      <c r="AT663" s="61" t="str">
        <f t="shared" si="90"/>
        <v/>
      </c>
      <c r="AU663" s="61" t="str">
        <f>IFERROR(IF(AR663-AR662&lt;=0,"",AT663/SQRT(Таблица_pr7[[#This Row],[Удельное сопротивление грунта, Ом·м]])),AT663/SQRT(Таблица_pr7[[#This Row],[Удельное сопротивление грунта, Ом·м]]))</f>
        <v/>
      </c>
      <c r="AW663" s="51"/>
      <c r="AX663" s="52"/>
      <c r="AY663" s="50"/>
      <c r="AZ663" s="61" t="str">
        <f t="shared" si="95"/>
        <v/>
      </c>
      <c r="BA663" s="61" t="str">
        <f>IFERROR(IF(AX663-AX662&lt;=0,"",AZ663/SQRT(Таблица_pr8[[#This Row],[Удельное сопротивление грунта, Ом·м]])),AZ663/SQRT(Таблица_pr8[[#This Row],[Удельное сопротивление грунта, Ом·м]]))</f>
        <v/>
      </c>
      <c r="BC663" s="51"/>
      <c r="BD663" s="52"/>
      <c r="BE663" s="50"/>
      <c r="BF663" s="61" t="str">
        <f t="shared" si="91"/>
        <v/>
      </c>
      <c r="BG663" s="61" t="str">
        <f>IFERROR(IF(BD663-AX682&lt;=0,"",BF663/SQRT(Таблица_pr9[[#This Row],[Удельное сопротивление грунта, Ом·м]])),BF663/SQRT(Таблица_pr9[[#This Row],[Удельное сопротивление грунта, Ом·м]]))</f>
        <v/>
      </c>
      <c r="BI663" s="51"/>
      <c r="BJ663" s="52"/>
      <c r="BK663" s="50"/>
      <c r="BL663" s="61" t="str">
        <f t="shared" si="96"/>
        <v/>
      </c>
      <c r="BM663" s="61" t="str">
        <f>IFERROR(IF(BJ663-BD692&lt;=0,"",BL663/SQRT(Таблица_pr10[[#This Row],[Удельное сопротивление грунта, Ом·м]])),BL663/SQRT(Таблица_pr10[[#This Row],[Удельное сопротивление грунта, Ом·м]]))</f>
        <v/>
      </c>
    </row>
    <row r="664" spans="1:65">
      <c r="A664" s="53"/>
      <c r="B664" s="52"/>
      <c r="C664" s="50"/>
      <c r="D664" s="61" t="str">
        <f t="shared" si="86"/>
        <v/>
      </c>
      <c r="E664" s="61" t="str">
        <f>IFERROR(IF(B664-B663&lt;=0,"",D664/SQRT(Таблица_pr[[#This Row],[Удельное сопротивление грунта, Ом·м]])),D664/SQRT(Таблица_pr[[#This Row],[Удельное сопротивление грунта, Ом·м]]))</f>
        <v/>
      </c>
      <c r="G664" s="188"/>
      <c r="H664" s="184"/>
      <c r="I664" s="182"/>
      <c r="J664" s="181" t="str">
        <f t="shared" si="87"/>
        <v/>
      </c>
      <c r="K664" s="61" t="str">
        <f>IFERROR(IF(H664-H663&lt;=0,"",J664/SQRT(Таблица_pr1[[#This Row],[Удельное сопротивление грунта, Ом·м]])),J664/SQRT(Таблица_pr1[[#This Row],[Удельное сопротивление грунта, Ом·м]]))</f>
        <v/>
      </c>
      <c r="M664" s="53"/>
      <c r="N664" s="52"/>
      <c r="O664" s="50"/>
      <c r="P664" s="61" t="str">
        <f t="shared" si="92"/>
        <v/>
      </c>
      <c r="Q664" s="61" t="str">
        <f>IFERROR(IF(N664-N663&lt;=0,"",P664/SQRT(Таблица_pr2[[#This Row],[Удельное сопротивление грунта, Ом·м]])),P664/SQRT(Таблица_pr2[[#This Row],[Удельное сопротивление грунта, Ом·м]]))</f>
        <v/>
      </c>
      <c r="S664" s="53"/>
      <c r="T664" s="52"/>
      <c r="U664" s="50"/>
      <c r="V664" s="61" t="str">
        <f t="shared" si="88"/>
        <v/>
      </c>
      <c r="W664" s="61" t="str">
        <f>IFERROR(IF(T664-T663&lt;=0,"",V664/SQRT(Таблица_pr3[[#This Row],[Удельное сопротивление грунта, Ом·м]])),V664/SQRT(Таблица_pr3[[#This Row],[Удельное сопротивление грунта, Ом·м]]))</f>
        <v/>
      </c>
      <c r="Y664" s="53"/>
      <c r="Z664" s="52"/>
      <c r="AA664" s="50"/>
      <c r="AB664" s="61" t="str">
        <f t="shared" si="93"/>
        <v/>
      </c>
      <c r="AC664" s="61" t="str">
        <f>IFERROR(IF(Z664-Z663&lt;=0,"",AB664/SQRT(Таблица_pr4[[#This Row],[Удельное сопротивление грунта, Ом·м]])),AB664/SQRT(Таблица_pr4[[#This Row],[Удельное сопротивление грунта, Ом·м]]))</f>
        <v/>
      </c>
      <c r="AE664" s="53"/>
      <c r="AF664" s="52"/>
      <c r="AG664" s="50"/>
      <c r="AH664" s="61" t="str">
        <f t="shared" si="89"/>
        <v/>
      </c>
      <c r="AI664" s="61" t="str">
        <f>IFERROR(IF(AF664-AF663&lt;=0,"",AH664/SQRT(Таблица_pr5[[#This Row],[Удельное сопротивление грунта, Ом·м]])),AH664/SQRT(Таблица_pr5[[#This Row],[Удельное сопротивление грунта, Ом·м]]))</f>
        <v/>
      </c>
      <c r="AK664" s="53"/>
      <c r="AL664" s="52"/>
      <c r="AM664" s="50"/>
      <c r="AN664" s="61" t="str">
        <f t="shared" si="94"/>
        <v/>
      </c>
      <c r="AO664" s="61" t="str">
        <f>IFERROR(IF(AL664-AL663&lt;=0,"",AN664/SQRT(Таблица_pr6[[#This Row],[Удельное сопротивление грунта, Ом·м]])),AN664/SQRT(Таблица_pr6[[#This Row],[Удельное сопротивление грунта, Ом·м]]))</f>
        <v/>
      </c>
      <c r="AQ664" s="53"/>
      <c r="AR664" s="52"/>
      <c r="AS664" s="50"/>
      <c r="AT664" s="61" t="str">
        <f t="shared" si="90"/>
        <v/>
      </c>
      <c r="AU664" s="61" t="str">
        <f>IFERROR(IF(AR664-AR663&lt;=0,"",AT664/SQRT(Таблица_pr7[[#This Row],[Удельное сопротивление грунта, Ом·м]])),AT664/SQRT(Таблица_pr7[[#This Row],[Удельное сопротивление грунта, Ом·м]]))</f>
        <v/>
      </c>
      <c r="AW664" s="53"/>
      <c r="AX664" s="52"/>
      <c r="AY664" s="50"/>
      <c r="AZ664" s="61" t="str">
        <f t="shared" si="95"/>
        <v/>
      </c>
      <c r="BA664" s="61" t="str">
        <f>IFERROR(IF(AX664-AX663&lt;=0,"",AZ664/SQRT(Таблица_pr8[[#This Row],[Удельное сопротивление грунта, Ом·м]])),AZ664/SQRT(Таблица_pr8[[#This Row],[Удельное сопротивление грунта, Ом·м]]))</f>
        <v/>
      </c>
      <c r="BC664" s="53"/>
      <c r="BD664" s="52"/>
      <c r="BE664" s="50"/>
      <c r="BF664" s="61" t="str">
        <f t="shared" si="91"/>
        <v/>
      </c>
      <c r="BG664" s="61" t="str">
        <f>IFERROR(IF(BD664-AX683&lt;=0,"",BF664/SQRT(Таблица_pr9[[#This Row],[Удельное сопротивление грунта, Ом·м]])),BF664/SQRT(Таблица_pr9[[#This Row],[Удельное сопротивление грунта, Ом·м]]))</f>
        <v/>
      </c>
      <c r="BI664" s="53"/>
      <c r="BJ664" s="52"/>
      <c r="BK664" s="50"/>
      <c r="BL664" s="61" t="str">
        <f t="shared" si="96"/>
        <v/>
      </c>
      <c r="BM664" s="61" t="str">
        <f>IFERROR(IF(BJ664-BD693&lt;=0,"",BL664/SQRT(Таблица_pr10[[#This Row],[Удельное сопротивление грунта, Ом·м]])),BL664/SQRT(Таблица_pr10[[#This Row],[Удельное сопротивление грунта, Ом·м]]))</f>
        <v/>
      </c>
    </row>
    <row r="665" spans="1:65">
      <c r="A665" s="51"/>
      <c r="B665" s="52"/>
      <c r="C665" s="50"/>
      <c r="D665" s="61" t="str">
        <f t="shared" si="86"/>
        <v/>
      </c>
      <c r="E665" s="61" t="str">
        <f>IFERROR(IF(B665-B664&lt;=0,"",D665/SQRT(Таблица_pr[[#This Row],[Удельное сопротивление грунта, Ом·м]])),D665/SQRT(Таблица_pr[[#This Row],[Удельное сопротивление грунта, Ом·м]]))</f>
        <v/>
      </c>
      <c r="G665" s="189"/>
      <c r="H665" s="185"/>
      <c r="I665" s="183"/>
      <c r="J665" s="180" t="str">
        <f t="shared" si="87"/>
        <v/>
      </c>
      <c r="K665" s="61" t="str">
        <f>IFERROR(IF(H665-H664&lt;=0,"",J665/SQRT(Таблица_pr1[[#This Row],[Удельное сопротивление грунта, Ом·м]])),J665/SQRT(Таблица_pr1[[#This Row],[Удельное сопротивление грунта, Ом·м]]))</f>
        <v/>
      </c>
      <c r="M665" s="51"/>
      <c r="N665" s="52"/>
      <c r="O665" s="50"/>
      <c r="P665" s="61" t="str">
        <f t="shared" si="92"/>
        <v/>
      </c>
      <c r="Q665" s="61" t="str">
        <f>IFERROR(IF(N665-N664&lt;=0,"",P665/SQRT(Таблица_pr2[[#This Row],[Удельное сопротивление грунта, Ом·м]])),P665/SQRT(Таблица_pr2[[#This Row],[Удельное сопротивление грунта, Ом·м]]))</f>
        <v/>
      </c>
      <c r="S665" s="51"/>
      <c r="T665" s="52"/>
      <c r="U665" s="50"/>
      <c r="V665" s="61" t="str">
        <f t="shared" si="88"/>
        <v/>
      </c>
      <c r="W665" s="61" t="str">
        <f>IFERROR(IF(T665-T664&lt;=0,"",V665/SQRT(Таблица_pr3[[#This Row],[Удельное сопротивление грунта, Ом·м]])),V665/SQRT(Таблица_pr3[[#This Row],[Удельное сопротивление грунта, Ом·м]]))</f>
        <v/>
      </c>
      <c r="Y665" s="51"/>
      <c r="Z665" s="52"/>
      <c r="AA665" s="50"/>
      <c r="AB665" s="61" t="str">
        <f t="shared" si="93"/>
        <v/>
      </c>
      <c r="AC665" s="61" t="str">
        <f>IFERROR(IF(Z665-Z664&lt;=0,"",AB665/SQRT(Таблица_pr4[[#This Row],[Удельное сопротивление грунта, Ом·м]])),AB665/SQRT(Таблица_pr4[[#This Row],[Удельное сопротивление грунта, Ом·м]]))</f>
        <v/>
      </c>
      <c r="AE665" s="51"/>
      <c r="AF665" s="52"/>
      <c r="AG665" s="50"/>
      <c r="AH665" s="61" t="str">
        <f t="shared" si="89"/>
        <v/>
      </c>
      <c r="AI665" s="61" t="str">
        <f>IFERROR(IF(AF665-AF664&lt;=0,"",AH665/SQRT(Таблица_pr5[[#This Row],[Удельное сопротивление грунта, Ом·м]])),AH665/SQRT(Таблица_pr5[[#This Row],[Удельное сопротивление грунта, Ом·м]]))</f>
        <v/>
      </c>
      <c r="AK665" s="51"/>
      <c r="AL665" s="52"/>
      <c r="AM665" s="50"/>
      <c r="AN665" s="61" t="str">
        <f t="shared" si="94"/>
        <v/>
      </c>
      <c r="AO665" s="61" t="str">
        <f>IFERROR(IF(AL665-AL664&lt;=0,"",AN665/SQRT(Таблица_pr6[[#This Row],[Удельное сопротивление грунта, Ом·м]])),AN665/SQRT(Таблица_pr6[[#This Row],[Удельное сопротивление грунта, Ом·м]]))</f>
        <v/>
      </c>
      <c r="AQ665" s="51"/>
      <c r="AR665" s="52"/>
      <c r="AS665" s="50"/>
      <c r="AT665" s="61" t="str">
        <f t="shared" si="90"/>
        <v/>
      </c>
      <c r="AU665" s="61" t="str">
        <f>IFERROR(IF(AR665-AR664&lt;=0,"",AT665/SQRT(Таблица_pr7[[#This Row],[Удельное сопротивление грунта, Ом·м]])),AT665/SQRT(Таблица_pr7[[#This Row],[Удельное сопротивление грунта, Ом·м]]))</f>
        <v/>
      </c>
      <c r="AW665" s="51"/>
      <c r="AX665" s="52"/>
      <c r="AY665" s="50"/>
      <c r="AZ665" s="61" t="str">
        <f t="shared" si="95"/>
        <v/>
      </c>
      <c r="BA665" s="61" t="str">
        <f>IFERROR(IF(AX665-AX664&lt;=0,"",AZ665/SQRT(Таблица_pr8[[#This Row],[Удельное сопротивление грунта, Ом·м]])),AZ665/SQRT(Таблица_pr8[[#This Row],[Удельное сопротивление грунта, Ом·м]]))</f>
        <v/>
      </c>
      <c r="BC665" s="51"/>
      <c r="BD665" s="52"/>
      <c r="BE665" s="50"/>
      <c r="BF665" s="61" t="str">
        <f t="shared" si="91"/>
        <v/>
      </c>
      <c r="BG665" s="61" t="str">
        <f>IFERROR(IF(BD665-AX684&lt;=0,"",BF665/SQRT(Таблица_pr9[[#This Row],[Удельное сопротивление грунта, Ом·м]])),BF665/SQRT(Таблица_pr9[[#This Row],[Удельное сопротивление грунта, Ом·м]]))</f>
        <v/>
      </c>
      <c r="BI665" s="51"/>
      <c r="BJ665" s="52"/>
      <c r="BK665" s="50"/>
      <c r="BL665" s="61" t="str">
        <f t="shared" si="96"/>
        <v/>
      </c>
      <c r="BM665" s="61" t="str">
        <f>IFERROR(IF(BJ665-BD694&lt;=0,"",BL665/SQRT(Таблица_pr10[[#This Row],[Удельное сопротивление грунта, Ом·м]])),BL665/SQRT(Таблица_pr10[[#This Row],[Удельное сопротивление грунта, Ом·м]]))</f>
        <v/>
      </c>
    </row>
    <row r="666" spans="1:65">
      <c r="A666" s="53"/>
      <c r="B666" s="52"/>
      <c r="C666" s="50"/>
      <c r="D666" s="61" t="str">
        <f t="shared" si="86"/>
        <v/>
      </c>
      <c r="E666" s="61" t="str">
        <f>IFERROR(IF(B666-B665&lt;=0,"",D666/SQRT(Таблица_pr[[#This Row],[Удельное сопротивление грунта, Ом·м]])),D666/SQRT(Таблица_pr[[#This Row],[Удельное сопротивление грунта, Ом·м]]))</f>
        <v/>
      </c>
      <c r="G666" s="188"/>
      <c r="H666" s="184"/>
      <c r="I666" s="182"/>
      <c r="J666" s="181" t="str">
        <f t="shared" si="87"/>
        <v/>
      </c>
      <c r="K666" s="61" t="str">
        <f>IFERROR(IF(H666-H665&lt;=0,"",J666/SQRT(Таблица_pr1[[#This Row],[Удельное сопротивление грунта, Ом·м]])),J666/SQRT(Таблица_pr1[[#This Row],[Удельное сопротивление грунта, Ом·м]]))</f>
        <v/>
      </c>
      <c r="M666" s="53"/>
      <c r="N666" s="52"/>
      <c r="O666" s="50"/>
      <c r="P666" s="61" t="str">
        <f t="shared" si="92"/>
        <v/>
      </c>
      <c r="Q666" s="61" t="str">
        <f>IFERROR(IF(N666-N665&lt;=0,"",P666/SQRT(Таблица_pr2[[#This Row],[Удельное сопротивление грунта, Ом·м]])),P666/SQRT(Таблица_pr2[[#This Row],[Удельное сопротивление грунта, Ом·м]]))</f>
        <v/>
      </c>
      <c r="S666" s="53"/>
      <c r="T666" s="52"/>
      <c r="U666" s="50"/>
      <c r="V666" s="61" t="str">
        <f t="shared" si="88"/>
        <v/>
      </c>
      <c r="W666" s="61" t="str">
        <f>IFERROR(IF(T666-T665&lt;=0,"",V666/SQRT(Таблица_pr3[[#This Row],[Удельное сопротивление грунта, Ом·м]])),V666/SQRT(Таблица_pr3[[#This Row],[Удельное сопротивление грунта, Ом·м]]))</f>
        <v/>
      </c>
      <c r="Y666" s="53"/>
      <c r="Z666" s="52"/>
      <c r="AA666" s="50"/>
      <c r="AB666" s="61" t="str">
        <f t="shared" si="93"/>
        <v/>
      </c>
      <c r="AC666" s="61" t="str">
        <f>IFERROR(IF(Z666-Z665&lt;=0,"",AB666/SQRT(Таблица_pr4[[#This Row],[Удельное сопротивление грунта, Ом·м]])),AB666/SQRT(Таблица_pr4[[#This Row],[Удельное сопротивление грунта, Ом·м]]))</f>
        <v/>
      </c>
      <c r="AE666" s="53"/>
      <c r="AF666" s="52"/>
      <c r="AG666" s="50"/>
      <c r="AH666" s="61" t="str">
        <f t="shared" si="89"/>
        <v/>
      </c>
      <c r="AI666" s="61" t="str">
        <f>IFERROR(IF(AF666-AF665&lt;=0,"",AH666/SQRT(Таблица_pr5[[#This Row],[Удельное сопротивление грунта, Ом·м]])),AH666/SQRT(Таблица_pr5[[#This Row],[Удельное сопротивление грунта, Ом·м]]))</f>
        <v/>
      </c>
      <c r="AK666" s="53"/>
      <c r="AL666" s="52"/>
      <c r="AM666" s="50"/>
      <c r="AN666" s="61" t="str">
        <f t="shared" si="94"/>
        <v/>
      </c>
      <c r="AO666" s="61" t="str">
        <f>IFERROR(IF(AL666-AL665&lt;=0,"",AN666/SQRT(Таблица_pr6[[#This Row],[Удельное сопротивление грунта, Ом·м]])),AN666/SQRT(Таблица_pr6[[#This Row],[Удельное сопротивление грунта, Ом·м]]))</f>
        <v/>
      </c>
      <c r="AQ666" s="53"/>
      <c r="AR666" s="52"/>
      <c r="AS666" s="50"/>
      <c r="AT666" s="61" t="str">
        <f t="shared" si="90"/>
        <v/>
      </c>
      <c r="AU666" s="61" t="str">
        <f>IFERROR(IF(AR666-AR665&lt;=0,"",AT666/SQRT(Таблица_pr7[[#This Row],[Удельное сопротивление грунта, Ом·м]])),AT666/SQRT(Таблица_pr7[[#This Row],[Удельное сопротивление грунта, Ом·м]]))</f>
        <v/>
      </c>
      <c r="AW666" s="53"/>
      <c r="AX666" s="52"/>
      <c r="AY666" s="50"/>
      <c r="AZ666" s="61" t="str">
        <f t="shared" si="95"/>
        <v/>
      </c>
      <c r="BA666" s="61" t="str">
        <f>IFERROR(IF(AX666-AX665&lt;=0,"",AZ666/SQRT(Таблица_pr8[[#This Row],[Удельное сопротивление грунта, Ом·м]])),AZ666/SQRT(Таблица_pr8[[#This Row],[Удельное сопротивление грунта, Ом·м]]))</f>
        <v/>
      </c>
      <c r="BC666" s="53"/>
      <c r="BD666" s="52"/>
      <c r="BE666" s="50"/>
      <c r="BF666" s="61" t="str">
        <f t="shared" si="91"/>
        <v/>
      </c>
      <c r="BG666" s="61" t="str">
        <f>IFERROR(IF(BD666-AX685&lt;=0,"",BF666/SQRT(Таблица_pr9[[#This Row],[Удельное сопротивление грунта, Ом·м]])),BF666/SQRT(Таблица_pr9[[#This Row],[Удельное сопротивление грунта, Ом·м]]))</f>
        <v/>
      </c>
      <c r="BI666" s="53"/>
      <c r="BJ666" s="52"/>
      <c r="BK666" s="50"/>
      <c r="BL666" s="61" t="str">
        <f t="shared" si="96"/>
        <v/>
      </c>
      <c r="BM666" s="61" t="str">
        <f>IFERROR(IF(BJ666-BD695&lt;=0,"",BL666/SQRT(Таблица_pr10[[#This Row],[Удельное сопротивление грунта, Ом·м]])),BL666/SQRT(Таблица_pr10[[#This Row],[Удельное сопротивление грунта, Ом·м]]))</f>
        <v/>
      </c>
    </row>
    <row r="667" spans="1:65">
      <c r="A667" s="51"/>
      <c r="B667" s="52"/>
      <c r="C667" s="50"/>
      <c r="D667" s="61" t="str">
        <f t="shared" si="86"/>
        <v/>
      </c>
      <c r="E667" s="61" t="str">
        <f>IFERROR(IF(B667-B666&lt;=0,"",D667/SQRT(Таблица_pr[[#This Row],[Удельное сопротивление грунта, Ом·м]])),D667/SQRT(Таблица_pr[[#This Row],[Удельное сопротивление грунта, Ом·м]]))</f>
        <v/>
      </c>
      <c r="G667" s="189"/>
      <c r="H667" s="185"/>
      <c r="I667" s="183"/>
      <c r="J667" s="180" t="str">
        <f t="shared" si="87"/>
        <v/>
      </c>
      <c r="K667" s="61" t="str">
        <f>IFERROR(IF(H667-H666&lt;=0,"",J667/SQRT(Таблица_pr1[[#This Row],[Удельное сопротивление грунта, Ом·м]])),J667/SQRT(Таблица_pr1[[#This Row],[Удельное сопротивление грунта, Ом·м]]))</f>
        <v/>
      </c>
      <c r="M667" s="51"/>
      <c r="N667" s="52"/>
      <c r="O667" s="50"/>
      <c r="P667" s="61" t="str">
        <f t="shared" si="92"/>
        <v/>
      </c>
      <c r="Q667" s="61" t="str">
        <f>IFERROR(IF(N667-N666&lt;=0,"",P667/SQRT(Таблица_pr2[[#This Row],[Удельное сопротивление грунта, Ом·м]])),P667/SQRT(Таблица_pr2[[#This Row],[Удельное сопротивление грунта, Ом·м]]))</f>
        <v/>
      </c>
      <c r="S667" s="51"/>
      <c r="T667" s="52"/>
      <c r="U667" s="50"/>
      <c r="V667" s="61" t="str">
        <f t="shared" si="88"/>
        <v/>
      </c>
      <c r="W667" s="61" t="str">
        <f>IFERROR(IF(T667-T666&lt;=0,"",V667/SQRT(Таблица_pr3[[#This Row],[Удельное сопротивление грунта, Ом·м]])),V667/SQRT(Таблица_pr3[[#This Row],[Удельное сопротивление грунта, Ом·м]]))</f>
        <v/>
      </c>
      <c r="Y667" s="51"/>
      <c r="Z667" s="52"/>
      <c r="AA667" s="50"/>
      <c r="AB667" s="61" t="str">
        <f t="shared" si="93"/>
        <v/>
      </c>
      <c r="AC667" s="61" t="str">
        <f>IFERROR(IF(Z667-Z666&lt;=0,"",AB667/SQRT(Таблица_pr4[[#This Row],[Удельное сопротивление грунта, Ом·м]])),AB667/SQRT(Таблица_pr4[[#This Row],[Удельное сопротивление грунта, Ом·м]]))</f>
        <v/>
      </c>
      <c r="AE667" s="51"/>
      <c r="AF667" s="52"/>
      <c r="AG667" s="50"/>
      <c r="AH667" s="61" t="str">
        <f t="shared" si="89"/>
        <v/>
      </c>
      <c r="AI667" s="61" t="str">
        <f>IFERROR(IF(AF667-AF666&lt;=0,"",AH667/SQRT(Таблица_pr5[[#This Row],[Удельное сопротивление грунта, Ом·м]])),AH667/SQRT(Таблица_pr5[[#This Row],[Удельное сопротивление грунта, Ом·м]]))</f>
        <v/>
      </c>
      <c r="AK667" s="51"/>
      <c r="AL667" s="52"/>
      <c r="AM667" s="50"/>
      <c r="AN667" s="61" t="str">
        <f t="shared" si="94"/>
        <v/>
      </c>
      <c r="AO667" s="61" t="str">
        <f>IFERROR(IF(AL667-AL666&lt;=0,"",AN667/SQRT(Таблица_pr6[[#This Row],[Удельное сопротивление грунта, Ом·м]])),AN667/SQRT(Таблица_pr6[[#This Row],[Удельное сопротивление грунта, Ом·м]]))</f>
        <v/>
      </c>
      <c r="AQ667" s="51"/>
      <c r="AR667" s="52"/>
      <c r="AS667" s="50"/>
      <c r="AT667" s="61" t="str">
        <f t="shared" si="90"/>
        <v/>
      </c>
      <c r="AU667" s="61" t="str">
        <f>IFERROR(IF(AR667-AR666&lt;=0,"",AT667/SQRT(Таблица_pr7[[#This Row],[Удельное сопротивление грунта, Ом·м]])),AT667/SQRT(Таблица_pr7[[#This Row],[Удельное сопротивление грунта, Ом·м]]))</f>
        <v/>
      </c>
      <c r="AW667" s="51"/>
      <c r="AX667" s="52"/>
      <c r="AY667" s="50"/>
      <c r="AZ667" s="61" t="str">
        <f t="shared" si="95"/>
        <v/>
      </c>
      <c r="BA667" s="61" t="str">
        <f>IFERROR(IF(AX667-AX666&lt;=0,"",AZ667/SQRT(Таблица_pr8[[#This Row],[Удельное сопротивление грунта, Ом·м]])),AZ667/SQRT(Таблица_pr8[[#This Row],[Удельное сопротивление грунта, Ом·м]]))</f>
        <v/>
      </c>
      <c r="BC667" s="51"/>
      <c r="BD667" s="52"/>
      <c r="BE667" s="50"/>
      <c r="BF667" s="61" t="str">
        <f t="shared" si="91"/>
        <v/>
      </c>
      <c r="BG667" s="61" t="str">
        <f>IFERROR(IF(BD667-AX686&lt;=0,"",BF667/SQRT(Таблица_pr9[[#This Row],[Удельное сопротивление грунта, Ом·м]])),BF667/SQRT(Таблица_pr9[[#This Row],[Удельное сопротивление грунта, Ом·м]]))</f>
        <v/>
      </c>
      <c r="BI667" s="51"/>
      <c r="BJ667" s="52"/>
      <c r="BK667" s="50"/>
      <c r="BL667" s="61" t="str">
        <f t="shared" si="96"/>
        <v/>
      </c>
      <c r="BM667" s="61" t="str">
        <f>IFERROR(IF(BJ667-BD696&lt;=0,"",BL667/SQRT(Таблица_pr10[[#This Row],[Удельное сопротивление грунта, Ом·м]])),BL667/SQRT(Таблица_pr10[[#This Row],[Удельное сопротивление грунта, Ом·м]]))</f>
        <v/>
      </c>
    </row>
    <row r="668" spans="1:65">
      <c r="A668" s="53"/>
      <c r="B668" s="52"/>
      <c r="C668" s="50"/>
      <c r="D668" s="61" t="str">
        <f t="shared" si="86"/>
        <v/>
      </c>
      <c r="E668" s="61" t="str">
        <f>IFERROR(IF(B668-B667&lt;=0,"",D668/SQRT(Таблица_pr[[#This Row],[Удельное сопротивление грунта, Ом·м]])),D668/SQRT(Таблица_pr[[#This Row],[Удельное сопротивление грунта, Ом·м]]))</f>
        <v/>
      </c>
      <c r="G668" s="188"/>
      <c r="H668" s="184"/>
      <c r="I668" s="182"/>
      <c r="J668" s="181" t="str">
        <f t="shared" si="87"/>
        <v/>
      </c>
      <c r="K668" s="61" t="str">
        <f>IFERROR(IF(H668-H667&lt;=0,"",J668/SQRT(Таблица_pr1[[#This Row],[Удельное сопротивление грунта, Ом·м]])),J668/SQRT(Таблица_pr1[[#This Row],[Удельное сопротивление грунта, Ом·м]]))</f>
        <v/>
      </c>
      <c r="M668" s="53"/>
      <c r="N668" s="52"/>
      <c r="O668" s="50"/>
      <c r="P668" s="61" t="str">
        <f t="shared" si="92"/>
        <v/>
      </c>
      <c r="Q668" s="61" t="str">
        <f>IFERROR(IF(N668-N667&lt;=0,"",P668/SQRT(Таблица_pr2[[#This Row],[Удельное сопротивление грунта, Ом·м]])),P668/SQRT(Таблица_pr2[[#This Row],[Удельное сопротивление грунта, Ом·м]]))</f>
        <v/>
      </c>
      <c r="S668" s="53"/>
      <c r="T668" s="52"/>
      <c r="U668" s="50"/>
      <c r="V668" s="61" t="str">
        <f t="shared" si="88"/>
        <v/>
      </c>
      <c r="W668" s="61" t="str">
        <f>IFERROR(IF(T668-T667&lt;=0,"",V668/SQRT(Таблица_pr3[[#This Row],[Удельное сопротивление грунта, Ом·м]])),V668/SQRT(Таблица_pr3[[#This Row],[Удельное сопротивление грунта, Ом·м]]))</f>
        <v/>
      </c>
      <c r="Y668" s="53"/>
      <c r="Z668" s="52"/>
      <c r="AA668" s="50"/>
      <c r="AB668" s="61" t="str">
        <f t="shared" si="93"/>
        <v/>
      </c>
      <c r="AC668" s="61" t="str">
        <f>IFERROR(IF(Z668-Z667&lt;=0,"",AB668/SQRT(Таблица_pr4[[#This Row],[Удельное сопротивление грунта, Ом·м]])),AB668/SQRT(Таблица_pr4[[#This Row],[Удельное сопротивление грунта, Ом·м]]))</f>
        <v/>
      </c>
      <c r="AE668" s="53"/>
      <c r="AF668" s="52"/>
      <c r="AG668" s="50"/>
      <c r="AH668" s="61" t="str">
        <f t="shared" si="89"/>
        <v/>
      </c>
      <c r="AI668" s="61" t="str">
        <f>IFERROR(IF(AF668-AF667&lt;=0,"",AH668/SQRT(Таблица_pr5[[#This Row],[Удельное сопротивление грунта, Ом·м]])),AH668/SQRT(Таблица_pr5[[#This Row],[Удельное сопротивление грунта, Ом·м]]))</f>
        <v/>
      </c>
      <c r="AK668" s="53"/>
      <c r="AL668" s="52"/>
      <c r="AM668" s="50"/>
      <c r="AN668" s="61" t="str">
        <f t="shared" si="94"/>
        <v/>
      </c>
      <c r="AO668" s="61" t="str">
        <f>IFERROR(IF(AL668-AL667&lt;=0,"",AN668/SQRT(Таблица_pr6[[#This Row],[Удельное сопротивление грунта, Ом·м]])),AN668/SQRT(Таблица_pr6[[#This Row],[Удельное сопротивление грунта, Ом·м]]))</f>
        <v/>
      </c>
      <c r="AQ668" s="53"/>
      <c r="AR668" s="52"/>
      <c r="AS668" s="50"/>
      <c r="AT668" s="61" t="str">
        <f t="shared" si="90"/>
        <v/>
      </c>
      <c r="AU668" s="61" t="str">
        <f>IFERROR(IF(AR668-AR667&lt;=0,"",AT668/SQRT(Таблица_pr7[[#This Row],[Удельное сопротивление грунта, Ом·м]])),AT668/SQRT(Таблица_pr7[[#This Row],[Удельное сопротивление грунта, Ом·м]]))</f>
        <v/>
      </c>
      <c r="AW668" s="53"/>
      <c r="AX668" s="52"/>
      <c r="AY668" s="50"/>
      <c r="AZ668" s="61" t="str">
        <f t="shared" si="95"/>
        <v/>
      </c>
      <c r="BA668" s="61" t="str">
        <f>IFERROR(IF(AX668-AX667&lt;=0,"",AZ668/SQRT(Таблица_pr8[[#This Row],[Удельное сопротивление грунта, Ом·м]])),AZ668/SQRT(Таблица_pr8[[#This Row],[Удельное сопротивление грунта, Ом·м]]))</f>
        <v/>
      </c>
      <c r="BC668" s="53"/>
      <c r="BD668" s="52"/>
      <c r="BE668" s="50"/>
      <c r="BF668" s="61" t="str">
        <f t="shared" si="91"/>
        <v/>
      </c>
      <c r="BG668" s="61" t="str">
        <f>IFERROR(IF(BD668-AX687&lt;=0,"",BF668/SQRT(Таблица_pr9[[#This Row],[Удельное сопротивление грунта, Ом·м]])),BF668/SQRT(Таблица_pr9[[#This Row],[Удельное сопротивление грунта, Ом·м]]))</f>
        <v/>
      </c>
      <c r="BI668" s="53"/>
      <c r="BJ668" s="52"/>
      <c r="BK668" s="50"/>
      <c r="BL668" s="61" t="str">
        <f t="shared" si="96"/>
        <v/>
      </c>
      <c r="BM668" s="61" t="str">
        <f>IFERROR(IF(BJ668-BD697&lt;=0,"",BL668/SQRT(Таблица_pr10[[#This Row],[Удельное сопротивление грунта, Ом·м]])),BL668/SQRT(Таблица_pr10[[#This Row],[Удельное сопротивление грунта, Ом·м]]))</f>
        <v/>
      </c>
    </row>
    <row r="669" spans="1:65">
      <c r="A669" s="51"/>
      <c r="B669" s="52"/>
      <c r="C669" s="50"/>
      <c r="D669" s="61" t="str">
        <f t="shared" si="86"/>
        <v/>
      </c>
      <c r="E669" s="61" t="str">
        <f>IFERROR(IF(B669-B668&lt;=0,"",D669/SQRT(Таблица_pr[[#This Row],[Удельное сопротивление грунта, Ом·м]])),D669/SQRT(Таблица_pr[[#This Row],[Удельное сопротивление грунта, Ом·м]]))</f>
        <v/>
      </c>
      <c r="G669" s="189"/>
      <c r="H669" s="185"/>
      <c r="I669" s="183"/>
      <c r="J669" s="180" t="str">
        <f t="shared" si="87"/>
        <v/>
      </c>
      <c r="K669" s="61" t="str">
        <f>IFERROR(IF(H669-H668&lt;=0,"",J669/SQRT(Таблица_pr1[[#This Row],[Удельное сопротивление грунта, Ом·м]])),J669/SQRT(Таблица_pr1[[#This Row],[Удельное сопротивление грунта, Ом·м]]))</f>
        <v/>
      </c>
      <c r="M669" s="51"/>
      <c r="N669" s="52"/>
      <c r="O669" s="50"/>
      <c r="P669" s="61" t="str">
        <f t="shared" si="92"/>
        <v/>
      </c>
      <c r="Q669" s="61" t="str">
        <f>IFERROR(IF(N669-N668&lt;=0,"",P669/SQRT(Таблица_pr2[[#This Row],[Удельное сопротивление грунта, Ом·м]])),P669/SQRT(Таблица_pr2[[#This Row],[Удельное сопротивление грунта, Ом·м]]))</f>
        <v/>
      </c>
      <c r="S669" s="51"/>
      <c r="T669" s="52"/>
      <c r="U669" s="50"/>
      <c r="V669" s="61" t="str">
        <f t="shared" si="88"/>
        <v/>
      </c>
      <c r="W669" s="61" t="str">
        <f>IFERROR(IF(T669-T668&lt;=0,"",V669/SQRT(Таблица_pr3[[#This Row],[Удельное сопротивление грунта, Ом·м]])),V669/SQRT(Таблица_pr3[[#This Row],[Удельное сопротивление грунта, Ом·м]]))</f>
        <v/>
      </c>
      <c r="Y669" s="51"/>
      <c r="Z669" s="52"/>
      <c r="AA669" s="50"/>
      <c r="AB669" s="61" t="str">
        <f t="shared" si="93"/>
        <v/>
      </c>
      <c r="AC669" s="61" t="str">
        <f>IFERROR(IF(Z669-Z668&lt;=0,"",AB669/SQRT(Таблица_pr4[[#This Row],[Удельное сопротивление грунта, Ом·м]])),AB669/SQRT(Таблица_pr4[[#This Row],[Удельное сопротивление грунта, Ом·м]]))</f>
        <v/>
      </c>
      <c r="AE669" s="51"/>
      <c r="AF669" s="52"/>
      <c r="AG669" s="50"/>
      <c r="AH669" s="61" t="str">
        <f t="shared" si="89"/>
        <v/>
      </c>
      <c r="AI669" s="61" t="str">
        <f>IFERROR(IF(AF669-AF668&lt;=0,"",AH669/SQRT(Таблица_pr5[[#This Row],[Удельное сопротивление грунта, Ом·м]])),AH669/SQRT(Таблица_pr5[[#This Row],[Удельное сопротивление грунта, Ом·м]]))</f>
        <v/>
      </c>
      <c r="AK669" s="51"/>
      <c r="AL669" s="52"/>
      <c r="AM669" s="50"/>
      <c r="AN669" s="61" t="str">
        <f t="shared" si="94"/>
        <v/>
      </c>
      <c r="AO669" s="61" t="str">
        <f>IFERROR(IF(AL669-AL668&lt;=0,"",AN669/SQRT(Таблица_pr6[[#This Row],[Удельное сопротивление грунта, Ом·м]])),AN669/SQRT(Таблица_pr6[[#This Row],[Удельное сопротивление грунта, Ом·м]]))</f>
        <v/>
      </c>
      <c r="AQ669" s="51"/>
      <c r="AR669" s="52"/>
      <c r="AS669" s="50"/>
      <c r="AT669" s="61" t="str">
        <f t="shared" si="90"/>
        <v/>
      </c>
      <c r="AU669" s="61" t="str">
        <f>IFERROR(IF(AR669-AR668&lt;=0,"",AT669/SQRT(Таблица_pr7[[#This Row],[Удельное сопротивление грунта, Ом·м]])),AT669/SQRT(Таблица_pr7[[#This Row],[Удельное сопротивление грунта, Ом·м]]))</f>
        <v/>
      </c>
      <c r="AW669" s="51"/>
      <c r="AX669" s="52"/>
      <c r="AY669" s="50"/>
      <c r="AZ669" s="61" t="str">
        <f t="shared" si="95"/>
        <v/>
      </c>
      <c r="BA669" s="61" t="str">
        <f>IFERROR(IF(AX669-AX668&lt;=0,"",AZ669/SQRT(Таблица_pr8[[#This Row],[Удельное сопротивление грунта, Ом·м]])),AZ669/SQRT(Таблица_pr8[[#This Row],[Удельное сопротивление грунта, Ом·м]]))</f>
        <v/>
      </c>
      <c r="BC669" s="51"/>
      <c r="BD669" s="52"/>
      <c r="BE669" s="50"/>
      <c r="BF669" s="61" t="str">
        <f t="shared" si="91"/>
        <v/>
      </c>
      <c r="BG669" s="61" t="str">
        <f>IFERROR(IF(BD669-AX688&lt;=0,"",BF669/SQRT(Таблица_pr9[[#This Row],[Удельное сопротивление грунта, Ом·м]])),BF669/SQRT(Таблица_pr9[[#This Row],[Удельное сопротивление грунта, Ом·м]]))</f>
        <v/>
      </c>
      <c r="BI669" s="51"/>
      <c r="BJ669" s="52"/>
      <c r="BK669" s="50"/>
      <c r="BL669" s="61" t="str">
        <f t="shared" si="96"/>
        <v/>
      </c>
      <c r="BM669" s="61" t="str">
        <f>IFERROR(IF(BJ669-BD698&lt;=0,"",BL669/SQRT(Таблица_pr10[[#This Row],[Удельное сопротивление грунта, Ом·м]])),BL669/SQRT(Таблица_pr10[[#This Row],[Удельное сопротивление грунта, Ом·м]]))</f>
        <v/>
      </c>
    </row>
    <row r="670" spans="1:65">
      <c r="A670" s="53"/>
      <c r="B670" s="52"/>
      <c r="C670" s="50"/>
      <c r="D670" s="61" t="str">
        <f t="shared" si="86"/>
        <v/>
      </c>
      <c r="E670" s="61" t="str">
        <f>IFERROR(IF(B670-B669&lt;=0,"",D670/SQRT(Таблица_pr[[#This Row],[Удельное сопротивление грунта, Ом·м]])),D670/SQRT(Таблица_pr[[#This Row],[Удельное сопротивление грунта, Ом·м]]))</f>
        <v/>
      </c>
      <c r="G670" s="188"/>
      <c r="H670" s="184"/>
      <c r="I670" s="182"/>
      <c r="J670" s="181" t="str">
        <f t="shared" si="87"/>
        <v/>
      </c>
      <c r="K670" s="61" t="str">
        <f>IFERROR(IF(H670-H669&lt;=0,"",J670/SQRT(Таблица_pr1[[#This Row],[Удельное сопротивление грунта, Ом·м]])),J670/SQRT(Таблица_pr1[[#This Row],[Удельное сопротивление грунта, Ом·м]]))</f>
        <v/>
      </c>
      <c r="M670" s="53"/>
      <c r="N670" s="52"/>
      <c r="O670" s="50"/>
      <c r="P670" s="61" t="str">
        <f t="shared" si="92"/>
        <v/>
      </c>
      <c r="Q670" s="61" t="str">
        <f>IFERROR(IF(N670-N669&lt;=0,"",P670/SQRT(Таблица_pr2[[#This Row],[Удельное сопротивление грунта, Ом·м]])),P670/SQRT(Таблица_pr2[[#This Row],[Удельное сопротивление грунта, Ом·м]]))</f>
        <v/>
      </c>
      <c r="S670" s="53"/>
      <c r="T670" s="52"/>
      <c r="U670" s="50"/>
      <c r="V670" s="61" t="str">
        <f t="shared" si="88"/>
        <v/>
      </c>
      <c r="W670" s="61" t="str">
        <f>IFERROR(IF(T670-T669&lt;=0,"",V670/SQRT(Таблица_pr3[[#This Row],[Удельное сопротивление грунта, Ом·м]])),V670/SQRT(Таблица_pr3[[#This Row],[Удельное сопротивление грунта, Ом·м]]))</f>
        <v/>
      </c>
      <c r="Y670" s="53"/>
      <c r="Z670" s="52"/>
      <c r="AA670" s="50"/>
      <c r="AB670" s="61" t="str">
        <f t="shared" si="93"/>
        <v/>
      </c>
      <c r="AC670" s="61" t="str">
        <f>IFERROR(IF(Z670-Z669&lt;=0,"",AB670/SQRT(Таблица_pr4[[#This Row],[Удельное сопротивление грунта, Ом·м]])),AB670/SQRT(Таблица_pr4[[#This Row],[Удельное сопротивление грунта, Ом·м]]))</f>
        <v/>
      </c>
      <c r="AE670" s="53"/>
      <c r="AF670" s="52"/>
      <c r="AG670" s="50"/>
      <c r="AH670" s="61" t="str">
        <f t="shared" si="89"/>
        <v/>
      </c>
      <c r="AI670" s="61" t="str">
        <f>IFERROR(IF(AF670-AF669&lt;=0,"",AH670/SQRT(Таблица_pr5[[#This Row],[Удельное сопротивление грунта, Ом·м]])),AH670/SQRT(Таблица_pr5[[#This Row],[Удельное сопротивление грунта, Ом·м]]))</f>
        <v/>
      </c>
      <c r="AK670" s="53"/>
      <c r="AL670" s="52"/>
      <c r="AM670" s="50"/>
      <c r="AN670" s="61" t="str">
        <f t="shared" si="94"/>
        <v/>
      </c>
      <c r="AO670" s="61" t="str">
        <f>IFERROR(IF(AL670-AL669&lt;=0,"",AN670/SQRT(Таблица_pr6[[#This Row],[Удельное сопротивление грунта, Ом·м]])),AN670/SQRT(Таблица_pr6[[#This Row],[Удельное сопротивление грунта, Ом·м]]))</f>
        <v/>
      </c>
      <c r="AQ670" s="53"/>
      <c r="AR670" s="52"/>
      <c r="AS670" s="50"/>
      <c r="AT670" s="61" t="str">
        <f t="shared" si="90"/>
        <v/>
      </c>
      <c r="AU670" s="61" t="str">
        <f>IFERROR(IF(AR670-AR669&lt;=0,"",AT670/SQRT(Таблица_pr7[[#This Row],[Удельное сопротивление грунта, Ом·м]])),AT670/SQRT(Таблица_pr7[[#This Row],[Удельное сопротивление грунта, Ом·м]]))</f>
        <v/>
      </c>
      <c r="AW670" s="53"/>
      <c r="AX670" s="52"/>
      <c r="AY670" s="50"/>
      <c r="AZ670" s="61" t="str">
        <f t="shared" si="95"/>
        <v/>
      </c>
      <c r="BA670" s="61" t="str">
        <f>IFERROR(IF(AX670-AX669&lt;=0,"",AZ670/SQRT(Таблица_pr8[[#This Row],[Удельное сопротивление грунта, Ом·м]])),AZ670/SQRT(Таблица_pr8[[#This Row],[Удельное сопротивление грунта, Ом·м]]))</f>
        <v/>
      </c>
      <c r="BC670" s="53"/>
      <c r="BD670" s="52"/>
      <c r="BE670" s="50"/>
      <c r="BF670" s="61" t="str">
        <f t="shared" si="91"/>
        <v/>
      </c>
      <c r="BG670" s="61" t="str">
        <f>IFERROR(IF(BD670-AX689&lt;=0,"",BF670/SQRT(Таблица_pr9[[#This Row],[Удельное сопротивление грунта, Ом·м]])),BF670/SQRT(Таблица_pr9[[#This Row],[Удельное сопротивление грунта, Ом·м]]))</f>
        <v/>
      </c>
      <c r="BI670" s="53"/>
      <c r="BJ670" s="52"/>
      <c r="BK670" s="50"/>
      <c r="BL670" s="61" t="str">
        <f t="shared" si="96"/>
        <v/>
      </c>
      <c r="BM670" s="61" t="str">
        <f>IFERROR(IF(BJ670-BD699&lt;=0,"",BL670/SQRT(Таблица_pr10[[#This Row],[Удельное сопротивление грунта, Ом·м]])),BL670/SQRT(Таблица_pr10[[#This Row],[Удельное сопротивление грунта, Ом·м]]))</f>
        <v/>
      </c>
    </row>
    <row r="671" spans="1:65">
      <c r="A671" s="51"/>
      <c r="B671" s="52"/>
      <c r="C671" s="50"/>
      <c r="D671" s="61" t="str">
        <f t="shared" si="86"/>
        <v/>
      </c>
      <c r="E671" s="61" t="str">
        <f>IFERROR(IF(B671-B670&lt;=0,"",D671/SQRT(Таблица_pr[[#This Row],[Удельное сопротивление грунта, Ом·м]])),D671/SQRT(Таблица_pr[[#This Row],[Удельное сопротивление грунта, Ом·м]]))</f>
        <v/>
      </c>
      <c r="G671" s="189"/>
      <c r="H671" s="185"/>
      <c r="I671" s="183"/>
      <c r="J671" s="180" t="str">
        <f t="shared" si="87"/>
        <v/>
      </c>
      <c r="K671" s="61" t="str">
        <f>IFERROR(IF(H671-H670&lt;=0,"",J671/SQRT(Таблица_pr1[[#This Row],[Удельное сопротивление грунта, Ом·м]])),J671/SQRT(Таблица_pr1[[#This Row],[Удельное сопротивление грунта, Ом·м]]))</f>
        <v/>
      </c>
      <c r="M671" s="51"/>
      <c r="N671" s="52"/>
      <c r="O671" s="50"/>
      <c r="P671" s="61" t="str">
        <f t="shared" si="92"/>
        <v/>
      </c>
      <c r="Q671" s="61" t="str">
        <f>IFERROR(IF(N671-N670&lt;=0,"",P671/SQRT(Таблица_pr2[[#This Row],[Удельное сопротивление грунта, Ом·м]])),P671/SQRT(Таблица_pr2[[#This Row],[Удельное сопротивление грунта, Ом·м]]))</f>
        <v/>
      </c>
      <c r="S671" s="51"/>
      <c r="T671" s="52"/>
      <c r="U671" s="50"/>
      <c r="V671" s="61" t="str">
        <f t="shared" si="88"/>
        <v/>
      </c>
      <c r="W671" s="61" t="str">
        <f>IFERROR(IF(T671-T670&lt;=0,"",V671/SQRT(Таблица_pr3[[#This Row],[Удельное сопротивление грунта, Ом·м]])),V671/SQRT(Таблица_pr3[[#This Row],[Удельное сопротивление грунта, Ом·м]]))</f>
        <v/>
      </c>
      <c r="Y671" s="51"/>
      <c r="Z671" s="52"/>
      <c r="AA671" s="50"/>
      <c r="AB671" s="61" t="str">
        <f t="shared" si="93"/>
        <v/>
      </c>
      <c r="AC671" s="61" t="str">
        <f>IFERROR(IF(Z671-Z670&lt;=0,"",AB671/SQRT(Таблица_pr4[[#This Row],[Удельное сопротивление грунта, Ом·м]])),AB671/SQRT(Таблица_pr4[[#This Row],[Удельное сопротивление грунта, Ом·м]]))</f>
        <v/>
      </c>
      <c r="AE671" s="51"/>
      <c r="AF671" s="52"/>
      <c r="AG671" s="50"/>
      <c r="AH671" s="61" t="str">
        <f t="shared" si="89"/>
        <v/>
      </c>
      <c r="AI671" s="61" t="str">
        <f>IFERROR(IF(AF671-AF670&lt;=0,"",AH671/SQRT(Таблица_pr5[[#This Row],[Удельное сопротивление грунта, Ом·м]])),AH671/SQRT(Таблица_pr5[[#This Row],[Удельное сопротивление грунта, Ом·м]]))</f>
        <v/>
      </c>
      <c r="AK671" s="51"/>
      <c r="AL671" s="52"/>
      <c r="AM671" s="50"/>
      <c r="AN671" s="61" t="str">
        <f t="shared" si="94"/>
        <v/>
      </c>
      <c r="AO671" s="61" t="str">
        <f>IFERROR(IF(AL671-AL670&lt;=0,"",AN671/SQRT(Таблица_pr6[[#This Row],[Удельное сопротивление грунта, Ом·м]])),AN671/SQRT(Таблица_pr6[[#This Row],[Удельное сопротивление грунта, Ом·м]]))</f>
        <v/>
      </c>
      <c r="AQ671" s="51"/>
      <c r="AR671" s="52"/>
      <c r="AS671" s="50"/>
      <c r="AT671" s="61" t="str">
        <f t="shared" si="90"/>
        <v/>
      </c>
      <c r="AU671" s="61" t="str">
        <f>IFERROR(IF(AR671-AR670&lt;=0,"",AT671/SQRT(Таблица_pr7[[#This Row],[Удельное сопротивление грунта, Ом·м]])),AT671/SQRT(Таблица_pr7[[#This Row],[Удельное сопротивление грунта, Ом·м]]))</f>
        <v/>
      </c>
      <c r="AW671" s="51"/>
      <c r="AX671" s="52"/>
      <c r="AY671" s="50"/>
      <c r="AZ671" s="61" t="str">
        <f t="shared" si="95"/>
        <v/>
      </c>
      <c r="BA671" s="61" t="str">
        <f>IFERROR(IF(AX671-AX670&lt;=0,"",AZ671/SQRT(Таблица_pr8[[#This Row],[Удельное сопротивление грунта, Ом·м]])),AZ671/SQRT(Таблица_pr8[[#This Row],[Удельное сопротивление грунта, Ом·м]]))</f>
        <v/>
      </c>
      <c r="BC671" s="51"/>
      <c r="BD671" s="52"/>
      <c r="BE671" s="50"/>
      <c r="BF671" s="61" t="str">
        <f t="shared" si="91"/>
        <v/>
      </c>
      <c r="BG671" s="61" t="str">
        <f>IFERROR(IF(BD671-AX690&lt;=0,"",BF671/SQRT(Таблица_pr9[[#This Row],[Удельное сопротивление грунта, Ом·м]])),BF671/SQRT(Таблица_pr9[[#This Row],[Удельное сопротивление грунта, Ом·м]]))</f>
        <v/>
      </c>
      <c r="BI671" s="51"/>
      <c r="BJ671" s="52"/>
      <c r="BK671" s="50"/>
      <c r="BL671" s="61" t="str">
        <f t="shared" si="96"/>
        <v/>
      </c>
      <c r="BM671" s="61" t="str">
        <f>IFERROR(IF(BJ671-BD700&lt;=0,"",BL671/SQRT(Таблица_pr10[[#This Row],[Удельное сопротивление грунта, Ом·м]])),BL671/SQRT(Таблица_pr10[[#This Row],[Удельное сопротивление грунта, Ом·м]]))</f>
        <v/>
      </c>
    </row>
    <row r="672" spans="1:65">
      <c r="A672" s="53"/>
      <c r="B672" s="52"/>
      <c r="C672" s="50"/>
      <c r="D672" s="61" t="str">
        <f t="shared" si="86"/>
        <v/>
      </c>
      <c r="E672" s="61" t="str">
        <f>IFERROR(IF(B672-B671&lt;=0,"",D672/SQRT(Таблица_pr[[#This Row],[Удельное сопротивление грунта, Ом·м]])),D672/SQRT(Таблица_pr[[#This Row],[Удельное сопротивление грунта, Ом·м]]))</f>
        <v/>
      </c>
      <c r="G672" s="188"/>
      <c r="H672" s="184"/>
      <c r="I672" s="182"/>
      <c r="J672" s="181" t="str">
        <f t="shared" si="87"/>
        <v/>
      </c>
      <c r="K672" s="61" t="str">
        <f>IFERROR(IF(H672-H671&lt;=0,"",J672/SQRT(Таблица_pr1[[#This Row],[Удельное сопротивление грунта, Ом·м]])),J672/SQRT(Таблица_pr1[[#This Row],[Удельное сопротивление грунта, Ом·м]]))</f>
        <v/>
      </c>
      <c r="M672" s="53"/>
      <c r="N672" s="52"/>
      <c r="O672" s="50"/>
      <c r="P672" s="61" t="str">
        <f t="shared" si="92"/>
        <v/>
      </c>
      <c r="Q672" s="61" t="str">
        <f>IFERROR(IF(N672-N671&lt;=0,"",P672/SQRT(Таблица_pr2[[#This Row],[Удельное сопротивление грунта, Ом·м]])),P672/SQRT(Таблица_pr2[[#This Row],[Удельное сопротивление грунта, Ом·м]]))</f>
        <v/>
      </c>
      <c r="S672" s="53"/>
      <c r="T672" s="52"/>
      <c r="U672" s="50"/>
      <c r="V672" s="61" t="str">
        <f t="shared" si="88"/>
        <v/>
      </c>
      <c r="W672" s="61" t="str">
        <f>IFERROR(IF(T672-T671&lt;=0,"",V672/SQRT(Таблица_pr3[[#This Row],[Удельное сопротивление грунта, Ом·м]])),V672/SQRT(Таблица_pr3[[#This Row],[Удельное сопротивление грунта, Ом·м]]))</f>
        <v/>
      </c>
      <c r="Y672" s="53"/>
      <c r="Z672" s="52"/>
      <c r="AA672" s="50"/>
      <c r="AB672" s="61" t="str">
        <f t="shared" si="93"/>
        <v/>
      </c>
      <c r="AC672" s="61" t="str">
        <f>IFERROR(IF(Z672-Z671&lt;=0,"",AB672/SQRT(Таблица_pr4[[#This Row],[Удельное сопротивление грунта, Ом·м]])),AB672/SQRT(Таблица_pr4[[#This Row],[Удельное сопротивление грунта, Ом·м]]))</f>
        <v/>
      </c>
      <c r="AE672" s="53"/>
      <c r="AF672" s="52"/>
      <c r="AG672" s="50"/>
      <c r="AH672" s="61" t="str">
        <f t="shared" si="89"/>
        <v/>
      </c>
      <c r="AI672" s="61" t="str">
        <f>IFERROR(IF(AF672-AF671&lt;=0,"",AH672/SQRT(Таблица_pr5[[#This Row],[Удельное сопротивление грунта, Ом·м]])),AH672/SQRT(Таблица_pr5[[#This Row],[Удельное сопротивление грунта, Ом·м]]))</f>
        <v/>
      </c>
      <c r="AK672" s="53"/>
      <c r="AL672" s="52"/>
      <c r="AM672" s="50"/>
      <c r="AN672" s="61" t="str">
        <f t="shared" si="94"/>
        <v/>
      </c>
      <c r="AO672" s="61" t="str">
        <f>IFERROR(IF(AL672-AL671&lt;=0,"",AN672/SQRT(Таблица_pr6[[#This Row],[Удельное сопротивление грунта, Ом·м]])),AN672/SQRT(Таблица_pr6[[#This Row],[Удельное сопротивление грунта, Ом·м]]))</f>
        <v/>
      </c>
      <c r="AQ672" s="53"/>
      <c r="AR672" s="52"/>
      <c r="AS672" s="50"/>
      <c r="AT672" s="61" t="str">
        <f t="shared" si="90"/>
        <v/>
      </c>
      <c r="AU672" s="61" t="str">
        <f>IFERROR(IF(AR672-AR671&lt;=0,"",AT672/SQRT(Таблица_pr7[[#This Row],[Удельное сопротивление грунта, Ом·м]])),AT672/SQRT(Таблица_pr7[[#This Row],[Удельное сопротивление грунта, Ом·м]]))</f>
        <v/>
      </c>
      <c r="AW672" s="53"/>
      <c r="AX672" s="52"/>
      <c r="AY672" s="50"/>
      <c r="AZ672" s="61" t="str">
        <f t="shared" si="95"/>
        <v/>
      </c>
      <c r="BA672" s="61" t="str">
        <f>IFERROR(IF(AX672-AX671&lt;=0,"",AZ672/SQRT(Таблица_pr8[[#This Row],[Удельное сопротивление грунта, Ом·м]])),AZ672/SQRT(Таблица_pr8[[#This Row],[Удельное сопротивление грунта, Ом·м]]))</f>
        <v/>
      </c>
      <c r="BC672" s="53"/>
      <c r="BD672" s="52"/>
      <c r="BE672" s="50"/>
      <c r="BF672" s="61" t="str">
        <f t="shared" si="91"/>
        <v/>
      </c>
      <c r="BG672" s="61" t="str">
        <f>IFERROR(IF(BD672-AX691&lt;=0,"",BF672/SQRT(Таблица_pr9[[#This Row],[Удельное сопротивление грунта, Ом·м]])),BF672/SQRT(Таблица_pr9[[#This Row],[Удельное сопротивление грунта, Ом·м]]))</f>
        <v/>
      </c>
      <c r="BI672" s="53"/>
      <c r="BJ672" s="52"/>
      <c r="BK672" s="50"/>
      <c r="BL672" s="61" t="str">
        <f t="shared" si="96"/>
        <v/>
      </c>
      <c r="BM672" s="61" t="str">
        <f>IFERROR(IF(BJ672-BD701&lt;=0,"",BL672/SQRT(Таблица_pr10[[#This Row],[Удельное сопротивление грунта, Ом·м]])),BL672/SQRT(Таблица_pr10[[#This Row],[Удельное сопротивление грунта, Ом·м]]))</f>
        <v/>
      </c>
    </row>
    <row r="673" spans="1:65">
      <c r="A673" s="51"/>
      <c r="B673" s="52"/>
      <c r="C673" s="50"/>
      <c r="D673" s="61" t="str">
        <f t="shared" si="86"/>
        <v/>
      </c>
      <c r="E673" s="61" t="str">
        <f>IFERROR(IF(B673-B672&lt;=0,"",D673/SQRT(Таблица_pr[[#This Row],[Удельное сопротивление грунта, Ом·м]])),D673/SQRT(Таблица_pr[[#This Row],[Удельное сопротивление грунта, Ом·м]]))</f>
        <v/>
      </c>
      <c r="G673" s="189"/>
      <c r="H673" s="185"/>
      <c r="I673" s="183"/>
      <c r="J673" s="180" t="str">
        <f t="shared" si="87"/>
        <v/>
      </c>
      <c r="K673" s="61" t="str">
        <f>IFERROR(IF(H673-H672&lt;=0,"",J673/SQRT(Таблица_pr1[[#This Row],[Удельное сопротивление грунта, Ом·м]])),J673/SQRT(Таблица_pr1[[#This Row],[Удельное сопротивление грунта, Ом·м]]))</f>
        <v/>
      </c>
      <c r="M673" s="51"/>
      <c r="N673" s="52"/>
      <c r="O673" s="50"/>
      <c r="P673" s="61" t="str">
        <f t="shared" si="92"/>
        <v/>
      </c>
      <c r="Q673" s="61" t="str">
        <f>IFERROR(IF(N673-N672&lt;=0,"",P673/SQRT(Таблица_pr2[[#This Row],[Удельное сопротивление грунта, Ом·м]])),P673/SQRT(Таблица_pr2[[#This Row],[Удельное сопротивление грунта, Ом·м]]))</f>
        <v/>
      </c>
      <c r="S673" s="51"/>
      <c r="T673" s="52"/>
      <c r="U673" s="50"/>
      <c r="V673" s="61" t="str">
        <f t="shared" si="88"/>
        <v/>
      </c>
      <c r="W673" s="61" t="str">
        <f>IFERROR(IF(T673-T672&lt;=0,"",V673/SQRT(Таблица_pr3[[#This Row],[Удельное сопротивление грунта, Ом·м]])),V673/SQRT(Таблица_pr3[[#This Row],[Удельное сопротивление грунта, Ом·м]]))</f>
        <v/>
      </c>
      <c r="Y673" s="51"/>
      <c r="Z673" s="52"/>
      <c r="AA673" s="50"/>
      <c r="AB673" s="61" t="str">
        <f t="shared" si="93"/>
        <v/>
      </c>
      <c r="AC673" s="61" t="str">
        <f>IFERROR(IF(Z673-Z672&lt;=0,"",AB673/SQRT(Таблица_pr4[[#This Row],[Удельное сопротивление грунта, Ом·м]])),AB673/SQRT(Таблица_pr4[[#This Row],[Удельное сопротивление грунта, Ом·м]]))</f>
        <v/>
      </c>
      <c r="AE673" s="51"/>
      <c r="AF673" s="52"/>
      <c r="AG673" s="50"/>
      <c r="AH673" s="61" t="str">
        <f t="shared" si="89"/>
        <v/>
      </c>
      <c r="AI673" s="61" t="str">
        <f>IFERROR(IF(AF673-AF672&lt;=0,"",AH673/SQRT(Таблица_pr5[[#This Row],[Удельное сопротивление грунта, Ом·м]])),AH673/SQRT(Таблица_pr5[[#This Row],[Удельное сопротивление грунта, Ом·м]]))</f>
        <v/>
      </c>
      <c r="AK673" s="51"/>
      <c r="AL673" s="52"/>
      <c r="AM673" s="50"/>
      <c r="AN673" s="61" t="str">
        <f t="shared" si="94"/>
        <v/>
      </c>
      <c r="AO673" s="61" t="str">
        <f>IFERROR(IF(AL673-AL672&lt;=0,"",AN673/SQRT(Таблица_pr6[[#This Row],[Удельное сопротивление грунта, Ом·м]])),AN673/SQRT(Таблица_pr6[[#This Row],[Удельное сопротивление грунта, Ом·м]]))</f>
        <v/>
      </c>
      <c r="AQ673" s="51"/>
      <c r="AR673" s="52"/>
      <c r="AS673" s="50"/>
      <c r="AT673" s="61" t="str">
        <f t="shared" si="90"/>
        <v/>
      </c>
      <c r="AU673" s="61" t="str">
        <f>IFERROR(IF(AR673-AR672&lt;=0,"",AT673/SQRT(Таблица_pr7[[#This Row],[Удельное сопротивление грунта, Ом·м]])),AT673/SQRT(Таблица_pr7[[#This Row],[Удельное сопротивление грунта, Ом·м]]))</f>
        <v/>
      </c>
      <c r="AW673" s="51"/>
      <c r="AX673" s="52"/>
      <c r="AY673" s="50"/>
      <c r="AZ673" s="61" t="str">
        <f t="shared" si="95"/>
        <v/>
      </c>
      <c r="BA673" s="61" t="str">
        <f>IFERROR(IF(AX673-AX672&lt;=0,"",AZ673/SQRT(Таблица_pr8[[#This Row],[Удельное сопротивление грунта, Ом·м]])),AZ673/SQRT(Таблица_pr8[[#This Row],[Удельное сопротивление грунта, Ом·м]]))</f>
        <v/>
      </c>
      <c r="BC673" s="51"/>
      <c r="BD673" s="52"/>
      <c r="BE673" s="50"/>
      <c r="BF673" s="61" t="str">
        <f t="shared" si="91"/>
        <v/>
      </c>
      <c r="BG673" s="61" t="str">
        <f>IFERROR(IF(BD673-AX692&lt;=0,"",BF673/SQRT(Таблица_pr9[[#This Row],[Удельное сопротивление грунта, Ом·м]])),BF673/SQRT(Таблица_pr9[[#This Row],[Удельное сопротивление грунта, Ом·м]]))</f>
        <v/>
      </c>
      <c r="BI673" s="51"/>
      <c r="BJ673" s="52"/>
      <c r="BK673" s="50"/>
      <c r="BL673" s="61" t="str">
        <f t="shared" si="96"/>
        <v/>
      </c>
      <c r="BM673" s="61" t="str">
        <f>IFERROR(IF(BJ673-BD702&lt;=0,"",BL673/SQRT(Таблица_pr10[[#This Row],[Удельное сопротивление грунта, Ом·м]])),BL673/SQRT(Таблица_pr10[[#This Row],[Удельное сопротивление грунта, Ом·м]]))</f>
        <v/>
      </c>
    </row>
    <row r="674" spans="1:65">
      <c r="A674" s="53"/>
      <c r="B674" s="52"/>
      <c r="C674" s="50"/>
      <c r="D674" s="61" t="str">
        <f t="shared" si="86"/>
        <v/>
      </c>
      <c r="E674" s="61" t="str">
        <f>IFERROR(IF(B674-B673&lt;=0,"",D674/SQRT(Таблица_pr[[#This Row],[Удельное сопротивление грунта, Ом·м]])),D674/SQRT(Таблица_pr[[#This Row],[Удельное сопротивление грунта, Ом·м]]))</f>
        <v/>
      </c>
      <c r="G674" s="188"/>
      <c r="H674" s="184"/>
      <c r="I674" s="182"/>
      <c r="J674" s="181" t="str">
        <f t="shared" si="87"/>
        <v/>
      </c>
      <c r="K674" s="61" t="str">
        <f>IFERROR(IF(H674-H673&lt;=0,"",J674/SQRT(Таблица_pr1[[#This Row],[Удельное сопротивление грунта, Ом·м]])),J674/SQRT(Таблица_pr1[[#This Row],[Удельное сопротивление грунта, Ом·м]]))</f>
        <v/>
      </c>
      <c r="M674" s="53"/>
      <c r="N674" s="52"/>
      <c r="O674" s="50"/>
      <c r="P674" s="61" t="str">
        <f t="shared" si="92"/>
        <v/>
      </c>
      <c r="Q674" s="61" t="str">
        <f>IFERROR(IF(N674-N673&lt;=0,"",P674/SQRT(Таблица_pr2[[#This Row],[Удельное сопротивление грунта, Ом·м]])),P674/SQRT(Таблица_pr2[[#This Row],[Удельное сопротивление грунта, Ом·м]]))</f>
        <v/>
      </c>
      <c r="S674" s="53"/>
      <c r="T674" s="52"/>
      <c r="U674" s="50"/>
      <c r="V674" s="61" t="str">
        <f t="shared" si="88"/>
        <v/>
      </c>
      <c r="W674" s="61" t="str">
        <f>IFERROR(IF(T674-T673&lt;=0,"",V674/SQRT(Таблица_pr3[[#This Row],[Удельное сопротивление грунта, Ом·м]])),V674/SQRT(Таблица_pr3[[#This Row],[Удельное сопротивление грунта, Ом·м]]))</f>
        <v/>
      </c>
      <c r="Y674" s="53"/>
      <c r="Z674" s="52"/>
      <c r="AA674" s="50"/>
      <c r="AB674" s="61" t="str">
        <f t="shared" si="93"/>
        <v/>
      </c>
      <c r="AC674" s="61" t="str">
        <f>IFERROR(IF(Z674-Z673&lt;=0,"",AB674/SQRT(Таблица_pr4[[#This Row],[Удельное сопротивление грунта, Ом·м]])),AB674/SQRT(Таблица_pr4[[#This Row],[Удельное сопротивление грунта, Ом·м]]))</f>
        <v/>
      </c>
      <c r="AE674" s="53"/>
      <c r="AF674" s="52"/>
      <c r="AG674" s="50"/>
      <c r="AH674" s="61" t="str">
        <f t="shared" si="89"/>
        <v/>
      </c>
      <c r="AI674" s="61" t="str">
        <f>IFERROR(IF(AF674-AF673&lt;=0,"",AH674/SQRT(Таблица_pr5[[#This Row],[Удельное сопротивление грунта, Ом·м]])),AH674/SQRT(Таблица_pr5[[#This Row],[Удельное сопротивление грунта, Ом·м]]))</f>
        <v/>
      </c>
      <c r="AK674" s="53"/>
      <c r="AL674" s="52"/>
      <c r="AM674" s="50"/>
      <c r="AN674" s="61" t="str">
        <f t="shared" si="94"/>
        <v/>
      </c>
      <c r="AO674" s="61" t="str">
        <f>IFERROR(IF(AL674-AL673&lt;=0,"",AN674/SQRT(Таблица_pr6[[#This Row],[Удельное сопротивление грунта, Ом·м]])),AN674/SQRT(Таблица_pr6[[#This Row],[Удельное сопротивление грунта, Ом·м]]))</f>
        <v/>
      </c>
      <c r="AQ674" s="53"/>
      <c r="AR674" s="52"/>
      <c r="AS674" s="50"/>
      <c r="AT674" s="61" t="str">
        <f t="shared" si="90"/>
        <v/>
      </c>
      <c r="AU674" s="61" t="str">
        <f>IFERROR(IF(AR674-AR673&lt;=0,"",AT674/SQRT(Таблица_pr7[[#This Row],[Удельное сопротивление грунта, Ом·м]])),AT674/SQRT(Таблица_pr7[[#This Row],[Удельное сопротивление грунта, Ом·м]]))</f>
        <v/>
      </c>
      <c r="AW674" s="53"/>
      <c r="AX674" s="52"/>
      <c r="AY674" s="50"/>
      <c r="AZ674" s="61" t="str">
        <f t="shared" si="95"/>
        <v/>
      </c>
      <c r="BA674" s="61" t="str">
        <f>IFERROR(IF(AX674-AX673&lt;=0,"",AZ674/SQRT(Таблица_pr8[[#This Row],[Удельное сопротивление грунта, Ом·м]])),AZ674/SQRT(Таблица_pr8[[#This Row],[Удельное сопротивление грунта, Ом·м]]))</f>
        <v/>
      </c>
      <c r="BC674" s="53"/>
      <c r="BD674" s="52"/>
      <c r="BE674" s="50"/>
      <c r="BF674" s="61" t="str">
        <f t="shared" si="91"/>
        <v/>
      </c>
      <c r="BG674" s="61" t="str">
        <f>IFERROR(IF(BD674-AX693&lt;=0,"",BF674/SQRT(Таблица_pr9[[#This Row],[Удельное сопротивление грунта, Ом·м]])),BF674/SQRT(Таблица_pr9[[#This Row],[Удельное сопротивление грунта, Ом·м]]))</f>
        <v/>
      </c>
      <c r="BI674" s="53"/>
      <c r="BJ674" s="52"/>
      <c r="BK674" s="50"/>
      <c r="BL674" s="61" t="str">
        <f t="shared" si="96"/>
        <v/>
      </c>
      <c r="BM674" s="61" t="str">
        <f>IFERROR(IF(BJ674-BD703&lt;=0,"",BL674/SQRT(Таблица_pr10[[#This Row],[Удельное сопротивление грунта, Ом·м]])),BL674/SQRT(Таблица_pr10[[#This Row],[Удельное сопротивление грунта, Ом·м]]))</f>
        <v/>
      </c>
    </row>
    <row r="675" spans="1:65">
      <c r="A675" s="51"/>
      <c r="B675" s="52"/>
      <c r="C675" s="50"/>
      <c r="D675" s="61" t="str">
        <f t="shared" si="86"/>
        <v/>
      </c>
      <c r="E675" s="61" t="str">
        <f>IFERROR(IF(B675-B674&lt;=0,"",D675/SQRT(Таблица_pr[[#This Row],[Удельное сопротивление грунта, Ом·м]])),D675/SQRT(Таблица_pr[[#This Row],[Удельное сопротивление грунта, Ом·м]]))</f>
        <v/>
      </c>
      <c r="G675" s="189"/>
      <c r="H675" s="185"/>
      <c r="I675" s="183"/>
      <c r="J675" s="180" t="str">
        <f t="shared" si="87"/>
        <v/>
      </c>
      <c r="K675" s="61" t="str">
        <f>IFERROR(IF(H675-H674&lt;=0,"",J675/SQRT(Таблица_pr1[[#This Row],[Удельное сопротивление грунта, Ом·м]])),J675/SQRT(Таблица_pr1[[#This Row],[Удельное сопротивление грунта, Ом·м]]))</f>
        <v/>
      </c>
      <c r="M675" s="51"/>
      <c r="N675" s="52"/>
      <c r="O675" s="50"/>
      <c r="P675" s="61" t="str">
        <f t="shared" si="92"/>
        <v/>
      </c>
      <c r="Q675" s="61" t="str">
        <f>IFERROR(IF(N675-N674&lt;=0,"",P675/SQRT(Таблица_pr2[[#This Row],[Удельное сопротивление грунта, Ом·м]])),P675/SQRT(Таблица_pr2[[#This Row],[Удельное сопротивление грунта, Ом·м]]))</f>
        <v/>
      </c>
      <c r="S675" s="51"/>
      <c r="T675" s="52"/>
      <c r="U675" s="50"/>
      <c r="V675" s="61" t="str">
        <f t="shared" si="88"/>
        <v/>
      </c>
      <c r="W675" s="61" t="str">
        <f>IFERROR(IF(T675-T674&lt;=0,"",V675/SQRT(Таблица_pr3[[#This Row],[Удельное сопротивление грунта, Ом·м]])),V675/SQRT(Таблица_pr3[[#This Row],[Удельное сопротивление грунта, Ом·м]]))</f>
        <v/>
      </c>
      <c r="Y675" s="51"/>
      <c r="Z675" s="52"/>
      <c r="AA675" s="50"/>
      <c r="AB675" s="61" t="str">
        <f t="shared" si="93"/>
        <v/>
      </c>
      <c r="AC675" s="61" t="str">
        <f>IFERROR(IF(Z675-Z674&lt;=0,"",AB675/SQRT(Таблица_pr4[[#This Row],[Удельное сопротивление грунта, Ом·м]])),AB675/SQRT(Таблица_pr4[[#This Row],[Удельное сопротивление грунта, Ом·м]]))</f>
        <v/>
      </c>
      <c r="AE675" s="51"/>
      <c r="AF675" s="52"/>
      <c r="AG675" s="50"/>
      <c r="AH675" s="61" t="str">
        <f t="shared" si="89"/>
        <v/>
      </c>
      <c r="AI675" s="61" t="str">
        <f>IFERROR(IF(AF675-AF674&lt;=0,"",AH675/SQRT(Таблица_pr5[[#This Row],[Удельное сопротивление грунта, Ом·м]])),AH675/SQRT(Таблица_pr5[[#This Row],[Удельное сопротивление грунта, Ом·м]]))</f>
        <v/>
      </c>
      <c r="AK675" s="51"/>
      <c r="AL675" s="52"/>
      <c r="AM675" s="50"/>
      <c r="AN675" s="61" t="str">
        <f t="shared" si="94"/>
        <v/>
      </c>
      <c r="AO675" s="61" t="str">
        <f>IFERROR(IF(AL675-AL674&lt;=0,"",AN675/SQRT(Таблица_pr6[[#This Row],[Удельное сопротивление грунта, Ом·м]])),AN675/SQRT(Таблица_pr6[[#This Row],[Удельное сопротивление грунта, Ом·м]]))</f>
        <v/>
      </c>
      <c r="AQ675" s="51"/>
      <c r="AR675" s="52"/>
      <c r="AS675" s="50"/>
      <c r="AT675" s="61" t="str">
        <f t="shared" si="90"/>
        <v/>
      </c>
      <c r="AU675" s="61" t="str">
        <f>IFERROR(IF(AR675-AR674&lt;=0,"",AT675/SQRT(Таблица_pr7[[#This Row],[Удельное сопротивление грунта, Ом·м]])),AT675/SQRT(Таблица_pr7[[#This Row],[Удельное сопротивление грунта, Ом·м]]))</f>
        <v/>
      </c>
      <c r="AW675" s="51"/>
      <c r="AX675" s="52"/>
      <c r="AY675" s="50"/>
      <c r="AZ675" s="61" t="str">
        <f t="shared" si="95"/>
        <v/>
      </c>
      <c r="BA675" s="61" t="str">
        <f>IFERROR(IF(AX675-AX674&lt;=0,"",AZ675/SQRT(Таблица_pr8[[#This Row],[Удельное сопротивление грунта, Ом·м]])),AZ675/SQRT(Таблица_pr8[[#This Row],[Удельное сопротивление грунта, Ом·м]]))</f>
        <v/>
      </c>
      <c r="BC675" s="51"/>
      <c r="BD675" s="52"/>
      <c r="BE675" s="50"/>
      <c r="BF675" s="61" t="str">
        <f t="shared" si="91"/>
        <v/>
      </c>
      <c r="BG675" s="61" t="str">
        <f>IFERROR(IF(BD675-AX694&lt;=0,"",BF675/SQRT(Таблица_pr9[[#This Row],[Удельное сопротивление грунта, Ом·м]])),BF675/SQRT(Таблица_pr9[[#This Row],[Удельное сопротивление грунта, Ом·м]]))</f>
        <v/>
      </c>
      <c r="BI675" s="51"/>
      <c r="BJ675" s="52"/>
      <c r="BK675" s="50"/>
      <c r="BL675" s="61" t="str">
        <f t="shared" si="96"/>
        <v/>
      </c>
      <c r="BM675" s="61" t="str">
        <f>IFERROR(IF(BJ675-BD704&lt;=0,"",BL675/SQRT(Таблица_pr10[[#This Row],[Удельное сопротивление грунта, Ом·м]])),BL675/SQRT(Таблица_pr10[[#This Row],[Удельное сопротивление грунта, Ом·м]]))</f>
        <v/>
      </c>
    </row>
    <row r="676" spans="1:65">
      <c r="A676" s="53"/>
      <c r="B676" s="52"/>
      <c r="C676" s="50"/>
      <c r="D676" s="61" t="str">
        <f t="shared" si="86"/>
        <v/>
      </c>
      <c r="E676" s="61" t="str">
        <f>IFERROR(IF(B676-B675&lt;=0,"",D676/SQRT(Таблица_pr[[#This Row],[Удельное сопротивление грунта, Ом·м]])),D676/SQRT(Таблица_pr[[#This Row],[Удельное сопротивление грунта, Ом·м]]))</f>
        <v/>
      </c>
      <c r="G676" s="188"/>
      <c r="H676" s="184"/>
      <c r="I676" s="182"/>
      <c r="J676" s="181" t="str">
        <f t="shared" si="87"/>
        <v/>
      </c>
      <c r="K676" s="61" t="str">
        <f>IFERROR(IF(H676-H675&lt;=0,"",J676/SQRT(Таблица_pr1[[#This Row],[Удельное сопротивление грунта, Ом·м]])),J676/SQRT(Таблица_pr1[[#This Row],[Удельное сопротивление грунта, Ом·м]]))</f>
        <v/>
      </c>
      <c r="M676" s="53"/>
      <c r="N676" s="52"/>
      <c r="O676" s="50"/>
      <c r="P676" s="61" t="str">
        <f t="shared" si="92"/>
        <v/>
      </c>
      <c r="Q676" s="61" t="str">
        <f>IFERROR(IF(N676-N675&lt;=0,"",P676/SQRT(Таблица_pr2[[#This Row],[Удельное сопротивление грунта, Ом·м]])),P676/SQRT(Таблица_pr2[[#This Row],[Удельное сопротивление грунта, Ом·м]]))</f>
        <v/>
      </c>
      <c r="S676" s="53"/>
      <c r="T676" s="52"/>
      <c r="U676" s="50"/>
      <c r="V676" s="61" t="str">
        <f t="shared" si="88"/>
        <v/>
      </c>
      <c r="W676" s="61" t="str">
        <f>IFERROR(IF(T676-T675&lt;=0,"",V676/SQRT(Таблица_pr3[[#This Row],[Удельное сопротивление грунта, Ом·м]])),V676/SQRT(Таблица_pr3[[#This Row],[Удельное сопротивление грунта, Ом·м]]))</f>
        <v/>
      </c>
      <c r="Y676" s="53"/>
      <c r="Z676" s="52"/>
      <c r="AA676" s="50"/>
      <c r="AB676" s="61" t="str">
        <f t="shared" si="93"/>
        <v/>
      </c>
      <c r="AC676" s="61" t="str">
        <f>IFERROR(IF(Z676-Z675&lt;=0,"",AB676/SQRT(Таблица_pr4[[#This Row],[Удельное сопротивление грунта, Ом·м]])),AB676/SQRT(Таблица_pr4[[#This Row],[Удельное сопротивление грунта, Ом·м]]))</f>
        <v/>
      </c>
      <c r="AE676" s="53"/>
      <c r="AF676" s="52"/>
      <c r="AG676" s="50"/>
      <c r="AH676" s="61" t="str">
        <f t="shared" si="89"/>
        <v/>
      </c>
      <c r="AI676" s="61" t="str">
        <f>IFERROR(IF(AF676-AF675&lt;=0,"",AH676/SQRT(Таблица_pr5[[#This Row],[Удельное сопротивление грунта, Ом·м]])),AH676/SQRT(Таблица_pr5[[#This Row],[Удельное сопротивление грунта, Ом·м]]))</f>
        <v/>
      </c>
      <c r="AK676" s="53"/>
      <c r="AL676" s="52"/>
      <c r="AM676" s="50"/>
      <c r="AN676" s="61" t="str">
        <f t="shared" si="94"/>
        <v/>
      </c>
      <c r="AO676" s="61" t="str">
        <f>IFERROR(IF(AL676-AL675&lt;=0,"",AN676/SQRT(Таблица_pr6[[#This Row],[Удельное сопротивление грунта, Ом·м]])),AN676/SQRT(Таблица_pr6[[#This Row],[Удельное сопротивление грунта, Ом·м]]))</f>
        <v/>
      </c>
      <c r="AQ676" s="53"/>
      <c r="AR676" s="52"/>
      <c r="AS676" s="50"/>
      <c r="AT676" s="61" t="str">
        <f t="shared" si="90"/>
        <v/>
      </c>
      <c r="AU676" s="61" t="str">
        <f>IFERROR(IF(AR676-AR675&lt;=0,"",AT676/SQRT(Таблица_pr7[[#This Row],[Удельное сопротивление грунта, Ом·м]])),AT676/SQRT(Таблица_pr7[[#This Row],[Удельное сопротивление грунта, Ом·м]]))</f>
        <v/>
      </c>
      <c r="AW676" s="53"/>
      <c r="AX676" s="52"/>
      <c r="AY676" s="50"/>
      <c r="AZ676" s="61" t="str">
        <f t="shared" si="95"/>
        <v/>
      </c>
      <c r="BA676" s="61" t="str">
        <f>IFERROR(IF(AX676-AX675&lt;=0,"",AZ676/SQRT(Таблица_pr8[[#This Row],[Удельное сопротивление грунта, Ом·м]])),AZ676/SQRT(Таблица_pr8[[#This Row],[Удельное сопротивление грунта, Ом·м]]))</f>
        <v/>
      </c>
      <c r="BC676" s="53"/>
      <c r="BD676" s="52"/>
      <c r="BE676" s="50"/>
      <c r="BF676" s="61" t="str">
        <f t="shared" si="91"/>
        <v/>
      </c>
      <c r="BG676" s="61" t="str">
        <f>IFERROR(IF(BD676-AX695&lt;=0,"",BF676/SQRT(Таблица_pr9[[#This Row],[Удельное сопротивление грунта, Ом·м]])),BF676/SQRT(Таблица_pr9[[#This Row],[Удельное сопротивление грунта, Ом·м]]))</f>
        <v/>
      </c>
      <c r="BI676" s="53"/>
      <c r="BJ676" s="52"/>
      <c r="BK676" s="50"/>
      <c r="BL676" s="61" t="str">
        <f t="shared" si="96"/>
        <v/>
      </c>
      <c r="BM676" s="61" t="str">
        <f>IFERROR(IF(BJ676-BD705&lt;=0,"",BL676/SQRT(Таблица_pr10[[#This Row],[Удельное сопротивление грунта, Ом·м]])),BL676/SQRT(Таблица_pr10[[#This Row],[Удельное сопротивление грунта, Ом·м]]))</f>
        <v/>
      </c>
    </row>
    <row r="677" spans="1:65">
      <c r="A677" s="51"/>
      <c r="B677" s="52"/>
      <c r="C677" s="50"/>
      <c r="D677" s="61" t="str">
        <f t="shared" si="86"/>
        <v/>
      </c>
      <c r="E677" s="61" t="str">
        <f>IFERROR(IF(B677-B676&lt;=0,"",D677/SQRT(Таблица_pr[[#This Row],[Удельное сопротивление грунта, Ом·м]])),D677/SQRT(Таблица_pr[[#This Row],[Удельное сопротивление грунта, Ом·м]]))</f>
        <v/>
      </c>
      <c r="G677" s="189"/>
      <c r="H677" s="185"/>
      <c r="I677" s="183"/>
      <c r="J677" s="180" t="str">
        <f t="shared" si="87"/>
        <v/>
      </c>
      <c r="K677" s="61" t="str">
        <f>IFERROR(IF(H677-H676&lt;=0,"",J677/SQRT(Таблица_pr1[[#This Row],[Удельное сопротивление грунта, Ом·м]])),J677/SQRT(Таблица_pr1[[#This Row],[Удельное сопротивление грунта, Ом·м]]))</f>
        <v/>
      </c>
      <c r="M677" s="51"/>
      <c r="N677" s="52"/>
      <c r="O677" s="50"/>
      <c r="P677" s="61" t="str">
        <f t="shared" si="92"/>
        <v/>
      </c>
      <c r="Q677" s="61" t="str">
        <f>IFERROR(IF(N677-N676&lt;=0,"",P677/SQRT(Таблица_pr2[[#This Row],[Удельное сопротивление грунта, Ом·м]])),P677/SQRT(Таблица_pr2[[#This Row],[Удельное сопротивление грунта, Ом·м]]))</f>
        <v/>
      </c>
      <c r="S677" s="51"/>
      <c r="T677" s="52"/>
      <c r="U677" s="50"/>
      <c r="V677" s="61" t="str">
        <f t="shared" si="88"/>
        <v/>
      </c>
      <c r="W677" s="61" t="str">
        <f>IFERROR(IF(T677-T676&lt;=0,"",V677/SQRT(Таблица_pr3[[#This Row],[Удельное сопротивление грунта, Ом·м]])),V677/SQRT(Таблица_pr3[[#This Row],[Удельное сопротивление грунта, Ом·м]]))</f>
        <v/>
      </c>
      <c r="Y677" s="51"/>
      <c r="Z677" s="52"/>
      <c r="AA677" s="50"/>
      <c r="AB677" s="61" t="str">
        <f t="shared" si="93"/>
        <v/>
      </c>
      <c r="AC677" s="61" t="str">
        <f>IFERROR(IF(Z677-Z676&lt;=0,"",AB677/SQRT(Таблица_pr4[[#This Row],[Удельное сопротивление грунта, Ом·м]])),AB677/SQRT(Таблица_pr4[[#This Row],[Удельное сопротивление грунта, Ом·м]]))</f>
        <v/>
      </c>
      <c r="AE677" s="51"/>
      <c r="AF677" s="52"/>
      <c r="AG677" s="50"/>
      <c r="AH677" s="61" t="str">
        <f t="shared" si="89"/>
        <v/>
      </c>
      <c r="AI677" s="61" t="str">
        <f>IFERROR(IF(AF677-AF676&lt;=0,"",AH677/SQRT(Таблица_pr5[[#This Row],[Удельное сопротивление грунта, Ом·м]])),AH677/SQRT(Таблица_pr5[[#This Row],[Удельное сопротивление грунта, Ом·м]]))</f>
        <v/>
      </c>
      <c r="AK677" s="51"/>
      <c r="AL677" s="52"/>
      <c r="AM677" s="50"/>
      <c r="AN677" s="61" t="str">
        <f t="shared" si="94"/>
        <v/>
      </c>
      <c r="AO677" s="61" t="str">
        <f>IFERROR(IF(AL677-AL676&lt;=0,"",AN677/SQRT(Таблица_pr6[[#This Row],[Удельное сопротивление грунта, Ом·м]])),AN677/SQRT(Таблица_pr6[[#This Row],[Удельное сопротивление грунта, Ом·м]]))</f>
        <v/>
      </c>
      <c r="AQ677" s="51"/>
      <c r="AR677" s="52"/>
      <c r="AS677" s="50"/>
      <c r="AT677" s="61" t="str">
        <f t="shared" si="90"/>
        <v/>
      </c>
      <c r="AU677" s="61" t="str">
        <f>IFERROR(IF(AR677-AR676&lt;=0,"",AT677/SQRT(Таблица_pr7[[#This Row],[Удельное сопротивление грунта, Ом·м]])),AT677/SQRT(Таблица_pr7[[#This Row],[Удельное сопротивление грунта, Ом·м]]))</f>
        <v/>
      </c>
      <c r="AW677" s="51"/>
      <c r="AX677" s="52"/>
      <c r="AY677" s="50"/>
      <c r="AZ677" s="61" t="str">
        <f t="shared" si="95"/>
        <v/>
      </c>
      <c r="BA677" s="61" t="str">
        <f>IFERROR(IF(AX677-AX676&lt;=0,"",AZ677/SQRT(Таблица_pr8[[#This Row],[Удельное сопротивление грунта, Ом·м]])),AZ677/SQRT(Таблица_pr8[[#This Row],[Удельное сопротивление грунта, Ом·м]]))</f>
        <v/>
      </c>
      <c r="BC677" s="51"/>
      <c r="BD677" s="52"/>
      <c r="BE677" s="50"/>
      <c r="BF677" s="61" t="str">
        <f t="shared" si="91"/>
        <v/>
      </c>
      <c r="BG677" s="61" t="str">
        <f>IFERROR(IF(BD677-AX696&lt;=0,"",BF677/SQRT(Таблица_pr9[[#This Row],[Удельное сопротивление грунта, Ом·м]])),BF677/SQRT(Таблица_pr9[[#This Row],[Удельное сопротивление грунта, Ом·м]]))</f>
        <v/>
      </c>
      <c r="BI677" s="51"/>
      <c r="BJ677" s="52"/>
      <c r="BK677" s="50"/>
      <c r="BL677" s="61" t="str">
        <f t="shared" si="96"/>
        <v/>
      </c>
      <c r="BM677" s="61" t="str">
        <f>IFERROR(IF(BJ677-BD706&lt;=0,"",BL677/SQRT(Таблица_pr10[[#This Row],[Удельное сопротивление грунта, Ом·м]])),BL677/SQRT(Таблица_pr10[[#This Row],[Удельное сопротивление грунта, Ом·м]]))</f>
        <v/>
      </c>
    </row>
    <row r="678" spans="1:65">
      <c r="A678" s="53"/>
      <c r="B678" s="52"/>
      <c r="C678" s="50"/>
      <c r="D678" s="61" t="str">
        <f t="shared" si="86"/>
        <v/>
      </c>
      <c r="E678" s="61" t="str">
        <f>IFERROR(IF(B678-B677&lt;=0,"",D678/SQRT(Таблица_pr[[#This Row],[Удельное сопротивление грунта, Ом·м]])),D678/SQRT(Таблица_pr[[#This Row],[Удельное сопротивление грунта, Ом·м]]))</f>
        <v/>
      </c>
      <c r="G678" s="188"/>
      <c r="H678" s="184"/>
      <c r="I678" s="182"/>
      <c r="J678" s="181" t="str">
        <f t="shared" si="87"/>
        <v/>
      </c>
      <c r="K678" s="61" t="str">
        <f>IFERROR(IF(H678-H677&lt;=0,"",J678/SQRT(Таблица_pr1[[#This Row],[Удельное сопротивление грунта, Ом·м]])),J678/SQRT(Таблица_pr1[[#This Row],[Удельное сопротивление грунта, Ом·м]]))</f>
        <v/>
      </c>
      <c r="M678" s="53"/>
      <c r="N678" s="52"/>
      <c r="O678" s="50"/>
      <c r="P678" s="61" t="str">
        <f t="shared" si="92"/>
        <v/>
      </c>
      <c r="Q678" s="61" t="str">
        <f>IFERROR(IF(N678-N677&lt;=0,"",P678/SQRT(Таблица_pr2[[#This Row],[Удельное сопротивление грунта, Ом·м]])),P678/SQRT(Таблица_pr2[[#This Row],[Удельное сопротивление грунта, Ом·м]]))</f>
        <v/>
      </c>
      <c r="S678" s="53"/>
      <c r="T678" s="52"/>
      <c r="U678" s="50"/>
      <c r="V678" s="61" t="str">
        <f t="shared" si="88"/>
        <v/>
      </c>
      <c r="W678" s="61" t="str">
        <f>IFERROR(IF(T678-T677&lt;=0,"",V678/SQRT(Таблица_pr3[[#This Row],[Удельное сопротивление грунта, Ом·м]])),V678/SQRT(Таблица_pr3[[#This Row],[Удельное сопротивление грунта, Ом·м]]))</f>
        <v/>
      </c>
      <c r="Y678" s="53"/>
      <c r="Z678" s="52"/>
      <c r="AA678" s="50"/>
      <c r="AB678" s="61" t="str">
        <f t="shared" si="93"/>
        <v/>
      </c>
      <c r="AC678" s="61" t="str">
        <f>IFERROR(IF(Z678-Z677&lt;=0,"",AB678/SQRT(Таблица_pr4[[#This Row],[Удельное сопротивление грунта, Ом·м]])),AB678/SQRT(Таблица_pr4[[#This Row],[Удельное сопротивление грунта, Ом·м]]))</f>
        <v/>
      </c>
      <c r="AE678" s="53"/>
      <c r="AF678" s="52"/>
      <c r="AG678" s="50"/>
      <c r="AH678" s="61" t="str">
        <f t="shared" si="89"/>
        <v/>
      </c>
      <c r="AI678" s="61" t="str">
        <f>IFERROR(IF(AF678-AF677&lt;=0,"",AH678/SQRT(Таблица_pr5[[#This Row],[Удельное сопротивление грунта, Ом·м]])),AH678/SQRT(Таблица_pr5[[#This Row],[Удельное сопротивление грунта, Ом·м]]))</f>
        <v/>
      </c>
      <c r="AK678" s="53"/>
      <c r="AL678" s="52"/>
      <c r="AM678" s="50"/>
      <c r="AN678" s="61" t="str">
        <f t="shared" si="94"/>
        <v/>
      </c>
      <c r="AO678" s="61" t="str">
        <f>IFERROR(IF(AL678-AL677&lt;=0,"",AN678/SQRT(Таблица_pr6[[#This Row],[Удельное сопротивление грунта, Ом·м]])),AN678/SQRT(Таблица_pr6[[#This Row],[Удельное сопротивление грунта, Ом·м]]))</f>
        <v/>
      </c>
      <c r="AQ678" s="53"/>
      <c r="AR678" s="52"/>
      <c r="AS678" s="50"/>
      <c r="AT678" s="61" t="str">
        <f t="shared" si="90"/>
        <v/>
      </c>
      <c r="AU678" s="61" t="str">
        <f>IFERROR(IF(AR678-AR677&lt;=0,"",AT678/SQRT(Таблица_pr7[[#This Row],[Удельное сопротивление грунта, Ом·м]])),AT678/SQRT(Таблица_pr7[[#This Row],[Удельное сопротивление грунта, Ом·м]]))</f>
        <v/>
      </c>
      <c r="AW678" s="53"/>
      <c r="AX678" s="52"/>
      <c r="AY678" s="50"/>
      <c r="AZ678" s="61" t="str">
        <f t="shared" si="95"/>
        <v/>
      </c>
      <c r="BA678" s="61" t="str">
        <f>IFERROR(IF(AX678-AX677&lt;=0,"",AZ678/SQRT(Таблица_pr8[[#This Row],[Удельное сопротивление грунта, Ом·м]])),AZ678/SQRT(Таблица_pr8[[#This Row],[Удельное сопротивление грунта, Ом·м]]))</f>
        <v/>
      </c>
      <c r="BC678" s="53"/>
      <c r="BD678" s="52"/>
      <c r="BE678" s="50"/>
      <c r="BF678" s="61" t="str">
        <f t="shared" si="91"/>
        <v/>
      </c>
      <c r="BG678" s="61" t="str">
        <f>IFERROR(IF(BD678-AX697&lt;=0,"",BF678/SQRT(Таблица_pr9[[#This Row],[Удельное сопротивление грунта, Ом·м]])),BF678/SQRT(Таблица_pr9[[#This Row],[Удельное сопротивление грунта, Ом·м]]))</f>
        <v/>
      </c>
      <c r="BI678" s="53"/>
      <c r="BJ678" s="52"/>
      <c r="BK678" s="50"/>
      <c r="BL678" s="61" t="str">
        <f t="shared" si="96"/>
        <v/>
      </c>
      <c r="BM678" s="61" t="str">
        <f>IFERROR(IF(BJ678-BD707&lt;=0,"",BL678/SQRT(Таблица_pr10[[#This Row],[Удельное сопротивление грунта, Ом·м]])),BL678/SQRT(Таблица_pr10[[#This Row],[Удельное сопротивление грунта, Ом·м]]))</f>
        <v/>
      </c>
    </row>
    <row r="679" spans="1:65">
      <c r="A679" s="51"/>
      <c r="B679" s="52"/>
      <c r="C679" s="50"/>
      <c r="D679" s="61" t="str">
        <f t="shared" si="86"/>
        <v/>
      </c>
      <c r="E679" s="61" t="str">
        <f>IFERROR(IF(B679-B678&lt;=0,"",D679/SQRT(Таблица_pr[[#This Row],[Удельное сопротивление грунта, Ом·м]])),D679/SQRT(Таблица_pr[[#This Row],[Удельное сопротивление грунта, Ом·м]]))</f>
        <v/>
      </c>
      <c r="G679" s="189"/>
      <c r="H679" s="185"/>
      <c r="I679" s="183"/>
      <c r="J679" s="180" t="str">
        <f t="shared" si="87"/>
        <v/>
      </c>
      <c r="K679" s="61" t="str">
        <f>IFERROR(IF(H679-H678&lt;=0,"",J679/SQRT(Таблица_pr1[[#This Row],[Удельное сопротивление грунта, Ом·м]])),J679/SQRT(Таблица_pr1[[#This Row],[Удельное сопротивление грунта, Ом·м]]))</f>
        <v/>
      </c>
      <c r="M679" s="51"/>
      <c r="N679" s="52"/>
      <c r="O679" s="50"/>
      <c r="P679" s="61" t="str">
        <f t="shared" si="92"/>
        <v/>
      </c>
      <c r="Q679" s="61" t="str">
        <f>IFERROR(IF(N679-N678&lt;=0,"",P679/SQRT(Таблица_pr2[[#This Row],[Удельное сопротивление грунта, Ом·м]])),P679/SQRT(Таблица_pr2[[#This Row],[Удельное сопротивление грунта, Ом·м]]))</f>
        <v/>
      </c>
      <c r="S679" s="51"/>
      <c r="T679" s="52"/>
      <c r="U679" s="50"/>
      <c r="V679" s="61" t="str">
        <f t="shared" si="88"/>
        <v/>
      </c>
      <c r="W679" s="61" t="str">
        <f>IFERROR(IF(T679-T678&lt;=0,"",V679/SQRT(Таблица_pr3[[#This Row],[Удельное сопротивление грунта, Ом·м]])),V679/SQRT(Таблица_pr3[[#This Row],[Удельное сопротивление грунта, Ом·м]]))</f>
        <v/>
      </c>
      <c r="Y679" s="51"/>
      <c r="Z679" s="52"/>
      <c r="AA679" s="50"/>
      <c r="AB679" s="61" t="str">
        <f t="shared" si="93"/>
        <v/>
      </c>
      <c r="AC679" s="61" t="str">
        <f>IFERROR(IF(Z679-Z678&lt;=0,"",AB679/SQRT(Таблица_pr4[[#This Row],[Удельное сопротивление грунта, Ом·м]])),AB679/SQRT(Таблица_pr4[[#This Row],[Удельное сопротивление грунта, Ом·м]]))</f>
        <v/>
      </c>
      <c r="AE679" s="51"/>
      <c r="AF679" s="52"/>
      <c r="AG679" s="50"/>
      <c r="AH679" s="61" t="str">
        <f t="shared" si="89"/>
        <v/>
      </c>
      <c r="AI679" s="61" t="str">
        <f>IFERROR(IF(AF679-AF678&lt;=0,"",AH679/SQRT(Таблица_pr5[[#This Row],[Удельное сопротивление грунта, Ом·м]])),AH679/SQRT(Таблица_pr5[[#This Row],[Удельное сопротивление грунта, Ом·м]]))</f>
        <v/>
      </c>
      <c r="AK679" s="51"/>
      <c r="AL679" s="52"/>
      <c r="AM679" s="50"/>
      <c r="AN679" s="61" t="str">
        <f t="shared" si="94"/>
        <v/>
      </c>
      <c r="AO679" s="61" t="str">
        <f>IFERROR(IF(AL679-AL678&lt;=0,"",AN679/SQRT(Таблица_pr6[[#This Row],[Удельное сопротивление грунта, Ом·м]])),AN679/SQRT(Таблица_pr6[[#This Row],[Удельное сопротивление грунта, Ом·м]]))</f>
        <v/>
      </c>
      <c r="AQ679" s="51"/>
      <c r="AR679" s="52"/>
      <c r="AS679" s="50"/>
      <c r="AT679" s="61" t="str">
        <f t="shared" si="90"/>
        <v/>
      </c>
      <c r="AU679" s="61" t="str">
        <f>IFERROR(IF(AR679-AR678&lt;=0,"",AT679/SQRT(Таблица_pr7[[#This Row],[Удельное сопротивление грунта, Ом·м]])),AT679/SQRT(Таблица_pr7[[#This Row],[Удельное сопротивление грунта, Ом·м]]))</f>
        <v/>
      </c>
      <c r="AW679" s="51"/>
      <c r="AX679" s="52"/>
      <c r="AY679" s="50"/>
      <c r="AZ679" s="61" t="str">
        <f t="shared" si="95"/>
        <v/>
      </c>
      <c r="BA679" s="61" t="str">
        <f>IFERROR(IF(AX679-AX678&lt;=0,"",AZ679/SQRT(Таблица_pr8[[#This Row],[Удельное сопротивление грунта, Ом·м]])),AZ679/SQRT(Таблица_pr8[[#This Row],[Удельное сопротивление грунта, Ом·м]]))</f>
        <v/>
      </c>
      <c r="BC679" s="51"/>
      <c r="BD679" s="52"/>
      <c r="BE679" s="50"/>
      <c r="BF679" s="61" t="str">
        <f t="shared" si="91"/>
        <v/>
      </c>
      <c r="BG679" s="61" t="str">
        <f>IFERROR(IF(BD679-AX698&lt;=0,"",BF679/SQRT(Таблица_pr9[[#This Row],[Удельное сопротивление грунта, Ом·м]])),BF679/SQRT(Таблица_pr9[[#This Row],[Удельное сопротивление грунта, Ом·м]]))</f>
        <v/>
      </c>
      <c r="BI679" s="51"/>
      <c r="BJ679" s="52"/>
      <c r="BK679" s="50"/>
      <c r="BL679" s="61" t="str">
        <f t="shared" si="96"/>
        <v/>
      </c>
      <c r="BM679" s="61" t="str">
        <f>IFERROR(IF(BJ679-BD708&lt;=0,"",BL679/SQRT(Таблица_pr10[[#This Row],[Удельное сопротивление грунта, Ом·м]])),BL679/SQRT(Таблица_pr10[[#This Row],[Удельное сопротивление грунта, Ом·м]]))</f>
        <v/>
      </c>
    </row>
    <row r="680" spans="1:65">
      <c r="A680" s="53"/>
      <c r="B680" s="52"/>
      <c r="C680" s="50"/>
      <c r="D680" s="61" t="str">
        <f t="shared" si="86"/>
        <v/>
      </c>
      <c r="E680" s="61" t="str">
        <f>IFERROR(IF(B680-B679&lt;=0,"",D680/SQRT(Таблица_pr[[#This Row],[Удельное сопротивление грунта, Ом·м]])),D680/SQRT(Таблица_pr[[#This Row],[Удельное сопротивление грунта, Ом·м]]))</f>
        <v/>
      </c>
      <c r="G680" s="188"/>
      <c r="H680" s="184"/>
      <c r="I680" s="182"/>
      <c r="J680" s="181" t="str">
        <f t="shared" si="87"/>
        <v/>
      </c>
      <c r="K680" s="61" t="str">
        <f>IFERROR(IF(H680-H679&lt;=0,"",J680/SQRT(Таблица_pr1[[#This Row],[Удельное сопротивление грунта, Ом·м]])),J680/SQRT(Таблица_pr1[[#This Row],[Удельное сопротивление грунта, Ом·м]]))</f>
        <v/>
      </c>
      <c r="M680" s="53"/>
      <c r="N680" s="52"/>
      <c r="O680" s="50"/>
      <c r="P680" s="61" t="str">
        <f t="shared" si="92"/>
        <v/>
      </c>
      <c r="Q680" s="61" t="str">
        <f>IFERROR(IF(N680-N679&lt;=0,"",P680/SQRT(Таблица_pr2[[#This Row],[Удельное сопротивление грунта, Ом·м]])),P680/SQRT(Таблица_pr2[[#This Row],[Удельное сопротивление грунта, Ом·м]]))</f>
        <v/>
      </c>
      <c r="S680" s="53"/>
      <c r="T680" s="52"/>
      <c r="U680" s="50"/>
      <c r="V680" s="61" t="str">
        <f t="shared" si="88"/>
        <v/>
      </c>
      <c r="W680" s="61" t="str">
        <f>IFERROR(IF(T680-T679&lt;=0,"",V680/SQRT(Таблица_pr3[[#This Row],[Удельное сопротивление грунта, Ом·м]])),V680/SQRT(Таблица_pr3[[#This Row],[Удельное сопротивление грунта, Ом·м]]))</f>
        <v/>
      </c>
      <c r="Y680" s="53"/>
      <c r="Z680" s="52"/>
      <c r="AA680" s="50"/>
      <c r="AB680" s="61" t="str">
        <f t="shared" si="93"/>
        <v/>
      </c>
      <c r="AC680" s="61" t="str">
        <f>IFERROR(IF(Z680-Z679&lt;=0,"",AB680/SQRT(Таблица_pr4[[#This Row],[Удельное сопротивление грунта, Ом·м]])),AB680/SQRT(Таблица_pr4[[#This Row],[Удельное сопротивление грунта, Ом·м]]))</f>
        <v/>
      </c>
      <c r="AE680" s="53"/>
      <c r="AF680" s="52"/>
      <c r="AG680" s="50"/>
      <c r="AH680" s="61" t="str">
        <f t="shared" si="89"/>
        <v/>
      </c>
      <c r="AI680" s="61" t="str">
        <f>IFERROR(IF(AF680-AF679&lt;=0,"",AH680/SQRT(Таблица_pr5[[#This Row],[Удельное сопротивление грунта, Ом·м]])),AH680/SQRT(Таблица_pr5[[#This Row],[Удельное сопротивление грунта, Ом·м]]))</f>
        <v/>
      </c>
      <c r="AK680" s="53"/>
      <c r="AL680" s="52"/>
      <c r="AM680" s="50"/>
      <c r="AN680" s="61" t="str">
        <f t="shared" si="94"/>
        <v/>
      </c>
      <c r="AO680" s="61" t="str">
        <f>IFERROR(IF(AL680-AL679&lt;=0,"",AN680/SQRT(Таблица_pr6[[#This Row],[Удельное сопротивление грунта, Ом·м]])),AN680/SQRT(Таблица_pr6[[#This Row],[Удельное сопротивление грунта, Ом·м]]))</f>
        <v/>
      </c>
      <c r="AQ680" s="53"/>
      <c r="AR680" s="52"/>
      <c r="AS680" s="50"/>
      <c r="AT680" s="61" t="str">
        <f t="shared" si="90"/>
        <v/>
      </c>
      <c r="AU680" s="61" t="str">
        <f>IFERROR(IF(AR680-AR679&lt;=0,"",AT680/SQRT(Таблица_pr7[[#This Row],[Удельное сопротивление грунта, Ом·м]])),AT680/SQRT(Таблица_pr7[[#This Row],[Удельное сопротивление грунта, Ом·м]]))</f>
        <v/>
      </c>
      <c r="AW680" s="53"/>
      <c r="AX680" s="52"/>
      <c r="AY680" s="50"/>
      <c r="AZ680" s="61" t="str">
        <f t="shared" si="95"/>
        <v/>
      </c>
      <c r="BA680" s="61" t="str">
        <f>IFERROR(IF(AX680-AX679&lt;=0,"",AZ680/SQRT(Таблица_pr8[[#This Row],[Удельное сопротивление грунта, Ом·м]])),AZ680/SQRT(Таблица_pr8[[#This Row],[Удельное сопротивление грунта, Ом·м]]))</f>
        <v/>
      </c>
      <c r="BC680" s="53"/>
      <c r="BD680" s="52"/>
      <c r="BE680" s="50"/>
      <c r="BF680" s="61" t="str">
        <f t="shared" si="91"/>
        <v/>
      </c>
      <c r="BG680" s="61" t="str">
        <f>IFERROR(IF(BD680-AX699&lt;=0,"",BF680/SQRT(Таблица_pr9[[#This Row],[Удельное сопротивление грунта, Ом·м]])),BF680/SQRT(Таблица_pr9[[#This Row],[Удельное сопротивление грунта, Ом·м]]))</f>
        <v/>
      </c>
      <c r="BI680" s="53"/>
      <c r="BJ680" s="52"/>
      <c r="BK680" s="50"/>
      <c r="BL680" s="61" t="str">
        <f t="shared" si="96"/>
        <v/>
      </c>
      <c r="BM680" s="61" t="str">
        <f>IFERROR(IF(BJ680-BD709&lt;=0,"",BL680/SQRT(Таблица_pr10[[#This Row],[Удельное сопротивление грунта, Ом·м]])),BL680/SQRT(Таблица_pr10[[#This Row],[Удельное сопротивление грунта, Ом·м]]))</f>
        <v/>
      </c>
    </row>
    <row r="681" spans="1:65">
      <c r="A681" s="51"/>
      <c r="B681" s="52"/>
      <c r="C681" s="50"/>
      <c r="D681" s="61" t="str">
        <f t="shared" si="86"/>
        <v/>
      </c>
      <c r="E681" s="61" t="str">
        <f>IFERROR(IF(B681-B680&lt;=0,"",D681/SQRT(Таблица_pr[[#This Row],[Удельное сопротивление грунта, Ом·м]])),D681/SQRT(Таблица_pr[[#This Row],[Удельное сопротивление грунта, Ом·м]]))</f>
        <v/>
      </c>
      <c r="G681" s="189"/>
      <c r="H681" s="185"/>
      <c r="I681" s="183"/>
      <c r="J681" s="180" t="str">
        <f t="shared" si="87"/>
        <v/>
      </c>
      <c r="K681" s="61" t="str">
        <f>IFERROR(IF(H681-H680&lt;=0,"",J681/SQRT(Таблица_pr1[[#This Row],[Удельное сопротивление грунта, Ом·м]])),J681/SQRT(Таблица_pr1[[#This Row],[Удельное сопротивление грунта, Ом·м]]))</f>
        <v/>
      </c>
      <c r="M681" s="51"/>
      <c r="N681" s="52"/>
      <c r="O681" s="50"/>
      <c r="P681" s="61" t="str">
        <f t="shared" si="92"/>
        <v/>
      </c>
      <c r="Q681" s="61" t="str">
        <f>IFERROR(IF(N681-N680&lt;=0,"",P681/SQRT(Таблица_pr2[[#This Row],[Удельное сопротивление грунта, Ом·м]])),P681/SQRT(Таблица_pr2[[#This Row],[Удельное сопротивление грунта, Ом·м]]))</f>
        <v/>
      </c>
      <c r="S681" s="51"/>
      <c r="T681" s="52"/>
      <c r="U681" s="50"/>
      <c r="V681" s="61" t="str">
        <f t="shared" si="88"/>
        <v/>
      </c>
      <c r="W681" s="61" t="str">
        <f>IFERROR(IF(T681-T680&lt;=0,"",V681/SQRT(Таблица_pr3[[#This Row],[Удельное сопротивление грунта, Ом·м]])),V681/SQRT(Таблица_pr3[[#This Row],[Удельное сопротивление грунта, Ом·м]]))</f>
        <v/>
      </c>
      <c r="Y681" s="51"/>
      <c r="Z681" s="52"/>
      <c r="AA681" s="50"/>
      <c r="AB681" s="61" t="str">
        <f t="shared" si="93"/>
        <v/>
      </c>
      <c r="AC681" s="61" t="str">
        <f>IFERROR(IF(Z681-Z680&lt;=0,"",AB681/SQRT(Таблица_pr4[[#This Row],[Удельное сопротивление грунта, Ом·м]])),AB681/SQRT(Таблица_pr4[[#This Row],[Удельное сопротивление грунта, Ом·м]]))</f>
        <v/>
      </c>
      <c r="AE681" s="51"/>
      <c r="AF681" s="52"/>
      <c r="AG681" s="50"/>
      <c r="AH681" s="61" t="str">
        <f t="shared" si="89"/>
        <v/>
      </c>
      <c r="AI681" s="61" t="str">
        <f>IFERROR(IF(AF681-AF680&lt;=0,"",AH681/SQRT(Таблица_pr5[[#This Row],[Удельное сопротивление грунта, Ом·м]])),AH681/SQRT(Таблица_pr5[[#This Row],[Удельное сопротивление грунта, Ом·м]]))</f>
        <v/>
      </c>
      <c r="AK681" s="51"/>
      <c r="AL681" s="52"/>
      <c r="AM681" s="50"/>
      <c r="AN681" s="61" t="str">
        <f t="shared" si="94"/>
        <v/>
      </c>
      <c r="AO681" s="61" t="str">
        <f>IFERROR(IF(AL681-AL680&lt;=0,"",AN681/SQRT(Таблица_pr6[[#This Row],[Удельное сопротивление грунта, Ом·м]])),AN681/SQRT(Таблица_pr6[[#This Row],[Удельное сопротивление грунта, Ом·м]]))</f>
        <v/>
      </c>
      <c r="AQ681" s="51"/>
      <c r="AR681" s="52"/>
      <c r="AS681" s="50"/>
      <c r="AT681" s="61" t="str">
        <f t="shared" si="90"/>
        <v/>
      </c>
      <c r="AU681" s="61" t="str">
        <f>IFERROR(IF(AR681-AR680&lt;=0,"",AT681/SQRT(Таблица_pr7[[#This Row],[Удельное сопротивление грунта, Ом·м]])),AT681/SQRT(Таблица_pr7[[#This Row],[Удельное сопротивление грунта, Ом·м]]))</f>
        <v/>
      </c>
      <c r="AW681" s="51"/>
      <c r="AX681" s="52"/>
      <c r="AY681" s="50"/>
      <c r="AZ681" s="61" t="str">
        <f t="shared" si="95"/>
        <v/>
      </c>
      <c r="BA681" s="61" t="str">
        <f>IFERROR(IF(AX681-AX680&lt;=0,"",AZ681/SQRT(Таблица_pr8[[#This Row],[Удельное сопротивление грунта, Ом·м]])),AZ681/SQRT(Таблица_pr8[[#This Row],[Удельное сопротивление грунта, Ом·м]]))</f>
        <v/>
      </c>
      <c r="BC681" s="51"/>
      <c r="BD681" s="52"/>
      <c r="BE681" s="50"/>
      <c r="BF681" s="61" t="str">
        <f t="shared" si="91"/>
        <v/>
      </c>
      <c r="BG681" s="61" t="str">
        <f>IFERROR(IF(BD681-AX700&lt;=0,"",BF681/SQRT(Таблица_pr9[[#This Row],[Удельное сопротивление грунта, Ом·м]])),BF681/SQRT(Таблица_pr9[[#This Row],[Удельное сопротивление грунта, Ом·м]]))</f>
        <v/>
      </c>
      <c r="BI681" s="51"/>
      <c r="BJ681" s="52"/>
      <c r="BK681" s="50"/>
      <c r="BL681" s="61" t="str">
        <f t="shared" si="96"/>
        <v/>
      </c>
      <c r="BM681" s="61" t="str">
        <f>IFERROR(IF(BJ681-BD710&lt;=0,"",BL681/SQRT(Таблица_pr10[[#This Row],[Удельное сопротивление грунта, Ом·м]])),BL681/SQRT(Таблица_pr10[[#This Row],[Удельное сопротивление грунта, Ом·м]]))</f>
        <v/>
      </c>
    </row>
    <row r="682" spans="1:65">
      <c r="A682" s="53"/>
      <c r="B682" s="52"/>
      <c r="C682" s="50"/>
      <c r="D682" s="61" t="str">
        <f t="shared" si="86"/>
        <v/>
      </c>
      <c r="E682" s="61" t="str">
        <f>IFERROR(IF(B682-B681&lt;=0,"",D682/SQRT(Таблица_pr[[#This Row],[Удельное сопротивление грунта, Ом·м]])),D682/SQRT(Таблица_pr[[#This Row],[Удельное сопротивление грунта, Ом·м]]))</f>
        <v/>
      </c>
      <c r="G682" s="188"/>
      <c r="H682" s="184"/>
      <c r="I682" s="182"/>
      <c r="J682" s="181" t="str">
        <f t="shared" si="87"/>
        <v/>
      </c>
      <c r="K682" s="61" t="str">
        <f>IFERROR(IF(H682-H681&lt;=0,"",J682/SQRT(Таблица_pr1[[#This Row],[Удельное сопротивление грунта, Ом·м]])),J682/SQRT(Таблица_pr1[[#This Row],[Удельное сопротивление грунта, Ом·м]]))</f>
        <v/>
      </c>
      <c r="M682" s="53"/>
      <c r="N682" s="52"/>
      <c r="O682" s="50"/>
      <c r="P682" s="61" t="str">
        <f t="shared" si="92"/>
        <v/>
      </c>
      <c r="Q682" s="61" t="str">
        <f>IFERROR(IF(N682-N681&lt;=0,"",P682/SQRT(Таблица_pr2[[#This Row],[Удельное сопротивление грунта, Ом·м]])),P682/SQRT(Таблица_pr2[[#This Row],[Удельное сопротивление грунта, Ом·м]]))</f>
        <v/>
      </c>
      <c r="S682" s="53"/>
      <c r="T682" s="52"/>
      <c r="U682" s="50"/>
      <c r="V682" s="61" t="str">
        <f t="shared" si="88"/>
        <v/>
      </c>
      <c r="W682" s="61" t="str">
        <f>IFERROR(IF(T682-T681&lt;=0,"",V682/SQRT(Таблица_pr3[[#This Row],[Удельное сопротивление грунта, Ом·м]])),V682/SQRT(Таблица_pr3[[#This Row],[Удельное сопротивление грунта, Ом·м]]))</f>
        <v/>
      </c>
      <c r="Y682" s="53"/>
      <c r="Z682" s="52"/>
      <c r="AA682" s="50"/>
      <c r="AB682" s="61" t="str">
        <f t="shared" si="93"/>
        <v/>
      </c>
      <c r="AC682" s="61" t="str">
        <f>IFERROR(IF(Z682-Z681&lt;=0,"",AB682/SQRT(Таблица_pr4[[#This Row],[Удельное сопротивление грунта, Ом·м]])),AB682/SQRT(Таблица_pr4[[#This Row],[Удельное сопротивление грунта, Ом·м]]))</f>
        <v/>
      </c>
      <c r="AE682" s="53"/>
      <c r="AF682" s="52"/>
      <c r="AG682" s="50"/>
      <c r="AH682" s="61" t="str">
        <f t="shared" si="89"/>
        <v/>
      </c>
      <c r="AI682" s="61" t="str">
        <f>IFERROR(IF(AF682-AF681&lt;=0,"",AH682/SQRT(Таблица_pr5[[#This Row],[Удельное сопротивление грунта, Ом·м]])),AH682/SQRT(Таблица_pr5[[#This Row],[Удельное сопротивление грунта, Ом·м]]))</f>
        <v/>
      </c>
      <c r="AK682" s="53"/>
      <c r="AL682" s="52"/>
      <c r="AM682" s="50"/>
      <c r="AN682" s="61" t="str">
        <f t="shared" si="94"/>
        <v/>
      </c>
      <c r="AO682" s="61" t="str">
        <f>IFERROR(IF(AL682-AL681&lt;=0,"",AN682/SQRT(Таблица_pr6[[#This Row],[Удельное сопротивление грунта, Ом·м]])),AN682/SQRT(Таблица_pr6[[#This Row],[Удельное сопротивление грунта, Ом·м]]))</f>
        <v/>
      </c>
      <c r="AQ682" s="53"/>
      <c r="AR682" s="52"/>
      <c r="AS682" s="50"/>
      <c r="AT682" s="61" t="str">
        <f t="shared" si="90"/>
        <v/>
      </c>
      <c r="AU682" s="61" t="str">
        <f>IFERROR(IF(AR682-AR681&lt;=0,"",AT682/SQRT(Таблица_pr7[[#This Row],[Удельное сопротивление грунта, Ом·м]])),AT682/SQRT(Таблица_pr7[[#This Row],[Удельное сопротивление грунта, Ом·м]]))</f>
        <v/>
      </c>
      <c r="AW682" s="53"/>
      <c r="AX682" s="52"/>
      <c r="AY682" s="50"/>
      <c r="AZ682" s="61" t="str">
        <f t="shared" si="95"/>
        <v/>
      </c>
      <c r="BA682" s="61" t="str">
        <f>IFERROR(IF(AX682-AX681&lt;=0,"",AZ682/SQRT(Таблица_pr8[[#This Row],[Удельное сопротивление грунта, Ом·м]])),AZ682/SQRT(Таблица_pr8[[#This Row],[Удельное сопротивление грунта, Ом·м]]))</f>
        <v/>
      </c>
      <c r="BC682" s="53"/>
      <c r="BD682" s="52"/>
      <c r="BE682" s="50"/>
      <c r="BF682" s="61" t="str">
        <f t="shared" si="91"/>
        <v/>
      </c>
      <c r="BG682" s="61" t="str">
        <f>IFERROR(IF(BD682-AX701&lt;=0,"",BF682/SQRT(Таблица_pr9[[#This Row],[Удельное сопротивление грунта, Ом·м]])),BF682/SQRT(Таблица_pr9[[#This Row],[Удельное сопротивление грунта, Ом·м]]))</f>
        <v/>
      </c>
      <c r="BI682" s="53"/>
      <c r="BJ682" s="52"/>
      <c r="BK682" s="50"/>
      <c r="BL682" s="61" t="str">
        <f t="shared" si="96"/>
        <v/>
      </c>
      <c r="BM682" s="61" t="str">
        <f>IFERROR(IF(BJ682-BD711&lt;=0,"",BL682/SQRT(Таблица_pr10[[#This Row],[Удельное сопротивление грунта, Ом·м]])),BL682/SQRT(Таблица_pr10[[#This Row],[Удельное сопротивление грунта, Ом·м]]))</f>
        <v/>
      </c>
    </row>
    <row r="683" spans="1:65">
      <c r="A683" s="51"/>
      <c r="B683" s="52"/>
      <c r="C683" s="50"/>
      <c r="D683" s="61" t="str">
        <f t="shared" si="86"/>
        <v/>
      </c>
      <c r="E683" s="61" t="str">
        <f>IFERROR(IF(B683-B682&lt;=0,"",D683/SQRT(Таблица_pr[[#This Row],[Удельное сопротивление грунта, Ом·м]])),D683/SQRT(Таблица_pr[[#This Row],[Удельное сопротивление грунта, Ом·м]]))</f>
        <v/>
      </c>
      <c r="G683" s="189"/>
      <c r="H683" s="185"/>
      <c r="I683" s="183"/>
      <c r="J683" s="180" t="str">
        <f t="shared" si="87"/>
        <v/>
      </c>
      <c r="K683" s="61" t="str">
        <f>IFERROR(IF(H683-H682&lt;=0,"",J683/SQRT(Таблица_pr1[[#This Row],[Удельное сопротивление грунта, Ом·м]])),J683/SQRT(Таблица_pr1[[#This Row],[Удельное сопротивление грунта, Ом·м]]))</f>
        <v/>
      </c>
      <c r="M683" s="51"/>
      <c r="N683" s="52"/>
      <c r="O683" s="50"/>
      <c r="P683" s="61" t="str">
        <f t="shared" si="92"/>
        <v/>
      </c>
      <c r="Q683" s="61" t="str">
        <f>IFERROR(IF(N683-N682&lt;=0,"",P683/SQRT(Таблица_pr2[[#This Row],[Удельное сопротивление грунта, Ом·м]])),P683/SQRT(Таблица_pr2[[#This Row],[Удельное сопротивление грунта, Ом·м]]))</f>
        <v/>
      </c>
      <c r="S683" s="51"/>
      <c r="T683" s="52"/>
      <c r="U683" s="50"/>
      <c r="V683" s="61" t="str">
        <f t="shared" si="88"/>
        <v/>
      </c>
      <c r="W683" s="61" t="str">
        <f>IFERROR(IF(T683-T682&lt;=0,"",V683/SQRT(Таблица_pr3[[#This Row],[Удельное сопротивление грунта, Ом·м]])),V683/SQRT(Таблица_pr3[[#This Row],[Удельное сопротивление грунта, Ом·м]]))</f>
        <v/>
      </c>
      <c r="Y683" s="51"/>
      <c r="Z683" s="52"/>
      <c r="AA683" s="50"/>
      <c r="AB683" s="61" t="str">
        <f t="shared" si="93"/>
        <v/>
      </c>
      <c r="AC683" s="61" t="str">
        <f>IFERROR(IF(Z683-Z682&lt;=0,"",AB683/SQRT(Таблица_pr4[[#This Row],[Удельное сопротивление грунта, Ом·м]])),AB683/SQRT(Таблица_pr4[[#This Row],[Удельное сопротивление грунта, Ом·м]]))</f>
        <v/>
      </c>
      <c r="AE683" s="51"/>
      <c r="AF683" s="52"/>
      <c r="AG683" s="50"/>
      <c r="AH683" s="61" t="str">
        <f t="shared" si="89"/>
        <v/>
      </c>
      <c r="AI683" s="61" t="str">
        <f>IFERROR(IF(AF683-AF682&lt;=0,"",AH683/SQRT(Таблица_pr5[[#This Row],[Удельное сопротивление грунта, Ом·м]])),AH683/SQRT(Таблица_pr5[[#This Row],[Удельное сопротивление грунта, Ом·м]]))</f>
        <v/>
      </c>
      <c r="AK683" s="51"/>
      <c r="AL683" s="52"/>
      <c r="AM683" s="50"/>
      <c r="AN683" s="61" t="str">
        <f t="shared" si="94"/>
        <v/>
      </c>
      <c r="AO683" s="61" t="str">
        <f>IFERROR(IF(AL683-AL682&lt;=0,"",AN683/SQRT(Таблица_pr6[[#This Row],[Удельное сопротивление грунта, Ом·м]])),AN683/SQRT(Таблица_pr6[[#This Row],[Удельное сопротивление грунта, Ом·м]]))</f>
        <v/>
      </c>
      <c r="AQ683" s="51"/>
      <c r="AR683" s="52"/>
      <c r="AS683" s="50"/>
      <c r="AT683" s="61" t="str">
        <f t="shared" si="90"/>
        <v/>
      </c>
      <c r="AU683" s="61" t="str">
        <f>IFERROR(IF(AR683-AR682&lt;=0,"",AT683/SQRT(Таблица_pr7[[#This Row],[Удельное сопротивление грунта, Ом·м]])),AT683/SQRT(Таблица_pr7[[#This Row],[Удельное сопротивление грунта, Ом·м]]))</f>
        <v/>
      </c>
      <c r="AW683" s="51"/>
      <c r="AX683" s="52"/>
      <c r="AY683" s="50"/>
      <c r="AZ683" s="61" t="str">
        <f t="shared" si="95"/>
        <v/>
      </c>
      <c r="BA683" s="61" t="str">
        <f>IFERROR(IF(AX683-AX682&lt;=0,"",AZ683/SQRT(Таблица_pr8[[#This Row],[Удельное сопротивление грунта, Ом·м]])),AZ683/SQRT(Таблица_pr8[[#This Row],[Удельное сопротивление грунта, Ом·м]]))</f>
        <v/>
      </c>
      <c r="BC683" s="51"/>
      <c r="BD683" s="52"/>
      <c r="BE683" s="50"/>
      <c r="BF683" s="61" t="str">
        <f t="shared" si="91"/>
        <v/>
      </c>
      <c r="BG683" s="61" t="str">
        <f>IFERROR(IF(BD683-AX702&lt;=0,"",BF683/SQRT(Таблица_pr9[[#This Row],[Удельное сопротивление грунта, Ом·м]])),BF683/SQRT(Таблица_pr9[[#This Row],[Удельное сопротивление грунта, Ом·м]]))</f>
        <v/>
      </c>
      <c r="BI683" s="51"/>
      <c r="BJ683" s="52"/>
      <c r="BK683" s="50"/>
      <c r="BL683" s="61" t="str">
        <f t="shared" si="96"/>
        <v/>
      </c>
      <c r="BM683" s="61" t="str">
        <f>IFERROR(IF(BJ683-BD712&lt;=0,"",BL683/SQRT(Таблица_pr10[[#This Row],[Удельное сопротивление грунта, Ом·м]])),BL683/SQRT(Таблица_pr10[[#This Row],[Удельное сопротивление грунта, Ом·м]]))</f>
        <v/>
      </c>
    </row>
    <row r="684" spans="1:65">
      <c r="A684" s="53"/>
      <c r="B684" s="52"/>
      <c r="C684" s="50"/>
      <c r="D684" s="61" t="str">
        <f t="shared" si="86"/>
        <v/>
      </c>
      <c r="E684" s="61" t="str">
        <f>IFERROR(IF(B684-B683&lt;=0,"",D684/SQRT(Таблица_pr[[#This Row],[Удельное сопротивление грунта, Ом·м]])),D684/SQRT(Таблица_pr[[#This Row],[Удельное сопротивление грунта, Ом·м]]))</f>
        <v/>
      </c>
      <c r="G684" s="188"/>
      <c r="H684" s="184"/>
      <c r="I684" s="182"/>
      <c r="J684" s="181" t="str">
        <f t="shared" si="87"/>
        <v/>
      </c>
      <c r="K684" s="61" t="str">
        <f>IFERROR(IF(H684-H683&lt;=0,"",J684/SQRT(Таблица_pr1[[#This Row],[Удельное сопротивление грунта, Ом·м]])),J684/SQRT(Таблица_pr1[[#This Row],[Удельное сопротивление грунта, Ом·м]]))</f>
        <v/>
      </c>
      <c r="M684" s="53"/>
      <c r="N684" s="52"/>
      <c r="O684" s="50"/>
      <c r="P684" s="61" t="str">
        <f t="shared" si="92"/>
        <v/>
      </c>
      <c r="Q684" s="61" t="str">
        <f>IFERROR(IF(N684-N683&lt;=0,"",P684/SQRT(Таблица_pr2[[#This Row],[Удельное сопротивление грунта, Ом·м]])),P684/SQRT(Таблица_pr2[[#This Row],[Удельное сопротивление грунта, Ом·м]]))</f>
        <v/>
      </c>
      <c r="S684" s="53"/>
      <c r="T684" s="52"/>
      <c r="U684" s="50"/>
      <c r="V684" s="61" t="str">
        <f t="shared" si="88"/>
        <v/>
      </c>
      <c r="W684" s="61" t="str">
        <f>IFERROR(IF(T684-T683&lt;=0,"",V684/SQRT(Таблица_pr3[[#This Row],[Удельное сопротивление грунта, Ом·м]])),V684/SQRT(Таблица_pr3[[#This Row],[Удельное сопротивление грунта, Ом·м]]))</f>
        <v/>
      </c>
      <c r="Y684" s="53"/>
      <c r="Z684" s="52"/>
      <c r="AA684" s="50"/>
      <c r="AB684" s="61" t="str">
        <f t="shared" si="93"/>
        <v/>
      </c>
      <c r="AC684" s="61" t="str">
        <f>IFERROR(IF(Z684-Z683&lt;=0,"",AB684/SQRT(Таблица_pr4[[#This Row],[Удельное сопротивление грунта, Ом·м]])),AB684/SQRT(Таблица_pr4[[#This Row],[Удельное сопротивление грунта, Ом·м]]))</f>
        <v/>
      </c>
      <c r="AE684" s="53"/>
      <c r="AF684" s="52"/>
      <c r="AG684" s="50"/>
      <c r="AH684" s="61" t="str">
        <f t="shared" si="89"/>
        <v/>
      </c>
      <c r="AI684" s="61" t="str">
        <f>IFERROR(IF(AF684-AF683&lt;=0,"",AH684/SQRT(Таблица_pr5[[#This Row],[Удельное сопротивление грунта, Ом·м]])),AH684/SQRT(Таблица_pr5[[#This Row],[Удельное сопротивление грунта, Ом·м]]))</f>
        <v/>
      </c>
      <c r="AK684" s="53"/>
      <c r="AL684" s="52"/>
      <c r="AM684" s="50"/>
      <c r="AN684" s="61" t="str">
        <f t="shared" si="94"/>
        <v/>
      </c>
      <c r="AO684" s="61" t="str">
        <f>IFERROR(IF(AL684-AL683&lt;=0,"",AN684/SQRT(Таблица_pr6[[#This Row],[Удельное сопротивление грунта, Ом·м]])),AN684/SQRT(Таблица_pr6[[#This Row],[Удельное сопротивление грунта, Ом·м]]))</f>
        <v/>
      </c>
      <c r="AQ684" s="53"/>
      <c r="AR684" s="52"/>
      <c r="AS684" s="50"/>
      <c r="AT684" s="61" t="str">
        <f t="shared" si="90"/>
        <v/>
      </c>
      <c r="AU684" s="61" t="str">
        <f>IFERROR(IF(AR684-AR683&lt;=0,"",AT684/SQRT(Таблица_pr7[[#This Row],[Удельное сопротивление грунта, Ом·м]])),AT684/SQRT(Таблица_pr7[[#This Row],[Удельное сопротивление грунта, Ом·м]]))</f>
        <v/>
      </c>
      <c r="AW684" s="53"/>
      <c r="AX684" s="52"/>
      <c r="AY684" s="50"/>
      <c r="AZ684" s="61" t="str">
        <f t="shared" si="95"/>
        <v/>
      </c>
      <c r="BA684" s="61" t="str">
        <f>IFERROR(IF(AX684-AX683&lt;=0,"",AZ684/SQRT(Таблица_pr8[[#This Row],[Удельное сопротивление грунта, Ом·м]])),AZ684/SQRT(Таблица_pr8[[#This Row],[Удельное сопротивление грунта, Ом·м]]))</f>
        <v/>
      </c>
      <c r="BC684" s="53"/>
      <c r="BD684" s="52"/>
      <c r="BE684" s="50"/>
      <c r="BF684" s="61" t="str">
        <f t="shared" si="91"/>
        <v/>
      </c>
      <c r="BG684" s="61" t="str">
        <f>IFERROR(IF(BD684-AX703&lt;=0,"",BF684/SQRT(Таблица_pr9[[#This Row],[Удельное сопротивление грунта, Ом·м]])),BF684/SQRT(Таблица_pr9[[#This Row],[Удельное сопротивление грунта, Ом·м]]))</f>
        <v/>
      </c>
      <c r="BI684" s="53"/>
      <c r="BJ684" s="52"/>
      <c r="BK684" s="50"/>
      <c r="BL684" s="61" t="str">
        <f t="shared" si="96"/>
        <v/>
      </c>
      <c r="BM684" s="61" t="str">
        <f>IFERROR(IF(BJ684-BD713&lt;=0,"",BL684/SQRT(Таблица_pr10[[#This Row],[Удельное сопротивление грунта, Ом·м]])),BL684/SQRT(Таблица_pr10[[#This Row],[Удельное сопротивление грунта, Ом·м]]))</f>
        <v/>
      </c>
    </row>
    <row r="685" spans="1:65">
      <c r="A685" s="51"/>
      <c r="B685" s="52"/>
      <c r="C685" s="50"/>
      <c r="D685" s="61" t="str">
        <f t="shared" si="86"/>
        <v/>
      </c>
      <c r="E685" s="61" t="str">
        <f>IFERROR(IF(B685-B684&lt;=0,"",D685/SQRT(Таблица_pr[[#This Row],[Удельное сопротивление грунта, Ом·м]])),D685/SQRT(Таблица_pr[[#This Row],[Удельное сопротивление грунта, Ом·м]]))</f>
        <v/>
      </c>
      <c r="G685" s="189"/>
      <c r="H685" s="185"/>
      <c r="I685" s="183"/>
      <c r="J685" s="180" t="str">
        <f t="shared" si="87"/>
        <v/>
      </c>
      <c r="K685" s="61" t="str">
        <f>IFERROR(IF(H685-H684&lt;=0,"",J685/SQRT(Таблица_pr1[[#This Row],[Удельное сопротивление грунта, Ом·м]])),J685/SQRT(Таблица_pr1[[#This Row],[Удельное сопротивление грунта, Ом·м]]))</f>
        <v/>
      </c>
      <c r="M685" s="51"/>
      <c r="N685" s="52"/>
      <c r="O685" s="50"/>
      <c r="P685" s="61" t="str">
        <f t="shared" si="92"/>
        <v/>
      </c>
      <c r="Q685" s="61" t="str">
        <f>IFERROR(IF(N685-N684&lt;=0,"",P685/SQRT(Таблица_pr2[[#This Row],[Удельное сопротивление грунта, Ом·м]])),P685/SQRT(Таблица_pr2[[#This Row],[Удельное сопротивление грунта, Ом·м]]))</f>
        <v/>
      </c>
      <c r="S685" s="51"/>
      <c r="T685" s="52"/>
      <c r="U685" s="50"/>
      <c r="V685" s="61" t="str">
        <f t="shared" si="88"/>
        <v/>
      </c>
      <c r="W685" s="61" t="str">
        <f>IFERROR(IF(T685-T684&lt;=0,"",V685/SQRT(Таблица_pr3[[#This Row],[Удельное сопротивление грунта, Ом·м]])),V685/SQRT(Таблица_pr3[[#This Row],[Удельное сопротивление грунта, Ом·м]]))</f>
        <v/>
      </c>
      <c r="Y685" s="51"/>
      <c r="Z685" s="52"/>
      <c r="AA685" s="50"/>
      <c r="AB685" s="61" t="str">
        <f t="shared" si="93"/>
        <v/>
      </c>
      <c r="AC685" s="61" t="str">
        <f>IFERROR(IF(Z685-Z684&lt;=0,"",AB685/SQRT(Таблица_pr4[[#This Row],[Удельное сопротивление грунта, Ом·м]])),AB685/SQRT(Таблица_pr4[[#This Row],[Удельное сопротивление грунта, Ом·м]]))</f>
        <v/>
      </c>
      <c r="AE685" s="51"/>
      <c r="AF685" s="52"/>
      <c r="AG685" s="50"/>
      <c r="AH685" s="61" t="str">
        <f t="shared" si="89"/>
        <v/>
      </c>
      <c r="AI685" s="61" t="str">
        <f>IFERROR(IF(AF685-AF684&lt;=0,"",AH685/SQRT(Таблица_pr5[[#This Row],[Удельное сопротивление грунта, Ом·м]])),AH685/SQRT(Таблица_pr5[[#This Row],[Удельное сопротивление грунта, Ом·м]]))</f>
        <v/>
      </c>
      <c r="AK685" s="51"/>
      <c r="AL685" s="52"/>
      <c r="AM685" s="50"/>
      <c r="AN685" s="61" t="str">
        <f t="shared" si="94"/>
        <v/>
      </c>
      <c r="AO685" s="61" t="str">
        <f>IFERROR(IF(AL685-AL684&lt;=0,"",AN685/SQRT(Таблица_pr5[[#This Row],[Удельное сопротивление грунта, Ом·м]])),AN685/SQRT(Таблица_pr5[[#This Row],[Удельное сопротивление грунта, Ом·м]]))</f>
        <v/>
      </c>
      <c r="AQ685" s="51"/>
      <c r="AR685" s="52"/>
      <c r="AS685" s="50"/>
      <c r="AT685" s="61" t="str">
        <f t="shared" si="90"/>
        <v/>
      </c>
      <c r="AU685" s="61" t="str">
        <f>IFERROR(IF(AR685-AR684&lt;=0,"",AT685/SQRT(Таблица_pr7[[#This Row],[Удельное сопротивление грунта, Ом·м]])),AT685/SQRT(Таблица_pr7[[#This Row],[Удельное сопротивление грунта, Ом·м]]))</f>
        <v/>
      </c>
      <c r="AW685" s="51"/>
      <c r="AX685" s="52"/>
      <c r="AY685" s="50"/>
      <c r="AZ685" s="61" t="str">
        <f t="shared" si="95"/>
        <v/>
      </c>
      <c r="BA685" s="61" t="str">
        <f>IFERROR(IF(AX685-AX684&lt;=0,"",AZ685/SQRT(Таблица_pr8[[#This Row],[Удельное сопротивление грунта, Ом·м]])),AZ685/SQRT(Таблица_pr8[[#This Row],[Удельное сопротивление грунта, Ом·м]]))</f>
        <v/>
      </c>
      <c r="BC685" s="51"/>
      <c r="BD685" s="52"/>
      <c r="BE685" s="50"/>
      <c r="BF685" s="61" t="str">
        <f t="shared" si="91"/>
        <v/>
      </c>
      <c r="BG685" s="61" t="str">
        <f>IFERROR(IF(BD685-AX704&lt;=0,"",BF685/SQRT(Таблица_pr9[[#This Row],[Удельное сопротивление грунта, Ом·м]])),BF685/SQRT(Таблица_pr9[[#This Row],[Удельное сопротивление грунта, Ом·м]]))</f>
        <v/>
      </c>
      <c r="BI685" s="51"/>
      <c r="BJ685" s="52"/>
      <c r="BK685" s="50"/>
      <c r="BL685" s="61" t="str">
        <f t="shared" si="96"/>
        <v/>
      </c>
      <c r="BM685" s="61" t="str">
        <f>IFERROR(IF(BJ685-BD714&lt;=0,"",BL685/SQRT(Таблица_pr10[[#This Row],[Удельное сопротивление грунта, Ом·м]])),BL685/SQRT(Таблица_pr10[[#This Row],[Удельное сопротивление грунта, Ом·м]]))</f>
        <v/>
      </c>
    </row>
    <row r="686" spans="1:65">
      <c r="A686" s="53"/>
      <c r="B686" s="52"/>
      <c r="C686" s="50"/>
      <c r="D686" s="61" t="str">
        <f t="shared" si="86"/>
        <v/>
      </c>
      <c r="E686" s="61" t="str">
        <f>IFERROR(IF(B686-B685&lt;=0,"",D686/SQRT(Таблица_pr[[#This Row],[Удельное сопротивление грунта, Ом·м]])),D686/SQRT(Таблица_pr[[#This Row],[Удельное сопротивление грунта, Ом·м]]))</f>
        <v/>
      </c>
      <c r="G686" s="188"/>
      <c r="H686" s="184"/>
      <c r="I686" s="182"/>
      <c r="J686" s="181" t="str">
        <f t="shared" si="87"/>
        <v/>
      </c>
      <c r="K686" s="61" t="str">
        <f>IFERROR(IF(H686-H685&lt;=0,"",J686/SQRT(Таблица_pr1[[#This Row],[Удельное сопротивление грунта, Ом·м]])),J686/SQRT(Таблица_pr1[[#This Row],[Удельное сопротивление грунта, Ом·м]]))</f>
        <v/>
      </c>
      <c r="M686" s="53"/>
      <c r="N686" s="52"/>
      <c r="O686" s="50"/>
      <c r="P686" s="61" t="str">
        <f t="shared" si="92"/>
        <v/>
      </c>
      <c r="Q686" s="61" t="str">
        <f>IFERROR(IF(N686-N685&lt;=0,"",P686/SQRT(Таблица_pr2[[#This Row],[Удельное сопротивление грунта, Ом·м]])),P686/SQRT(Таблица_pr2[[#This Row],[Удельное сопротивление грунта, Ом·м]]))</f>
        <v/>
      </c>
      <c r="S686" s="53"/>
      <c r="T686" s="52"/>
      <c r="U686" s="50"/>
      <c r="V686" s="61" t="str">
        <f t="shared" si="88"/>
        <v/>
      </c>
      <c r="W686" s="61" t="str">
        <f>IFERROR(IF(T686-T685&lt;=0,"",V686/SQRT(Таблица_pr3[[#This Row],[Удельное сопротивление грунта, Ом·м]])),V686/SQRT(Таблица_pr3[[#This Row],[Удельное сопротивление грунта, Ом·м]]))</f>
        <v/>
      </c>
      <c r="Y686" s="53"/>
      <c r="Z686" s="52"/>
      <c r="AA686" s="50"/>
      <c r="AB686" s="61" t="str">
        <f t="shared" si="93"/>
        <v/>
      </c>
      <c r="AC686" s="61" t="str">
        <f>IFERROR(IF(Z686-Z685&lt;=0,"",AB686/SQRT(Таблица_pr4[[#This Row],[Удельное сопротивление грунта, Ом·м]])),AB686/SQRT(Таблица_pr4[[#This Row],[Удельное сопротивление грунта, Ом·м]]))</f>
        <v/>
      </c>
      <c r="AE686" s="53"/>
      <c r="AF686" s="52"/>
      <c r="AG686" s="50"/>
      <c r="AH686" s="61" t="str">
        <f t="shared" si="89"/>
        <v/>
      </c>
      <c r="AI686" s="61" t="str">
        <f>IFERROR(IF(AF686-AF685&lt;=0,"",AH686/SQRT(Таблица_pr5[[#This Row],[Удельное сопротивление грунта, Ом·м]])),AH686/SQRT(Таблица_pr5[[#This Row],[Удельное сопротивление грунта, Ом·м]]))</f>
        <v/>
      </c>
      <c r="AK686" s="53"/>
      <c r="AL686" s="52"/>
      <c r="AM686" s="50"/>
      <c r="AN686" s="61" t="str">
        <f t="shared" si="94"/>
        <v/>
      </c>
      <c r="AO686" s="61" t="str">
        <f>IFERROR(IF(AL686-AL685&lt;=0,"",AN686/SQRT(Таблица_pr5[[#This Row],[Удельное сопротивление грунта, Ом·м]])),AN686/SQRT(Таблица_pr5[[#This Row],[Удельное сопротивление грунта, Ом·м]]))</f>
        <v/>
      </c>
      <c r="AQ686" s="53"/>
      <c r="AR686" s="52"/>
      <c r="AS686" s="50"/>
      <c r="AT686" s="61" t="str">
        <f t="shared" si="90"/>
        <v/>
      </c>
      <c r="AU686" s="61" t="str">
        <f>IFERROR(IF(AR686-AR685&lt;=0,"",AT686/SQRT(Таблица_pr7[[#This Row],[Удельное сопротивление грунта, Ом·м]])),AT686/SQRT(Таблица_pr7[[#This Row],[Удельное сопротивление грунта, Ом·м]]))</f>
        <v/>
      </c>
      <c r="AW686" s="53"/>
      <c r="AX686" s="52"/>
      <c r="AY686" s="50"/>
      <c r="AZ686" s="61" t="str">
        <f t="shared" si="95"/>
        <v/>
      </c>
      <c r="BA686" s="61" t="str">
        <f>IFERROR(IF(AX686-AX685&lt;=0,"",AZ686/SQRT(Таблица_pr8[[#This Row],[Удельное сопротивление грунта, Ом·м]])),AZ686/SQRT(Таблица_pr8[[#This Row],[Удельное сопротивление грунта, Ом·м]]))</f>
        <v/>
      </c>
      <c r="BC686" s="53"/>
      <c r="BD686" s="52"/>
      <c r="BE686" s="50"/>
      <c r="BF686" s="61" t="str">
        <f t="shared" si="91"/>
        <v/>
      </c>
      <c r="BG686" s="61" t="str">
        <f>IFERROR(IF(BD686-AX705&lt;=0,"",BF686/SQRT(Таблица_pr9[[#This Row],[Удельное сопротивление грунта, Ом·м]])),BF686/SQRT(Таблица_pr9[[#This Row],[Удельное сопротивление грунта, Ом·м]]))</f>
        <v/>
      </c>
      <c r="BI686" s="53"/>
      <c r="BJ686" s="52"/>
      <c r="BK686" s="50"/>
      <c r="BL686" s="61" t="str">
        <f t="shared" si="96"/>
        <v/>
      </c>
      <c r="BM686" s="61" t="str">
        <f>IFERROR(IF(BJ686-BD715&lt;=0,"",BL686/SQRT(Таблица_pr10[[#This Row],[Удельное сопротивление грунта, Ом·м]])),BL686/SQRT(Таблица_pr10[[#This Row],[Удельное сопротивление грунта, Ом·м]]))</f>
        <v/>
      </c>
    </row>
    <row r="687" spans="1:65">
      <c r="A687" s="51"/>
      <c r="B687" s="52"/>
      <c r="C687" s="50"/>
      <c r="D687" s="61" t="str">
        <f t="shared" si="86"/>
        <v/>
      </c>
      <c r="E687" s="61" t="str">
        <f>IFERROR(IF(B687-B686&lt;=0,"",D687/SQRT(Таблица_pr[[#This Row],[Удельное сопротивление грунта, Ом·м]])),D687/SQRT(Таблица_pr[[#This Row],[Удельное сопротивление грунта, Ом·м]]))</f>
        <v/>
      </c>
      <c r="G687" s="189"/>
      <c r="H687" s="185"/>
      <c r="I687" s="183"/>
      <c r="J687" s="180" t="str">
        <f t="shared" si="87"/>
        <v/>
      </c>
      <c r="K687" s="61" t="str">
        <f>IFERROR(IF(H687-H686&lt;=0,"",J687/SQRT(Таблица_pr1[[#This Row],[Удельное сопротивление грунта, Ом·м]])),J687/SQRT(Таблица_pr1[[#This Row],[Удельное сопротивление грунта, Ом·м]]))</f>
        <v/>
      </c>
      <c r="M687" s="51"/>
      <c r="N687" s="52"/>
      <c r="O687" s="50"/>
      <c r="P687" s="61" t="str">
        <f t="shared" si="92"/>
        <v/>
      </c>
      <c r="Q687" s="61" t="str">
        <f>IFERROR(IF(N687-N686&lt;=0,"",P687/SQRT(Таблица_pr2[[#This Row],[Удельное сопротивление грунта, Ом·м]])),P687/SQRT(Таблица_pr2[[#This Row],[Удельное сопротивление грунта, Ом·м]]))</f>
        <v/>
      </c>
      <c r="S687" s="51"/>
      <c r="T687" s="52"/>
      <c r="U687" s="50"/>
      <c r="V687" s="61" t="str">
        <f t="shared" si="88"/>
        <v/>
      </c>
      <c r="W687" s="61" t="str">
        <f>IFERROR(IF(T687-T686&lt;=0,"",V687/SQRT(Таблица_pr3[[#This Row],[Удельное сопротивление грунта, Ом·м]])),V687/SQRT(Таблица_pr3[[#This Row],[Удельное сопротивление грунта, Ом·м]]))</f>
        <v/>
      </c>
      <c r="Y687" s="51"/>
      <c r="Z687" s="52"/>
      <c r="AA687" s="50"/>
      <c r="AB687" s="61" t="str">
        <f t="shared" si="93"/>
        <v/>
      </c>
      <c r="AC687" s="61" t="str">
        <f>IFERROR(IF(Z687-Z686&lt;=0,"",AB687/SQRT(Таблица_pr4[[#This Row],[Удельное сопротивление грунта, Ом·м]])),AB687/SQRT(Таблица_pr4[[#This Row],[Удельное сопротивление грунта, Ом·м]]))</f>
        <v/>
      </c>
      <c r="AE687" s="51"/>
      <c r="AF687" s="52"/>
      <c r="AG687" s="50"/>
      <c r="AH687" s="61" t="str">
        <f t="shared" si="89"/>
        <v/>
      </c>
      <c r="AI687" s="61" t="str">
        <f>IFERROR(IF(AF687-AF686&lt;=0,"",AH687/SQRT(Таблица_pr5[[#This Row],[Удельное сопротивление грунта, Ом·м]])),AH687/SQRT(Таблица_pr5[[#This Row],[Удельное сопротивление грунта, Ом·м]]))</f>
        <v/>
      </c>
      <c r="AK687" s="51"/>
      <c r="AL687" s="52"/>
      <c r="AM687" s="50"/>
      <c r="AN687" s="61" t="str">
        <f t="shared" si="94"/>
        <v/>
      </c>
      <c r="AO687" s="61" t="str">
        <f>IFERROR(IF(AL687-AL686&lt;=0,"",AN687/SQRT(Таблица_pr5[[#This Row],[Удельное сопротивление грунта, Ом·м]])),AN687/SQRT(Таблица_pr5[[#This Row],[Удельное сопротивление грунта, Ом·м]]))</f>
        <v/>
      </c>
      <c r="AQ687" s="51"/>
      <c r="AR687" s="52"/>
      <c r="AS687" s="50"/>
      <c r="AT687" s="61" t="str">
        <f t="shared" si="90"/>
        <v/>
      </c>
      <c r="AU687" s="61" t="str">
        <f>IFERROR(IF(AR687-AR686&lt;=0,"",AT687/SQRT(Таблица_pr7[[#This Row],[Удельное сопротивление грунта, Ом·м]])),AT687/SQRT(Таблица_pr7[[#This Row],[Удельное сопротивление грунта, Ом·м]]))</f>
        <v/>
      </c>
      <c r="AW687" s="51"/>
      <c r="AX687" s="52"/>
      <c r="AY687" s="50"/>
      <c r="AZ687" s="61" t="str">
        <f t="shared" si="95"/>
        <v/>
      </c>
      <c r="BA687" s="61" t="str">
        <f>IFERROR(IF(AX687-AX686&lt;=0,"",AZ687/SQRT(Таблица_pr8[[#This Row],[Удельное сопротивление грунта, Ом·м]])),AZ687/SQRT(Таблица_pr8[[#This Row],[Удельное сопротивление грунта, Ом·м]]))</f>
        <v/>
      </c>
      <c r="BC687" s="51"/>
      <c r="BD687" s="52"/>
      <c r="BE687" s="50"/>
      <c r="BF687" s="61" t="str">
        <f t="shared" si="91"/>
        <v/>
      </c>
      <c r="BG687" s="61" t="str">
        <f>IFERROR(IF(BD687-AX706&lt;=0,"",BF687/SQRT(Таблица_pr9[[#This Row],[Удельное сопротивление грунта, Ом·м]])),BF687/SQRT(Таблица_pr9[[#This Row],[Удельное сопротивление грунта, Ом·м]]))</f>
        <v/>
      </c>
      <c r="BI687" s="51"/>
      <c r="BJ687" s="52"/>
      <c r="BK687" s="50"/>
      <c r="BL687" s="61" t="str">
        <f t="shared" si="96"/>
        <v/>
      </c>
      <c r="BM687" s="61" t="str">
        <f>IFERROR(IF(BJ687-BD716&lt;=0,"",BL687/SQRT(Таблица_pr10[[#This Row],[Удельное сопротивление грунта, Ом·м]])),BL687/SQRT(Таблица_pr10[[#This Row],[Удельное сопротивление грунта, Ом·м]]))</f>
        <v/>
      </c>
    </row>
    <row r="688" spans="1:65">
      <c r="A688" s="53"/>
      <c r="B688" s="52"/>
      <c r="C688" s="50"/>
      <c r="D688" s="61" t="str">
        <f t="shared" si="86"/>
        <v/>
      </c>
      <c r="E688" s="61" t="str">
        <f>IFERROR(IF(B688-B687&lt;=0,"",D688/SQRT(Таблица_pr[[#This Row],[Удельное сопротивление грунта, Ом·м]])),D688/SQRT(Таблица_pr[[#This Row],[Удельное сопротивление грунта, Ом·м]]))</f>
        <v/>
      </c>
      <c r="G688" s="188"/>
      <c r="H688" s="184"/>
      <c r="I688" s="182"/>
      <c r="J688" s="181" t="str">
        <f t="shared" si="87"/>
        <v/>
      </c>
      <c r="K688" s="61" t="str">
        <f>IFERROR(IF(H688-H687&lt;=0,"",J688/SQRT(Таблица_pr1[[#This Row],[Удельное сопротивление грунта, Ом·м]])),J688/SQRT(Таблица_pr1[[#This Row],[Удельное сопротивление грунта, Ом·м]]))</f>
        <v/>
      </c>
      <c r="M688" s="53"/>
      <c r="N688" s="52"/>
      <c r="O688" s="50"/>
      <c r="P688" s="61" t="str">
        <f t="shared" si="92"/>
        <v/>
      </c>
      <c r="Q688" s="61" t="str">
        <f>IFERROR(IF(N688-N687&lt;=0,"",P688/SQRT(Таблица_pr2[[#This Row],[Удельное сопротивление грунта, Ом·м]])),P688/SQRT(Таблица_pr2[[#This Row],[Удельное сопротивление грунта, Ом·м]]))</f>
        <v/>
      </c>
      <c r="S688" s="53"/>
      <c r="T688" s="52"/>
      <c r="U688" s="50"/>
      <c r="V688" s="61" t="str">
        <f t="shared" si="88"/>
        <v/>
      </c>
      <c r="W688" s="61" t="str">
        <f>IFERROR(IF(T688-T687&lt;=0,"",V688/SQRT(Таблица_pr3[[#This Row],[Удельное сопротивление грунта, Ом·м]])),V688/SQRT(Таблица_pr3[[#This Row],[Удельное сопротивление грунта, Ом·м]]))</f>
        <v/>
      </c>
      <c r="Y688" s="53"/>
      <c r="Z688" s="52"/>
      <c r="AA688" s="50"/>
      <c r="AB688" s="61" t="str">
        <f t="shared" si="93"/>
        <v/>
      </c>
      <c r="AC688" s="61" t="str">
        <f>IFERROR(IF(Z688-Z687&lt;=0,"",AB688/SQRT(Таблица_pr4[[#This Row],[Удельное сопротивление грунта, Ом·м]])),AB688/SQRT(Таблица_pr4[[#This Row],[Удельное сопротивление грунта, Ом·м]]))</f>
        <v/>
      </c>
      <c r="AE688" s="53"/>
      <c r="AF688" s="52"/>
      <c r="AG688" s="50"/>
      <c r="AH688" s="61" t="str">
        <f t="shared" si="89"/>
        <v/>
      </c>
      <c r="AI688" s="61" t="str">
        <f>IFERROR(IF(AF688-AF687&lt;=0,"",AH688/SQRT(Таблица_pr5[[#This Row],[Удельное сопротивление грунта, Ом·м]])),AH688/SQRT(Таблица_pr5[[#This Row],[Удельное сопротивление грунта, Ом·м]]))</f>
        <v/>
      </c>
      <c r="AK688" s="53"/>
      <c r="AL688" s="52"/>
      <c r="AM688" s="50"/>
      <c r="AN688" s="61" t="str">
        <f t="shared" si="94"/>
        <v/>
      </c>
      <c r="AO688" s="61" t="str">
        <f>IFERROR(IF(AL688-AL687&lt;=0,"",AN688/SQRT(Таблица_pr5[[#This Row],[Удельное сопротивление грунта, Ом·м]])),AN688/SQRT(Таблица_pr5[[#This Row],[Удельное сопротивление грунта, Ом·м]]))</f>
        <v/>
      </c>
      <c r="AQ688" s="53"/>
      <c r="AR688" s="52"/>
      <c r="AS688" s="50"/>
      <c r="AT688" s="61" t="str">
        <f t="shared" si="90"/>
        <v/>
      </c>
      <c r="AU688" s="61" t="str">
        <f>IFERROR(IF(AR688-AR687&lt;=0,"",AT688/SQRT(Таблица_pr7[[#This Row],[Удельное сопротивление грунта, Ом·м]])),AT688/SQRT(Таблица_pr7[[#This Row],[Удельное сопротивление грунта, Ом·м]]))</f>
        <v/>
      </c>
      <c r="AW688" s="53"/>
      <c r="AX688" s="52"/>
      <c r="AY688" s="50"/>
      <c r="AZ688" s="61" t="str">
        <f t="shared" si="95"/>
        <v/>
      </c>
      <c r="BA688" s="61" t="str">
        <f>IFERROR(IF(AX688-AX687&lt;=0,"",AZ688/SQRT(Таблица_pr8[[#This Row],[Удельное сопротивление грунта, Ом·м]])),AZ688/SQRT(Таблица_pr8[[#This Row],[Удельное сопротивление грунта, Ом·м]]))</f>
        <v/>
      </c>
      <c r="BC688" s="53"/>
      <c r="BD688" s="52"/>
      <c r="BE688" s="50"/>
      <c r="BF688" s="61" t="str">
        <f t="shared" si="91"/>
        <v/>
      </c>
      <c r="BG688" s="61" t="str">
        <f>IFERROR(IF(BD688-AX707&lt;=0,"",BF688/SQRT(Таблица_pr9[[#This Row],[Удельное сопротивление грунта, Ом·м]])),BF688/SQRT(Таблица_pr9[[#This Row],[Удельное сопротивление грунта, Ом·м]]))</f>
        <v/>
      </c>
      <c r="BI688" s="53"/>
      <c r="BJ688" s="52"/>
      <c r="BK688" s="50"/>
      <c r="BL688" s="61" t="str">
        <f t="shared" si="96"/>
        <v/>
      </c>
      <c r="BM688" s="61" t="str">
        <f>IFERROR(IF(BJ688-BD717&lt;=0,"",BL688/SQRT(Таблица_pr10[[#This Row],[Удельное сопротивление грунта, Ом·м]])),BL688/SQRT(Таблица_pr10[[#This Row],[Удельное сопротивление грунта, Ом·м]]))</f>
        <v/>
      </c>
    </row>
    <row r="689" spans="1:65">
      <c r="A689" s="51"/>
      <c r="B689" s="52"/>
      <c r="C689" s="50"/>
      <c r="D689" s="61" t="str">
        <f t="shared" si="86"/>
        <v/>
      </c>
      <c r="E689" s="61" t="str">
        <f>IFERROR(IF(B689-B688&lt;=0,"",D689/SQRT(Таблица_pr[[#This Row],[Удельное сопротивление грунта, Ом·м]])),D689/SQRT(Таблица_pr[[#This Row],[Удельное сопротивление грунта, Ом·м]]))</f>
        <v/>
      </c>
      <c r="G689" s="189"/>
      <c r="H689" s="185"/>
      <c r="I689" s="183"/>
      <c r="J689" s="180" t="str">
        <f t="shared" si="87"/>
        <v/>
      </c>
      <c r="K689" s="61" t="str">
        <f>IFERROR(IF(H689-H688&lt;=0,"",J689/SQRT(Таблица_pr1[[#This Row],[Удельное сопротивление грунта, Ом·м]])),J689/SQRT(Таблица_pr1[[#This Row],[Удельное сопротивление грунта, Ом·м]]))</f>
        <v/>
      </c>
      <c r="M689" s="51"/>
      <c r="N689" s="52"/>
      <c r="O689" s="50"/>
      <c r="P689" s="61" t="str">
        <f t="shared" si="92"/>
        <v/>
      </c>
      <c r="Q689" s="61" t="str">
        <f>IFERROR(IF(N689-N688&lt;=0,"",P689/SQRT(Таблица_pr2[[#This Row],[Удельное сопротивление грунта, Ом·м]])),P689/SQRT(Таблица_pr2[[#This Row],[Удельное сопротивление грунта, Ом·м]]))</f>
        <v/>
      </c>
      <c r="S689" s="51"/>
      <c r="T689" s="52"/>
      <c r="U689" s="50"/>
      <c r="V689" s="61" t="str">
        <f t="shared" si="88"/>
        <v/>
      </c>
      <c r="W689" s="61" t="str">
        <f>IFERROR(IF(T689-T688&lt;=0,"",V689/SQRT(Таблица_pr3[[#This Row],[Удельное сопротивление грунта, Ом·м]])),V689/SQRT(Таблица_pr3[[#This Row],[Удельное сопротивление грунта, Ом·м]]))</f>
        <v/>
      </c>
      <c r="Y689" s="51"/>
      <c r="Z689" s="52"/>
      <c r="AA689" s="50"/>
      <c r="AB689" s="61" t="str">
        <f t="shared" si="93"/>
        <v/>
      </c>
      <c r="AC689" s="61" t="str">
        <f>IFERROR(IF(Z689-Z688&lt;=0,"",AB689/SQRT(Таблица_pr4[[#This Row],[Удельное сопротивление грунта, Ом·м]])),AB689/SQRT(Таблица_pr4[[#This Row],[Удельное сопротивление грунта, Ом·м]]))</f>
        <v/>
      </c>
      <c r="AE689" s="51"/>
      <c r="AF689" s="52"/>
      <c r="AG689" s="50"/>
      <c r="AH689" s="61" t="str">
        <f t="shared" si="89"/>
        <v/>
      </c>
      <c r="AI689" s="61" t="str">
        <f>IFERROR(IF(AF689-AF688&lt;=0,"",AH689/SQRT(Таблица_pr5[[#This Row],[Удельное сопротивление грунта, Ом·м]])),AH689/SQRT(Таблица_pr5[[#This Row],[Удельное сопротивление грунта, Ом·м]]))</f>
        <v/>
      </c>
      <c r="AK689" s="51"/>
      <c r="AL689" s="52"/>
      <c r="AM689" s="50"/>
      <c r="AN689" s="61" t="str">
        <f t="shared" si="94"/>
        <v/>
      </c>
      <c r="AO689" s="61" t="str">
        <f>IFERROR(IF(AL689-AL688&lt;=0,"",AN689/SQRT(Таблица_pr5[[#This Row],[Удельное сопротивление грунта, Ом·м]])),AN689/SQRT(Таблица_pr5[[#This Row],[Удельное сопротивление грунта, Ом·м]]))</f>
        <v/>
      </c>
      <c r="AQ689" s="51"/>
      <c r="AR689" s="52"/>
      <c r="AS689" s="50"/>
      <c r="AT689" s="61" t="str">
        <f t="shared" si="90"/>
        <v/>
      </c>
      <c r="AU689" s="61" t="str">
        <f>IFERROR(IF(AR689-AR688&lt;=0,"",AT689/SQRT(Таблица_pr7[[#This Row],[Удельное сопротивление грунта, Ом·м]])),AT689/SQRT(Таблица_pr7[[#This Row],[Удельное сопротивление грунта, Ом·м]]))</f>
        <v/>
      </c>
      <c r="AW689" s="51"/>
      <c r="AX689" s="52"/>
      <c r="AY689" s="50"/>
      <c r="AZ689" s="61" t="str">
        <f t="shared" si="95"/>
        <v/>
      </c>
      <c r="BA689" s="61" t="str">
        <f>IFERROR(IF(AX689-AX688&lt;=0,"",AZ689/SQRT(Таблица_pr8[[#This Row],[Удельное сопротивление грунта, Ом·м]])),AZ689/SQRT(Таблица_pr8[[#This Row],[Удельное сопротивление грунта, Ом·м]]))</f>
        <v/>
      </c>
      <c r="BC689" s="51"/>
      <c r="BD689" s="52"/>
      <c r="BE689" s="50"/>
      <c r="BF689" s="61" t="str">
        <f t="shared" si="91"/>
        <v/>
      </c>
      <c r="BG689" s="61" t="str">
        <f>IFERROR(IF(BD689-AX708&lt;=0,"",BF689/SQRT(Таблица_pr9[[#This Row],[Удельное сопротивление грунта, Ом·м]])),BF689/SQRT(Таблица_pr9[[#This Row],[Удельное сопротивление грунта, Ом·м]]))</f>
        <v/>
      </c>
      <c r="BI689" s="51"/>
      <c r="BJ689" s="52"/>
      <c r="BK689" s="50"/>
      <c r="BL689" s="61" t="str">
        <f t="shared" si="96"/>
        <v/>
      </c>
      <c r="BM689" s="61" t="str">
        <f>IFERROR(IF(BJ689-BD718&lt;=0,"",BL689/SQRT(Таблица_pr10[[#This Row],[Удельное сопротивление грунта, Ом·м]])),BL689/SQRT(Таблица_pr10[[#This Row],[Удельное сопротивление грунта, Ом·м]]))</f>
        <v/>
      </c>
    </row>
    <row r="690" spans="1:65">
      <c r="A690" s="53"/>
      <c r="B690" s="52"/>
      <c r="C690" s="50"/>
      <c r="D690" s="61" t="str">
        <f t="shared" si="86"/>
        <v/>
      </c>
      <c r="E690" s="61" t="str">
        <f>IFERROR(IF(B690-B689&lt;=0,"",D690/SQRT(Таблица_pr[[#This Row],[Удельное сопротивление грунта, Ом·м]])),D690/SQRT(Таблица_pr[[#This Row],[Удельное сопротивление грунта, Ом·м]]))</f>
        <v/>
      </c>
      <c r="G690" s="188"/>
      <c r="H690" s="184"/>
      <c r="I690" s="182"/>
      <c r="J690" s="181" t="str">
        <f t="shared" si="87"/>
        <v/>
      </c>
      <c r="K690" s="61" t="str">
        <f>IFERROR(IF(H690-H689&lt;=0,"",J690/SQRT(Таблица_pr1[[#This Row],[Удельное сопротивление грунта, Ом·м]])),J690/SQRT(Таблица_pr1[[#This Row],[Удельное сопротивление грунта, Ом·м]]))</f>
        <v/>
      </c>
      <c r="M690" s="53"/>
      <c r="N690" s="52"/>
      <c r="O690" s="50"/>
      <c r="P690" s="61" t="str">
        <f t="shared" si="92"/>
        <v/>
      </c>
      <c r="Q690" s="61" t="str">
        <f>IFERROR(IF(N690-N689&lt;=0,"",P690/SQRT(Таблица_pr2[[#This Row],[Удельное сопротивление грунта, Ом·м]])),P690/SQRT(Таблица_pr2[[#This Row],[Удельное сопротивление грунта, Ом·м]]))</f>
        <v/>
      </c>
      <c r="S690" s="53"/>
      <c r="T690" s="52"/>
      <c r="U690" s="50"/>
      <c r="V690" s="61" t="str">
        <f t="shared" si="88"/>
        <v/>
      </c>
      <c r="W690" s="61" t="str">
        <f>IFERROR(IF(T690-T689&lt;=0,"",V690/SQRT(Таблица_pr3[[#This Row],[Удельное сопротивление грунта, Ом·м]])),V690/SQRT(Таблица_pr3[[#This Row],[Удельное сопротивление грунта, Ом·м]]))</f>
        <v/>
      </c>
      <c r="Y690" s="53"/>
      <c r="Z690" s="52"/>
      <c r="AA690" s="50"/>
      <c r="AB690" s="61" t="str">
        <f t="shared" si="93"/>
        <v/>
      </c>
      <c r="AC690" s="61" t="str">
        <f>IFERROR(IF(Z690-Z689&lt;=0,"",AB690/SQRT(Таблица_pr4[[#This Row],[Удельное сопротивление грунта, Ом·м]])),AB690/SQRT(Таблица_pr4[[#This Row],[Удельное сопротивление грунта, Ом·м]]))</f>
        <v/>
      </c>
      <c r="AE690" s="53"/>
      <c r="AF690" s="52"/>
      <c r="AG690" s="50"/>
      <c r="AH690" s="61" t="str">
        <f t="shared" si="89"/>
        <v/>
      </c>
      <c r="AI690" s="61" t="str">
        <f>IFERROR(IF(AF690-AF689&lt;=0,"",AH690/SQRT(Таблица_pr5[[#This Row],[Удельное сопротивление грунта, Ом·м]])),AH690/SQRT(Таблица_pr5[[#This Row],[Удельное сопротивление грунта, Ом·м]]))</f>
        <v/>
      </c>
      <c r="AK690" s="53"/>
      <c r="AL690" s="52"/>
      <c r="AM690" s="50"/>
      <c r="AN690" s="61" t="str">
        <f t="shared" si="94"/>
        <v/>
      </c>
      <c r="AO690" s="61" t="str">
        <f>IFERROR(IF(AL690-AL689&lt;=0,"",AN690/SQRT(Таблица_pr5[[#This Row],[Удельное сопротивление грунта, Ом·м]])),AN690/SQRT(Таблица_pr5[[#This Row],[Удельное сопротивление грунта, Ом·м]]))</f>
        <v/>
      </c>
      <c r="AQ690" s="53"/>
      <c r="AR690" s="52"/>
      <c r="AS690" s="50"/>
      <c r="AT690" s="61" t="str">
        <f t="shared" si="90"/>
        <v/>
      </c>
      <c r="AU690" s="61" t="str">
        <f>IFERROR(IF(AR690-AR689&lt;=0,"",AT690/SQRT(Таблица_pr7[[#This Row],[Удельное сопротивление грунта, Ом·м]])),AT690/SQRT(Таблица_pr7[[#This Row],[Удельное сопротивление грунта, Ом·м]]))</f>
        <v/>
      </c>
      <c r="AW690" s="53"/>
      <c r="AX690" s="52"/>
      <c r="AY690" s="50"/>
      <c r="AZ690" s="61" t="str">
        <f t="shared" si="95"/>
        <v/>
      </c>
      <c r="BA690" s="61" t="str">
        <f>IFERROR(IF(AX690-AX689&lt;=0,"",AZ690/SQRT(Таблица_pr8[[#This Row],[Удельное сопротивление грунта, Ом·м]])),AZ690/SQRT(Таблица_pr8[[#This Row],[Удельное сопротивление грунта, Ом·м]]))</f>
        <v/>
      </c>
      <c r="BC690" s="53"/>
      <c r="BD690" s="52"/>
      <c r="BE690" s="50"/>
      <c r="BF690" s="61" t="str">
        <f t="shared" si="91"/>
        <v/>
      </c>
      <c r="BG690" s="61" t="str">
        <f>IFERROR(IF(BD690-AX709&lt;=0,"",BF690/SQRT(Таблица_pr9[[#This Row],[Удельное сопротивление грунта, Ом·м]])),BF690/SQRT(Таблица_pr9[[#This Row],[Удельное сопротивление грунта, Ом·м]]))</f>
        <v/>
      </c>
      <c r="BI690" s="53"/>
      <c r="BJ690" s="52"/>
      <c r="BK690" s="50"/>
      <c r="BL690" s="61" t="str">
        <f t="shared" si="96"/>
        <v/>
      </c>
      <c r="BM690" s="61" t="str">
        <f>IFERROR(IF(BJ690-BD719&lt;=0,"",BL690/SQRT(Таблица_pr10[[#This Row],[Удельное сопротивление грунта, Ом·м]])),BL690/SQRT(Таблица_pr10[[#This Row],[Удельное сопротивление грунта, Ом·м]]))</f>
        <v/>
      </c>
    </row>
    <row r="691" spans="1:65">
      <c r="A691" s="51"/>
      <c r="B691" s="52"/>
      <c r="C691" s="50"/>
      <c r="D691" s="61" t="str">
        <f t="shared" si="86"/>
        <v/>
      </c>
      <c r="E691" s="61" t="str">
        <f>IFERROR(IF(B691-B690&lt;=0,"",D691/SQRT(Таблица_pr[[#This Row],[Удельное сопротивление грунта, Ом·м]])),D691/SQRT(Таблица_pr[[#This Row],[Удельное сопротивление грунта, Ом·м]]))</f>
        <v/>
      </c>
      <c r="G691" s="189"/>
      <c r="H691" s="185"/>
      <c r="I691" s="183"/>
      <c r="J691" s="180" t="str">
        <f t="shared" si="87"/>
        <v/>
      </c>
      <c r="K691" s="61" t="str">
        <f>IFERROR(IF(H691-H690&lt;=0,"",J691/SQRT(Таблица_pr1[[#This Row],[Удельное сопротивление грунта, Ом·м]])),J691/SQRT(Таблица_pr1[[#This Row],[Удельное сопротивление грунта, Ом·м]]))</f>
        <v/>
      </c>
      <c r="M691" s="51"/>
      <c r="N691" s="52"/>
      <c r="O691" s="50"/>
      <c r="P691" s="61" t="str">
        <f t="shared" si="92"/>
        <v/>
      </c>
      <c r="Q691" s="61" t="str">
        <f>IFERROR(IF(N691-N690&lt;=0,"",P691/SQRT(Таблица_pr2[[#This Row],[Удельное сопротивление грунта, Ом·м]])),P691/SQRT(Таблица_pr2[[#This Row],[Удельное сопротивление грунта, Ом·м]]))</f>
        <v/>
      </c>
      <c r="S691" s="51"/>
      <c r="T691" s="52"/>
      <c r="U691" s="50"/>
      <c r="V691" s="61" t="str">
        <f t="shared" si="88"/>
        <v/>
      </c>
      <c r="W691" s="61" t="str">
        <f>IFERROR(IF(T691-T690&lt;=0,"",V691/SQRT(Таблица_pr3[[#This Row],[Удельное сопротивление грунта, Ом·м]])),V691/SQRT(Таблица_pr3[[#This Row],[Удельное сопротивление грунта, Ом·м]]))</f>
        <v/>
      </c>
      <c r="Y691" s="51"/>
      <c r="Z691" s="52"/>
      <c r="AA691" s="50"/>
      <c r="AB691" s="61" t="str">
        <f t="shared" si="93"/>
        <v/>
      </c>
      <c r="AC691" s="61" t="str">
        <f>IFERROR(IF(Z691-Z690&lt;=0,"",AB691/SQRT(Таблица_pr4[[#This Row],[Удельное сопротивление грунта, Ом·м]])),AB691/SQRT(Таблица_pr4[[#This Row],[Удельное сопротивление грунта, Ом·м]]))</f>
        <v/>
      </c>
      <c r="AE691" s="51"/>
      <c r="AF691" s="52"/>
      <c r="AG691" s="50"/>
      <c r="AH691" s="61" t="str">
        <f t="shared" si="89"/>
        <v/>
      </c>
      <c r="AI691" s="61" t="str">
        <f>IFERROR(IF(AF691-AF690&lt;=0,"",AH691/SQRT(Таблица_pr5[[#This Row],[Удельное сопротивление грунта, Ом·м]])),AH691/SQRT(Таблица_pr5[[#This Row],[Удельное сопротивление грунта, Ом·м]]))</f>
        <v/>
      </c>
      <c r="AK691" s="51"/>
      <c r="AL691" s="52"/>
      <c r="AM691" s="50"/>
      <c r="AN691" s="61" t="str">
        <f t="shared" si="94"/>
        <v/>
      </c>
      <c r="AO691" s="61" t="str">
        <f>IFERROR(IF(AL691-AL690&lt;=0,"",AN691/SQRT(Таблица_pr5[[#This Row],[Удельное сопротивление грунта, Ом·м]])),AN691/SQRT(Таблица_pr5[[#This Row],[Удельное сопротивление грунта, Ом·м]]))</f>
        <v/>
      </c>
      <c r="AQ691" s="51"/>
      <c r="AR691" s="52"/>
      <c r="AS691" s="50"/>
      <c r="AT691" s="61" t="str">
        <f t="shared" si="90"/>
        <v/>
      </c>
      <c r="AU691" s="61" t="str">
        <f>IFERROR(IF(AR691-AR690&lt;=0,"",AT691/SQRT(Таблица_pr7[[#This Row],[Удельное сопротивление грунта, Ом·м]])),AT691/SQRT(Таблица_pr7[[#This Row],[Удельное сопротивление грунта, Ом·м]]))</f>
        <v/>
      </c>
      <c r="AW691" s="51"/>
      <c r="AX691" s="52"/>
      <c r="AY691" s="50"/>
      <c r="AZ691" s="61" t="str">
        <f t="shared" si="95"/>
        <v/>
      </c>
      <c r="BA691" s="61" t="str">
        <f>IFERROR(IF(AX691-AX690&lt;=0,"",AZ691/SQRT(Таблица_pr8[[#This Row],[Удельное сопротивление грунта, Ом·м]])),AZ691/SQRT(Таблица_pr8[[#This Row],[Удельное сопротивление грунта, Ом·м]]))</f>
        <v/>
      </c>
      <c r="BC691" s="51"/>
      <c r="BD691" s="52"/>
      <c r="BE691" s="50"/>
      <c r="BF691" s="61" t="str">
        <f t="shared" si="91"/>
        <v/>
      </c>
      <c r="BG691" s="61" t="str">
        <f>IFERROR(IF(BD691-AX710&lt;=0,"",BF691/SQRT(Таблица_pr9[[#This Row],[Удельное сопротивление грунта, Ом·м]])),BF691/SQRT(Таблица_pr9[[#This Row],[Удельное сопротивление грунта, Ом·м]]))</f>
        <v/>
      </c>
      <c r="BI691" s="51"/>
      <c r="BJ691" s="52"/>
      <c r="BK691" s="50"/>
      <c r="BL691" s="61" t="str">
        <f t="shared" si="96"/>
        <v/>
      </c>
      <c r="BM691" s="61" t="str">
        <f>IFERROR(IF(BJ691-BD720&lt;=0,"",BL691/SQRT(Таблица_pr10[[#This Row],[Удельное сопротивление грунта, Ом·м]])),BL691/SQRT(Таблица_pr10[[#This Row],[Удельное сопротивление грунта, Ом·м]]))</f>
        <v/>
      </c>
    </row>
    <row r="692" spans="1:65">
      <c r="A692" s="53"/>
      <c r="B692" s="52"/>
      <c r="C692" s="50"/>
      <c r="D692" s="61" t="str">
        <f t="shared" si="86"/>
        <v/>
      </c>
      <c r="E692" s="61" t="str">
        <f>IFERROR(IF(B692-B691&lt;=0,"",D692/SQRT(Таблица_pr[[#This Row],[Удельное сопротивление грунта, Ом·м]])),D692/SQRT(Таблица_pr[[#This Row],[Удельное сопротивление грунта, Ом·м]]))</f>
        <v/>
      </c>
      <c r="G692" s="188"/>
      <c r="H692" s="184"/>
      <c r="I692" s="182"/>
      <c r="J692" s="181" t="str">
        <f t="shared" si="87"/>
        <v/>
      </c>
      <c r="K692" s="61" t="str">
        <f>IFERROR(IF(H692-H691&lt;=0,"",J692/SQRT(Таблица_pr1[[#This Row],[Удельное сопротивление грунта, Ом·м]])),J692/SQRT(Таблица_pr1[[#This Row],[Удельное сопротивление грунта, Ом·м]]))</f>
        <v/>
      </c>
      <c r="M692" s="53"/>
      <c r="N692" s="52"/>
      <c r="O692" s="50"/>
      <c r="P692" s="61" t="str">
        <f t="shared" si="92"/>
        <v/>
      </c>
      <c r="Q692" s="61" t="str">
        <f>IFERROR(IF(N692-N691&lt;=0,"",P692/SQRT(Таблица_pr2[[#This Row],[Удельное сопротивление грунта, Ом·м]])),P692/SQRT(Таблица_pr2[[#This Row],[Удельное сопротивление грунта, Ом·м]]))</f>
        <v/>
      </c>
      <c r="S692" s="53"/>
      <c r="T692" s="52"/>
      <c r="U692" s="50"/>
      <c r="V692" s="61" t="str">
        <f t="shared" si="88"/>
        <v/>
      </c>
      <c r="W692" s="61" t="str">
        <f>IFERROR(IF(T692-T691&lt;=0,"",V692/SQRT(Таблица_pr3[[#This Row],[Удельное сопротивление грунта, Ом·м]])),V692/SQRT(Таблица_pr3[[#This Row],[Удельное сопротивление грунта, Ом·м]]))</f>
        <v/>
      </c>
      <c r="Y692" s="53"/>
      <c r="Z692" s="52"/>
      <c r="AA692" s="50"/>
      <c r="AB692" s="61" t="str">
        <f t="shared" si="93"/>
        <v/>
      </c>
      <c r="AC692" s="61" t="str">
        <f>IFERROR(IF(Z692-Z691&lt;=0,"",AB692/SQRT(Таблица_pr4[[#This Row],[Удельное сопротивление грунта, Ом·м]])),AB692/SQRT(Таблица_pr4[[#This Row],[Удельное сопротивление грунта, Ом·м]]))</f>
        <v/>
      </c>
      <c r="AE692" s="53"/>
      <c r="AF692" s="52"/>
      <c r="AG692" s="50"/>
      <c r="AH692" s="61" t="str">
        <f t="shared" si="89"/>
        <v/>
      </c>
      <c r="AI692" s="61" t="str">
        <f>IFERROR(IF(AF692-AF691&lt;=0,"",AH692/SQRT(Таблица_pr5[[#This Row],[Удельное сопротивление грунта, Ом·м]])),AH692/SQRT(Таблица_pr5[[#This Row],[Удельное сопротивление грунта, Ом·м]]))</f>
        <v/>
      </c>
      <c r="AK692" s="53"/>
      <c r="AL692" s="52"/>
      <c r="AM692" s="50"/>
      <c r="AN692" s="61" t="str">
        <f t="shared" si="94"/>
        <v/>
      </c>
      <c r="AO692" s="61" t="str">
        <f>IFERROR(IF(AL692-AL691&lt;=0,"",AN692/SQRT(Таблица_pr5[[#This Row],[Удельное сопротивление грунта, Ом·м]])),AN692/SQRT(Таблица_pr5[[#This Row],[Удельное сопротивление грунта, Ом·м]]))</f>
        <v/>
      </c>
      <c r="AQ692" s="53"/>
      <c r="AR692" s="52"/>
      <c r="AS692" s="50"/>
      <c r="AT692" s="61" t="str">
        <f t="shared" si="90"/>
        <v/>
      </c>
      <c r="AU692" s="61" t="str">
        <f>IFERROR(IF(AR692-AR691&lt;=0,"",AT692/SQRT(Таблица_pr7[[#This Row],[Удельное сопротивление грунта, Ом·м]])),AT692/SQRT(Таблица_pr7[[#This Row],[Удельное сопротивление грунта, Ом·м]]))</f>
        <v/>
      </c>
      <c r="AW692" s="53"/>
      <c r="AX692" s="52"/>
      <c r="AY692" s="50"/>
      <c r="AZ692" s="61" t="str">
        <f t="shared" si="95"/>
        <v/>
      </c>
      <c r="BA692" s="61" t="str">
        <f>IFERROR(IF(AX692-AX691&lt;=0,"",AZ692/SQRT(Таблица_pr8[[#This Row],[Удельное сопротивление грунта, Ом·м]])),AZ692/SQRT(Таблица_pr8[[#This Row],[Удельное сопротивление грунта, Ом·м]]))</f>
        <v/>
      </c>
      <c r="BC692" s="53"/>
      <c r="BD692" s="52"/>
      <c r="BE692" s="50"/>
      <c r="BF692" s="61" t="str">
        <f t="shared" si="91"/>
        <v/>
      </c>
      <c r="BG692" s="61" t="str">
        <f>IFERROR(IF(BD692-AX711&lt;=0,"",BF692/SQRT(Таблица_pr9[[#This Row],[Удельное сопротивление грунта, Ом·м]])),BF692/SQRT(Таблица_pr9[[#This Row],[Удельное сопротивление грунта, Ом·м]]))</f>
        <v/>
      </c>
      <c r="BI692" s="53"/>
      <c r="BJ692" s="52"/>
      <c r="BK692" s="50"/>
      <c r="BL692" s="61" t="str">
        <f t="shared" si="96"/>
        <v/>
      </c>
      <c r="BM692" s="61" t="str">
        <f>IFERROR(IF(BJ692-BD721&lt;=0,"",BL692/SQRT(Таблица_pr10[[#This Row],[Удельное сопротивление грунта, Ом·м]])),BL692/SQRT(Таблица_pr10[[#This Row],[Удельное сопротивление грунта, Ом·м]]))</f>
        <v/>
      </c>
    </row>
    <row r="693" spans="1:65">
      <c r="A693" s="51"/>
      <c r="B693" s="52"/>
      <c r="C693" s="50"/>
      <c r="D693" s="61" t="str">
        <f t="shared" si="86"/>
        <v/>
      </c>
      <c r="E693" s="61" t="str">
        <f>IFERROR(IF(B693-B692&lt;=0,"",D693/SQRT(Таблица_pr[[#This Row],[Удельное сопротивление грунта, Ом·м]])),D693/SQRT(Таблица_pr[[#This Row],[Удельное сопротивление грунта, Ом·м]]))</f>
        <v/>
      </c>
      <c r="G693" s="189"/>
      <c r="H693" s="185"/>
      <c r="I693" s="183"/>
      <c r="J693" s="180" t="str">
        <f t="shared" si="87"/>
        <v/>
      </c>
      <c r="K693" s="61" t="str">
        <f>IFERROR(IF(H693-H692&lt;=0,"",J693/SQRT(Таблица_pr1[[#This Row],[Удельное сопротивление грунта, Ом·м]])),J693/SQRT(Таблица_pr1[[#This Row],[Удельное сопротивление грунта, Ом·м]]))</f>
        <v/>
      </c>
      <c r="M693" s="51"/>
      <c r="N693" s="52"/>
      <c r="O693" s="50"/>
      <c r="P693" s="61" t="str">
        <f t="shared" si="92"/>
        <v/>
      </c>
      <c r="Q693" s="61" t="str">
        <f>IFERROR(IF(N693-N692&lt;=0,"",P693/SQRT(Таблица_pr2[[#This Row],[Удельное сопротивление грунта, Ом·м]])),P693/SQRT(Таблица_pr2[[#This Row],[Удельное сопротивление грунта, Ом·м]]))</f>
        <v/>
      </c>
      <c r="S693" s="51"/>
      <c r="T693" s="52"/>
      <c r="U693" s="50"/>
      <c r="V693" s="61" t="str">
        <f t="shared" si="88"/>
        <v/>
      </c>
      <c r="W693" s="61" t="str">
        <f>IFERROR(IF(T693-T692&lt;=0,"",V693/SQRT(Таблица_pr3[[#This Row],[Удельное сопротивление грунта, Ом·м]])),V693/SQRT(Таблица_pr3[[#This Row],[Удельное сопротивление грунта, Ом·м]]))</f>
        <v/>
      </c>
      <c r="Y693" s="51"/>
      <c r="Z693" s="52"/>
      <c r="AA693" s="50"/>
      <c r="AB693" s="61" t="str">
        <f t="shared" si="93"/>
        <v/>
      </c>
      <c r="AC693" s="61" t="str">
        <f>IFERROR(IF(Z693-Z692&lt;=0,"",AB693/SQRT(Таблица_pr4[[#This Row],[Удельное сопротивление грунта, Ом·м]])),AB693/SQRT(Таблица_pr4[[#This Row],[Удельное сопротивление грунта, Ом·м]]))</f>
        <v/>
      </c>
      <c r="AE693" s="51"/>
      <c r="AF693" s="52"/>
      <c r="AG693" s="50"/>
      <c r="AH693" s="61" t="str">
        <f t="shared" si="89"/>
        <v/>
      </c>
      <c r="AI693" s="61" t="str">
        <f>IFERROR(IF(AF693-AF692&lt;=0,"",AH693/SQRT(Таблица_pr5[[#This Row],[Удельное сопротивление грунта, Ом·м]])),AH693/SQRT(Таблица_pr5[[#This Row],[Удельное сопротивление грунта, Ом·м]]))</f>
        <v/>
      </c>
      <c r="AK693" s="51"/>
      <c r="AL693" s="52"/>
      <c r="AM693" s="50"/>
      <c r="AN693" s="61" t="str">
        <f t="shared" si="94"/>
        <v/>
      </c>
      <c r="AO693" s="61" t="str">
        <f>IFERROR(IF(AL693-AL692&lt;=0,"",AN693/SQRT(Таблица_pr5[[#This Row],[Удельное сопротивление грунта, Ом·м]])),AN693/SQRT(Таблица_pr5[[#This Row],[Удельное сопротивление грунта, Ом·м]]))</f>
        <v/>
      </c>
      <c r="AQ693" s="51"/>
      <c r="AR693" s="52"/>
      <c r="AS693" s="50"/>
      <c r="AT693" s="61" t="str">
        <f t="shared" si="90"/>
        <v/>
      </c>
      <c r="AU693" s="61" t="str">
        <f>IFERROR(IF(AR693-AR692&lt;=0,"",AT693/SQRT(Таблица_pr7[[#This Row],[Удельное сопротивление грунта, Ом·м]])),AT693/SQRT(Таблица_pr7[[#This Row],[Удельное сопротивление грунта, Ом·м]]))</f>
        <v/>
      </c>
      <c r="AW693" s="51"/>
      <c r="AX693" s="52"/>
      <c r="AY693" s="50"/>
      <c r="AZ693" s="61" t="str">
        <f t="shared" si="95"/>
        <v/>
      </c>
      <c r="BA693" s="61" t="str">
        <f>IFERROR(IF(AX693-AX692&lt;=0,"",AZ693/SQRT(Таблица_pr8[[#This Row],[Удельное сопротивление грунта, Ом·м]])),AZ693/SQRT(Таблица_pr8[[#This Row],[Удельное сопротивление грунта, Ом·м]]))</f>
        <v/>
      </c>
      <c r="BC693" s="51"/>
      <c r="BD693" s="52"/>
      <c r="BE693" s="50"/>
      <c r="BF693" s="61" t="str">
        <f t="shared" si="91"/>
        <v/>
      </c>
      <c r="BG693" s="61" t="str">
        <f>IFERROR(IF(BD693-AX712&lt;=0,"",BF693/SQRT(Таблица_pr9[[#This Row],[Удельное сопротивление грунта, Ом·м]])),BF693/SQRT(Таблица_pr9[[#This Row],[Удельное сопротивление грунта, Ом·м]]))</f>
        <v/>
      </c>
      <c r="BI693" s="51"/>
      <c r="BJ693" s="52"/>
      <c r="BK693" s="50"/>
      <c r="BL693" s="61" t="str">
        <f t="shared" si="96"/>
        <v/>
      </c>
      <c r="BM693" s="61" t="str">
        <f>IFERROR(IF(BJ693-BD722&lt;=0,"",BL693/SQRT(Таблица_pr10[[#This Row],[Удельное сопротивление грунта, Ом·м]])),BL693/SQRT(Таблица_pr10[[#This Row],[Удельное сопротивление грунта, Ом·м]]))</f>
        <v/>
      </c>
    </row>
    <row r="694" spans="1:65">
      <c r="A694" s="53"/>
      <c r="B694" s="52"/>
      <c r="C694" s="50"/>
      <c r="D694" s="61" t="str">
        <f t="shared" si="86"/>
        <v/>
      </c>
      <c r="E694" s="61" t="str">
        <f>IFERROR(IF(B694-B693&lt;=0,"",D694/SQRT(Таблица_pr[[#This Row],[Удельное сопротивление грунта, Ом·м]])),D694/SQRT(Таблица_pr[[#This Row],[Удельное сопротивление грунта, Ом·м]]))</f>
        <v/>
      </c>
      <c r="G694" s="188"/>
      <c r="H694" s="184"/>
      <c r="I694" s="182"/>
      <c r="J694" s="181" t="str">
        <f t="shared" si="87"/>
        <v/>
      </c>
      <c r="K694" s="61" t="str">
        <f>IFERROR(IF(H694-H693&lt;=0,"",J694/SQRT(Таблица_pr1[[#This Row],[Удельное сопротивление грунта, Ом·м]])),J694/SQRT(Таблица_pr1[[#This Row],[Удельное сопротивление грунта, Ом·м]]))</f>
        <v/>
      </c>
      <c r="M694" s="53"/>
      <c r="N694" s="52"/>
      <c r="O694" s="50"/>
      <c r="P694" s="61" t="str">
        <f t="shared" si="92"/>
        <v/>
      </c>
      <c r="Q694" s="61" t="str">
        <f>IFERROR(IF(N694-N693&lt;=0,"",P694/SQRT(Таблица_pr2[[#This Row],[Удельное сопротивление грунта, Ом·м]])),P694/SQRT(Таблица_pr2[[#This Row],[Удельное сопротивление грунта, Ом·м]]))</f>
        <v/>
      </c>
      <c r="S694" s="53"/>
      <c r="T694" s="52"/>
      <c r="U694" s="50"/>
      <c r="V694" s="61" t="str">
        <f t="shared" si="88"/>
        <v/>
      </c>
      <c r="W694" s="61" t="str">
        <f>IFERROR(IF(T694-T693&lt;=0,"",V694/SQRT(Таблица_pr3[[#This Row],[Удельное сопротивление грунта, Ом·м]])),V694/SQRT(Таблица_pr3[[#This Row],[Удельное сопротивление грунта, Ом·м]]))</f>
        <v/>
      </c>
      <c r="Y694" s="53"/>
      <c r="Z694" s="52"/>
      <c r="AA694" s="50"/>
      <c r="AB694" s="61" t="str">
        <f t="shared" si="93"/>
        <v/>
      </c>
      <c r="AC694" s="61" t="str">
        <f>IFERROR(IF(Z694-Z693&lt;=0,"",AB694/SQRT(Таблица_pr4[[#This Row],[Удельное сопротивление грунта, Ом·м]])),AB694/SQRT(Таблица_pr4[[#This Row],[Удельное сопротивление грунта, Ом·м]]))</f>
        <v/>
      </c>
      <c r="AE694" s="53"/>
      <c r="AF694" s="52"/>
      <c r="AG694" s="50"/>
      <c r="AH694" s="61" t="str">
        <f t="shared" si="89"/>
        <v/>
      </c>
      <c r="AI694" s="61" t="str">
        <f>IFERROR(IF(AF694-AF693&lt;=0,"",AH694/SQRT(Таблица_pr5[[#This Row],[Удельное сопротивление грунта, Ом·м]])),AH694/SQRT(Таблица_pr5[[#This Row],[Удельное сопротивление грунта, Ом·м]]))</f>
        <v/>
      </c>
      <c r="AK694" s="53"/>
      <c r="AL694" s="52"/>
      <c r="AM694" s="50"/>
      <c r="AN694" s="61" t="str">
        <f t="shared" si="94"/>
        <v/>
      </c>
      <c r="AO694" s="61" t="str">
        <f>IFERROR(IF(AL694-AL693&lt;=0,"",AN694/SQRT(Таблица_pr5[[#This Row],[Удельное сопротивление грунта, Ом·м]])),AN694/SQRT(Таблица_pr5[[#This Row],[Удельное сопротивление грунта, Ом·м]]))</f>
        <v/>
      </c>
      <c r="AQ694" s="53"/>
      <c r="AR694" s="52"/>
      <c r="AS694" s="50"/>
      <c r="AT694" s="61" t="str">
        <f t="shared" si="90"/>
        <v/>
      </c>
      <c r="AU694" s="61" t="str">
        <f>IFERROR(IF(AR694-AR693&lt;=0,"",AT694/SQRT(Таблица_pr7[[#This Row],[Удельное сопротивление грунта, Ом·м]])),AT694/SQRT(Таблица_pr7[[#This Row],[Удельное сопротивление грунта, Ом·м]]))</f>
        <v/>
      </c>
      <c r="AW694" s="53"/>
      <c r="AX694" s="52"/>
      <c r="AY694" s="50"/>
      <c r="AZ694" s="61" t="str">
        <f t="shared" si="95"/>
        <v/>
      </c>
      <c r="BA694" s="61" t="str">
        <f>IFERROR(IF(AX694-AX693&lt;=0,"",AZ694/SQRT(Таблица_pr8[[#This Row],[Удельное сопротивление грунта, Ом·м]])),AZ694/SQRT(Таблица_pr8[[#This Row],[Удельное сопротивление грунта, Ом·м]]))</f>
        <v/>
      </c>
      <c r="BC694" s="53"/>
      <c r="BD694" s="52"/>
      <c r="BE694" s="50"/>
      <c r="BF694" s="61" t="str">
        <f t="shared" si="91"/>
        <v/>
      </c>
      <c r="BG694" s="61" t="str">
        <f>IFERROR(IF(BD694-AX713&lt;=0,"",BF694/SQRT(Таблица_pr9[[#This Row],[Удельное сопротивление грунта, Ом·м]])),BF694/SQRT(Таблица_pr9[[#This Row],[Удельное сопротивление грунта, Ом·м]]))</f>
        <v/>
      </c>
      <c r="BI694" s="53"/>
      <c r="BJ694" s="52"/>
      <c r="BK694" s="50"/>
      <c r="BL694" s="61" t="str">
        <f t="shared" si="96"/>
        <v/>
      </c>
      <c r="BM694" s="61" t="str">
        <f>IFERROR(IF(BJ694-BD723&lt;=0,"",BL694/SQRT(Таблица_pr10[[#This Row],[Удельное сопротивление грунта, Ом·м]])),BL694/SQRT(Таблица_pr10[[#This Row],[Удельное сопротивление грунта, Ом·м]]))</f>
        <v/>
      </c>
    </row>
    <row r="695" spans="1:65">
      <c r="A695" s="51"/>
      <c r="B695" s="52"/>
      <c r="C695" s="50"/>
      <c r="D695" s="61" t="str">
        <f t="shared" si="86"/>
        <v/>
      </c>
      <c r="E695" s="61" t="str">
        <f>IFERROR(IF(B695-B694&lt;=0,"",D695/SQRT(Таблица_pr[[#This Row],[Удельное сопротивление грунта, Ом·м]])),D695/SQRT(Таблица_pr[[#This Row],[Удельное сопротивление грунта, Ом·м]]))</f>
        <v/>
      </c>
      <c r="G695" s="189"/>
      <c r="H695" s="185"/>
      <c r="I695" s="183"/>
      <c r="J695" s="180" t="str">
        <f t="shared" si="87"/>
        <v/>
      </c>
      <c r="K695" s="61" t="str">
        <f>IFERROR(IF(H695-H694&lt;=0,"",J695/SQRT(Таблица_pr1[[#This Row],[Удельное сопротивление грунта, Ом·м]])),J695/SQRT(Таблица_pr1[[#This Row],[Удельное сопротивление грунта, Ом·м]]))</f>
        <v/>
      </c>
      <c r="M695" s="51"/>
      <c r="N695" s="52"/>
      <c r="O695" s="50"/>
      <c r="P695" s="61" t="str">
        <f t="shared" si="92"/>
        <v/>
      </c>
      <c r="Q695" s="61" t="str">
        <f>IFERROR(IF(N695-N694&lt;=0,"",P695/SQRT(Таблица_pr2[[#This Row],[Удельное сопротивление грунта, Ом·м]])),P695/SQRT(Таблица_pr2[[#This Row],[Удельное сопротивление грунта, Ом·м]]))</f>
        <v/>
      </c>
      <c r="S695" s="51"/>
      <c r="T695" s="52"/>
      <c r="U695" s="50"/>
      <c r="V695" s="61" t="str">
        <f t="shared" si="88"/>
        <v/>
      </c>
      <c r="W695" s="61" t="str">
        <f>IFERROR(IF(T695-T694&lt;=0,"",V695/SQRT(Таблица_pr3[[#This Row],[Удельное сопротивление грунта, Ом·м]])),V695/SQRT(Таблица_pr3[[#This Row],[Удельное сопротивление грунта, Ом·м]]))</f>
        <v/>
      </c>
      <c r="Y695" s="51"/>
      <c r="Z695" s="52"/>
      <c r="AA695" s="50"/>
      <c r="AB695" s="61" t="str">
        <f t="shared" si="93"/>
        <v/>
      </c>
      <c r="AC695" s="61" t="str">
        <f>IFERROR(IF(Z695-Z694&lt;=0,"",AB695/SQRT(Таблица_pr4[[#This Row],[Удельное сопротивление грунта, Ом·м]])),AB695/SQRT(Таблица_pr4[[#This Row],[Удельное сопротивление грунта, Ом·м]]))</f>
        <v/>
      </c>
      <c r="AE695" s="51"/>
      <c r="AF695" s="52"/>
      <c r="AG695" s="50"/>
      <c r="AH695" s="61" t="str">
        <f t="shared" si="89"/>
        <v/>
      </c>
      <c r="AI695" s="61" t="str">
        <f>IFERROR(IF(AF695-AF694&lt;=0,"",AH695/SQRT(Таблица_pr5[[#This Row],[Удельное сопротивление грунта, Ом·м]])),AH695/SQRT(Таблица_pr5[[#This Row],[Удельное сопротивление грунта, Ом·м]]))</f>
        <v/>
      </c>
      <c r="AK695" s="51"/>
      <c r="AL695" s="52"/>
      <c r="AM695" s="50"/>
      <c r="AN695" s="61" t="str">
        <f t="shared" si="94"/>
        <v/>
      </c>
      <c r="AO695" s="61" t="str">
        <f>IFERROR(IF(AL695-AL694&lt;=0,"",AN695/SQRT(Таблица_pr5[[#This Row],[Удельное сопротивление грунта, Ом·м]])),AN695/SQRT(Таблица_pr5[[#This Row],[Удельное сопротивление грунта, Ом·м]]))</f>
        <v/>
      </c>
      <c r="AQ695" s="51"/>
      <c r="AR695" s="52"/>
      <c r="AS695" s="50"/>
      <c r="AT695" s="61" t="str">
        <f t="shared" si="90"/>
        <v/>
      </c>
      <c r="AU695" s="61" t="str">
        <f>IFERROR(IF(AR695-AR694&lt;=0,"",AT695/SQRT(Таблица_pr7[[#This Row],[Удельное сопротивление грунта, Ом·м]])),AT695/SQRT(Таблица_pr7[[#This Row],[Удельное сопротивление грунта, Ом·м]]))</f>
        <v/>
      </c>
      <c r="AW695" s="51"/>
      <c r="AX695" s="52"/>
      <c r="AY695" s="50"/>
      <c r="AZ695" s="61" t="str">
        <f t="shared" si="95"/>
        <v/>
      </c>
      <c r="BA695" s="61" t="str">
        <f>IFERROR(IF(AX695-AX694&lt;=0,"",AZ695/SQRT(Таблица_pr8[[#This Row],[Удельное сопротивление грунта, Ом·м]])),AZ695/SQRT(Таблица_pr8[[#This Row],[Удельное сопротивление грунта, Ом·м]]))</f>
        <v/>
      </c>
      <c r="BC695" s="51"/>
      <c r="BD695" s="52"/>
      <c r="BE695" s="50"/>
      <c r="BF695" s="61" t="str">
        <f t="shared" si="91"/>
        <v/>
      </c>
      <c r="BG695" s="61" t="str">
        <f>IFERROR(IF(BD695-AX714&lt;=0,"",BF695/SQRT(Таблица_pr9[[#This Row],[Удельное сопротивление грунта, Ом·м]])),BF695/SQRT(Таблица_pr9[[#This Row],[Удельное сопротивление грунта, Ом·м]]))</f>
        <v/>
      </c>
      <c r="BI695" s="51"/>
      <c r="BJ695" s="52"/>
      <c r="BK695" s="50"/>
      <c r="BL695" s="61" t="str">
        <f t="shared" si="96"/>
        <v/>
      </c>
      <c r="BM695" s="61" t="str">
        <f>IFERROR(IF(BJ695-BD724&lt;=0,"",BL695/SQRT(Таблица_pr10[[#This Row],[Удельное сопротивление грунта, Ом·м]])),BL695/SQRT(Таблица_pr10[[#This Row],[Удельное сопротивление грунта, Ом·м]]))</f>
        <v/>
      </c>
    </row>
    <row r="696" spans="1:65">
      <c r="A696" s="53"/>
      <c r="B696" s="52"/>
      <c r="C696" s="50"/>
      <c r="D696" s="61" t="str">
        <f t="shared" si="86"/>
        <v/>
      </c>
      <c r="E696" s="61" t="str">
        <f>IFERROR(IF(B696-B695&lt;=0,"",D696/SQRT(Таблица_pr[[#This Row],[Удельное сопротивление грунта, Ом·м]])),D696/SQRT(Таблица_pr[[#This Row],[Удельное сопротивление грунта, Ом·м]]))</f>
        <v/>
      </c>
      <c r="G696" s="188"/>
      <c r="H696" s="184"/>
      <c r="I696" s="182"/>
      <c r="J696" s="181" t="str">
        <f t="shared" si="87"/>
        <v/>
      </c>
      <c r="K696" s="61" t="str">
        <f>IFERROR(IF(H696-H695&lt;=0,"",J696/SQRT(Таблица_pr1[[#This Row],[Удельное сопротивление грунта, Ом·м]])),J696/SQRT(Таблица_pr1[[#This Row],[Удельное сопротивление грунта, Ом·м]]))</f>
        <v/>
      </c>
      <c r="M696" s="53"/>
      <c r="N696" s="52"/>
      <c r="O696" s="50"/>
      <c r="P696" s="61" t="str">
        <f t="shared" si="92"/>
        <v/>
      </c>
      <c r="Q696" s="61" t="str">
        <f>IFERROR(IF(N696-N695&lt;=0,"",P696/SQRT(Таблица_pr2[[#This Row],[Удельное сопротивление грунта, Ом·м]])),P696/SQRT(Таблица_pr2[[#This Row],[Удельное сопротивление грунта, Ом·м]]))</f>
        <v/>
      </c>
      <c r="S696" s="53"/>
      <c r="T696" s="52"/>
      <c r="U696" s="50"/>
      <c r="V696" s="61" t="str">
        <f t="shared" si="88"/>
        <v/>
      </c>
      <c r="W696" s="61" t="str">
        <f>IFERROR(IF(T696-T695&lt;=0,"",V696/SQRT(Таблица_pr3[[#This Row],[Удельное сопротивление грунта, Ом·м]])),V696/SQRT(Таблица_pr3[[#This Row],[Удельное сопротивление грунта, Ом·м]]))</f>
        <v/>
      </c>
      <c r="Y696" s="53"/>
      <c r="Z696" s="52"/>
      <c r="AA696" s="50"/>
      <c r="AB696" s="61" t="str">
        <f t="shared" si="93"/>
        <v/>
      </c>
      <c r="AC696" s="61" t="str">
        <f>IFERROR(IF(Z696-Z695&lt;=0,"",AB696/SQRT(Таблица_pr4[[#This Row],[Удельное сопротивление грунта, Ом·м]])),AB696/SQRT(Таблица_pr4[[#This Row],[Удельное сопротивление грунта, Ом·м]]))</f>
        <v/>
      </c>
      <c r="AE696" s="53"/>
      <c r="AF696" s="52"/>
      <c r="AG696" s="50"/>
      <c r="AH696" s="61" t="str">
        <f t="shared" si="89"/>
        <v/>
      </c>
      <c r="AI696" s="61" t="str">
        <f>IFERROR(IF(AF696-AF695&lt;=0,"",AH696/SQRT(Таблица_pr5[[#This Row],[Удельное сопротивление грунта, Ом·м]])),AH696/SQRT(Таблица_pr5[[#This Row],[Удельное сопротивление грунта, Ом·м]]))</f>
        <v/>
      </c>
      <c r="AK696" s="53"/>
      <c r="AL696" s="52"/>
      <c r="AM696" s="50"/>
      <c r="AN696" s="61" t="str">
        <f t="shared" si="94"/>
        <v/>
      </c>
      <c r="AO696" s="61" t="str">
        <f>IFERROR(IF(AL696-AL695&lt;=0,"",AN696/SQRT(Таблица_pr5[[#This Row],[Удельное сопротивление грунта, Ом·м]])),AN696/SQRT(Таблица_pr5[[#This Row],[Удельное сопротивление грунта, Ом·м]]))</f>
        <v/>
      </c>
      <c r="AQ696" s="53"/>
      <c r="AR696" s="52"/>
      <c r="AS696" s="50"/>
      <c r="AT696" s="61" t="str">
        <f t="shared" si="90"/>
        <v/>
      </c>
      <c r="AU696" s="61" t="str">
        <f>IFERROR(IF(AR696-AR695&lt;=0,"",AT696/SQRT(Таблица_pr7[[#This Row],[Удельное сопротивление грунта, Ом·м]])),AT696/SQRT(Таблица_pr7[[#This Row],[Удельное сопротивление грунта, Ом·м]]))</f>
        <v/>
      </c>
      <c r="AW696" s="53"/>
      <c r="AX696" s="52"/>
      <c r="AY696" s="50"/>
      <c r="AZ696" s="61" t="str">
        <f t="shared" si="95"/>
        <v/>
      </c>
      <c r="BA696" s="61" t="str">
        <f>IFERROR(IF(AX696-AX695&lt;=0,"",AZ696/SQRT(Таблица_pr8[[#This Row],[Удельное сопротивление грунта, Ом·м]])),AZ696/SQRT(Таблица_pr8[[#This Row],[Удельное сопротивление грунта, Ом·м]]))</f>
        <v/>
      </c>
      <c r="BC696" s="53"/>
      <c r="BD696" s="52"/>
      <c r="BE696" s="50"/>
      <c r="BF696" s="61" t="str">
        <f t="shared" si="91"/>
        <v/>
      </c>
      <c r="BG696" s="61" t="str">
        <f>IFERROR(IF(BD696-AX715&lt;=0,"",BF696/SQRT(Таблица_pr9[[#This Row],[Удельное сопротивление грунта, Ом·м]])),BF696/SQRT(Таблица_pr9[[#This Row],[Удельное сопротивление грунта, Ом·м]]))</f>
        <v/>
      </c>
      <c r="BI696" s="53"/>
      <c r="BJ696" s="52"/>
      <c r="BK696" s="50"/>
      <c r="BL696" s="61" t="str">
        <f t="shared" si="96"/>
        <v/>
      </c>
      <c r="BM696" s="61" t="str">
        <f>IFERROR(IF(BJ696-BD725&lt;=0,"",BL696/SQRT(Таблица_pr10[[#This Row],[Удельное сопротивление грунта, Ом·м]])),BL696/SQRT(Таблица_pr10[[#This Row],[Удельное сопротивление грунта, Ом·м]]))</f>
        <v/>
      </c>
    </row>
    <row r="697" spans="1:65">
      <c r="A697" s="51"/>
      <c r="B697" s="52"/>
      <c r="C697" s="50"/>
      <c r="D697" s="61" t="str">
        <f t="shared" si="86"/>
        <v/>
      </c>
      <c r="E697" s="61" t="str">
        <f>IFERROR(IF(B697-B696&lt;=0,"",D697/SQRT(Таблица_pr[[#This Row],[Удельное сопротивление грунта, Ом·м]])),D697/SQRT(Таблица_pr[[#This Row],[Удельное сопротивление грунта, Ом·м]]))</f>
        <v/>
      </c>
      <c r="G697" s="189"/>
      <c r="H697" s="185"/>
      <c r="I697" s="183"/>
      <c r="J697" s="180" t="str">
        <f t="shared" si="87"/>
        <v/>
      </c>
      <c r="K697" s="61" t="str">
        <f>IFERROR(IF(H697-H696&lt;=0,"",J697/SQRT(Таблица_pr1[[#This Row],[Удельное сопротивление грунта, Ом·м]])),J697/SQRT(Таблица_pr1[[#This Row],[Удельное сопротивление грунта, Ом·м]]))</f>
        <v/>
      </c>
      <c r="M697" s="51"/>
      <c r="N697" s="52"/>
      <c r="O697" s="50"/>
      <c r="P697" s="61" t="str">
        <f t="shared" si="92"/>
        <v/>
      </c>
      <c r="Q697" s="61" t="str">
        <f>IFERROR(IF(N697-N696&lt;=0,"",P697/SQRT(Таблица_pr2[[#This Row],[Удельное сопротивление грунта, Ом·м]])),P697/SQRT(Таблица_pr2[[#This Row],[Удельное сопротивление грунта, Ом·м]]))</f>
        <v/>
      </c>
      <c r="S697" s="51"/>
      <c r="T697" s="52"/>
      <c r="U697" s="50"/>
      <c r="V697" s="61" t="str">
        <f t="shared" si="88"/>
        <v/>
      </c>
      <c r="W697" s="61" t="str">
        <f>IFERROR(IF(T697-T696&lt;=0,"",V697/SQRT(Таблица_pr3[[#This Row],[Удельное сопротивление грунта, Ом·м]])),V697/SQRT(Таблица_pr3[[#This Row],[Удельное сопротивление грунта, Ом·м]]))</f>
        <v/>
      </c>
      <c r="Y697" s="51"/>
      <c r="Z697" s="52"/>
      <c r="AA697" s="50"/>
      <c r="AB697" s="61" t="str">
        <f t="shared" si="93"/>
        <v/>
      </c>
      <c r="AC697" s="61" t="str">
        <f>IFERROR(IF(Z697-Z696&lt;=0,"",AB697/SQRT(Таблица_pr4[[#This Row],[Удельное сопротивление грунта, Ом·м]])),AB697/SQRT(Таблица_pr4[[#This Row],[Удельное сопротивление грунта, Ом·м]]))</f>
        <v/>
      </c>
      <c r="AE697" s="51"/>
      <c r="AF697" s="52"/>
      <c r="AG697" s="50"/>
      <c r="AH697" s="61" t="str">
        <f t="shared" si="89"/>
        <v/>
      </c>
      <c r="AI697" s="61" t="str">
        <f>IFERROR(IF(AF697-AF696&lt;=0,"",AH697/SQRT(Таблица_pr5[[#This Row],[Удельное сопротивление грунта, Ом·м]])),AH697/SQRT(Таблица_pr5[[#This Row],[Удельное сопротивление грунта, Ом·м]]))</f>
        <v/>
      </c>
      <c r="AK697" s="51"/>
      <c r="AL697" s="52"/>
      <c r="AM697" s="50"/>
      <c r="AN697" s="61" t="str">
        <f t="shared" si="94"/>
        <v/>
      </c>
      <c r="AO697" s="61" t="str">
        <f>IFERROR(IF(AL697-AL696&lt;=0,"",AN697/SQRT(Таблица_pr5[[#This Row],[Удельное сопротивление грунта, Ом·м]])),AN697/SQRT(Таблица_pr5[[#This Row],[Удельное сопротивление грунта, Ом·м]]))</f>
        <v/>
      </c>
      <c r="AQ697" s="51"/>
      <c r="AR697" s="52"/>
      <c r="AS697" s="50"/>
      <c r="AT697" s="61" t="str">
        <f t="shared" si="90"/>
        <v/>
      </c>
      <c r="AU697" s="61" t="str">
        <f>IFERROR(IF(AR697-AR696&lt;=0,"",AT697/SQRT(Таблица_pr7[[#This Row],[Удельное сопротивление грунта, Ом·м]])),AT697/SQRT(Таблица_pr7[[#This Row],[Удельное сопротивление грунта, Ом·м]]))</f>
        <v/>
      </c>
      <c r="AW697" s="51"/>
      <c r="AX697" s="52"/>
      <c r="AY697" s="50"/>
      <c r="AZ697" s="61" t="str">
        <f t="shared" si="95"/>
        <v/>
      </c>
      <c r="BA697" s="61" t="str">
        <f>IFERROR(IF(AX697-AX696&lt;=0,"",AZ697/SQRT(Таблица_pr8[[#This Row],[Удельное сопротивление грунта, Ом·м]])),AZ697/SQRT(Таблица_pr8[[#This Row],[Удельное сопротивление грунта, Ом·м]]))</f>
        <v/>
      </c>
      <c r="BC697" s="51"/>
      <c r="BD697" s="52"/>
      <c r="BE697" s="50"/>
      <c r="BF697" s="61" t="str">
        <f t="shared" si="91"/>
        <v/>
      </c>
      <c r="BG697" s="61" t="str">
        <f>IFERROR(IF(BD697-AX716&lt;=0,"",BF697/SQRT(Таблица_pr9[[#This Row],[Удельное сопротивление грунта, Ом·м]])),BF697/SQRT(Таблица_pr9[[#This Row],[Удельное сопротивление грунта, Ом·м]]))</f>
        <v/>
      </c>
      <c r="BI697" s="51"/>
      <c r="BJ697" s="52"/>
      <c r="BK697" s="50"/>
      <c r="BL697" s="61" t="str">
        <f t="shared" si="96"/>
        <v/>
      </c>
      <c r="BM697" s="61" t="str">
        <f>IFERROR(IF(BJ697-BD726&lt;=0,"",BL697/SQRT(Таблица_pr10[[#This Row],[Удельное сопротивление грунта, Ом·м]])),BL697/SQRT(Таблица_pr10[[#This Row],[Удельное сопротивление грунта, Ом·м]]))</f>
        <v/>
      </c>
    </row>
    <row r="698" spans="1:65">
      <c r="A698" s="53"/>
      <c r="B698" s="52"/>
      <c r="C698" s="50"/>
      <c r="D698" s="61" t="str">
        <f t="shared" si="86"/>
        <v/>
      </c>
      <c r="E698" s="61" t="str">
        <f>IFERROR(IF(B698-B697&lt;=0,"",D698/SQRT(Таблица_pr[[#This Row],[Удельное сопротивление грунта, Ом·м]])),D698/SQRT(Таблица_pr[[#This Row],[Удельное сопротивление грунта, Ом·м]]))</f>
        <v/>
      </c>
      <c r="G698" s="188"/>
      <c r="H698" s="184"/>
      <c r="I698" s="182"/>
      <c r="J698" s="181" t="str">
        <f t="shared" si="87"/>
        <v/>
      </c>
      <c r="K698" s="61" t="str">
        <f>IFERROR(IF(H698-H697&lt;=0,"",J698/SQRT(Таблица_pr1[[#This Row],[Удельное сопротивление грунта, Ом·м]])),J698/SQRT(Таблица_pr1[[#This Row],[Удельное сопротивление грунта, Ом·м]]))</f>
        <v/>
      </c>
      <c r="M698" s="53"/>
      <c r="N698" s="52"/>
      <c r="O698" s="50"/>
      <c r="P698" s="61" t="str">
        <f t="shared" si="92"/>
        <v/>
      </c>
      <c r="Q698" s="61" t="str">
        <f>IFERROR(IF(N698-N697&lt;=0,"",P698/SQRT(Таблица_pr2[[#This Row],[Удельное сопротивление грунта, Ом·м]])),P698/SQRT(Таблица_pr2[[#This Row],[Удельное сопротивление грунта, Ом·м]]))</f>
        <v/>
      </c>
      <c r="S698" s="53"/>
      <c r="T698" s="52"/>
      <c r="U698" s="50"/>
      <c r="V698" s="61" t="str">
        <f t="shared" si="88"/>
        <v/>
      </c>
      <c r="W698" s="61" t="str">
        <f>IFERROR(IF(T698-T697&lt;=0,"",V698/SQRT(Таблица_pr3[[#This Row],[Удельное сопротивление грунта, Ом·м]])),V698/SQRT(Таблица_pr3[[#This Row],[Удельное сопротивление грунта, Ом·м]]))</f>
        <v/>
      </c>
      <c r="Y698" s="53"/>
      <c r="Z698" s="52"/>
      <c r="AA698" s="50"/>
      <c r="AB698" s="61" t="str">
        <f t="shared" si="93"/>
        <v/>
      </c>
      <c r="AC698" s="61" t="str">
        <f>IFERROR(IF(Z698-Z697&lt;=0,"",AB698/SQRT(Таблица_pr4[[#This Row],[Удельное сопротивление грунта, Ом·м]])),AB698/SQRT(Таблица_pr4[[#This Row],[Удельное сопротивление грунта, Ом·м]]))</f>
        <v/>
      </c>
      <c r="AE698" s="53"/>
      <c r="AF698" s="52"/>
      <c r="AG698" s="50"/>
      <c r="AH698" s="61" t="str">
        <f t="shared" si="89"/>
        <v/>
      </c>
      <c r="AI698" s="61" t="str">
        <f>IFERROR(IF(AF698-AF697&lt;=0,"",AH698/SQRT(Таблица_pr5[[#This Row],[Удельное сопротивление грунта, Ом·м]])),AH698/SQRT(Таблица_pr5[[#This Row],[Удельное сопротивление грунта, Ом·м]]))</f>
        <v/>
      </c>
      <c r="AK698" s="53"/>
      <c r="AL698" s="52"/>
      <c r="AM698" s="50"/>
      <c r="AN698" s="61" t="str">
        <f t="shared" si="94"/>
        <v/>
      </c>
      <c r="AO698" s="61" t="str">
        <f>IFERROR(IF(AL698-AL697&lt;=0,"",AN698/SQRT(Таблица_pr5[[#This Row],[Удельное сопротивление грунта, Ом·м]])),AN698/SQRT(Таблица_pr5[[#This Row],[Удельное сопротивление грунта, Ом·м]]))</f>
        <v/>
      </c>
      <c r="AQ698" s="53"/>
      <c r="AR698" s="52"/>
      <c r="AS698" s="50"/>
      <c r="AT698" s="61" t="str">
        <f t="shared" si="90"/>
        <v/>
      </c>
      <c r="AU698" s="61" t="str">
        <f>IFERROR(IF(AR698-AR697&lt;=0,"",AT698/SQRT(Таблица_pr7[[#This Row],[Удельное сопротивление грунта, Ом·м]])),AT698/SQRT(Таблица_pr7[[#This Row],[Удельное сопротивление грунта, Ом·м]]))</f>
        <v/>
      </c>
      <c r="AW698" s="53"/>
      <c r="AX698" s="52"/>
      <c r="AY698" s="50"/>
      <c r="AZ698" s="61" t="str">
        <f t="shared" si="95"/>
        <v/>
      </c>
      <c r="BA698" s="61" t="str">
        <f>IFERROR(IF(AX698-AX697&lt;=0,"",AZ698/SQRT(Таблица_pr8[[#This Row],[Удельное сопротивление грунта, Ом·м]])),AZ698/SQRT(Таблица_pr8[[#This Row],[Удельное сопротивление грунта, Ом·м]]))</f>
        <v/>
      </c>
      <c r="BC698" s="53"/>
      <c r="BD698" s="52"/>
      <c r="BE698" s="50"/>
      <c r="BF698" s="61" t="str">
        <f t="shared" si="91"/>
        <v/>
      </c>
      <c r="BG698" s="61" t="str">
        <f>IFERROR(IF(BD698-AX717&lt;=0,"",BF698/SQRT(Таблица_pr9[[#This Row],[Удельное сопротивление грунта, Ом·м]])),BF698/SQRT(Таблица_pr9[[#This Row],[Удельное сопротивление грунта, Ом·м]]))</f>
        <v/>
      </c>
      <c r="BI698" s="53"/>
      <c r="BJ698" s="52"/>
      <c r="BK698" s="50"/>
      <c r="BL698" s="61" t="str">
        <f t="shared" si="96"/>
        <v/>
      </c>
      <c r="BM698" s="61" t="str">
        <f>IFERROR(IF(BJ698-BD727&lt;=0,"",BL698/SQRT(Таблица_pr10[[#This Row],[Удельное сопротивление грунта, Ом·м]])),BL698/SQRT(Таблица_pr10[[#This Row],[Удельное сопротивление грунта, Ом·м]]))</f>
        <v/>
      </c>
    </row>
    <row r="699" spans="1:65">
      <c r="A699" s="51"/>
      <c r="B699" s="52"/>
      <c r="C699" s="50"/>
      <c r="D699" s="61" t="str">
        <f t="shared" si="86"/>
        <v/>
      </c>
      <c r="E699" s="61" t="str">
        <f>IFERROR(IF(B699-B698&lt;=0,"",D699/SQRT(Таблица_pr[[#This Row],[Удельное сопротивление грунта, Ом·м]])),D699/SQRT(Таблица_pr[[#This Row],[Удельное сопротивление грунта, Ом·м]]))</f>
        <v/>
      </c>
      <c r="G699" s="189"/>
      <c r="H699" s="185"/>
      <c r="I699" s="183"/>
      <c r="J699" s="180" t="str">
        <f t="shared" si="87"/>
        <v/>
      </c>
      <c r="K699" s="61" t="str">
        <f>IFERROR(IF(H699-H698&lt;=0,"",J699/SQRT(Таблица_pr1[[#This Row],[Удельное сопротивление грунта, Ом·м]])),J699/SQRT(Таблица_pr1[[#This Row],[Удельное сопротивление грунта, Ом·м]]))</f>
        <v/>
      </c>
      <c r="M699" s="51"/>
      <c r="N699" s="52"/>
      <c r="O699" s="50"/>
      <c r="P699" s="61" t="str">
        <f t="shared" si="92"/>
        <v/>
      </c>
      <c r="Q699" s="61" t="str">
        <f>IFERROR(IF(N699-N698&lt;=0,"",P699/SQRT(Таблица_pr2[[#This Row],[Удельное сопротивление грунта, Ом·м]])),P699/SQRT(Таблица_pr2[[#This Row],[Удельное сопротивление грунта, Ом·м]]))</f>
        <v/>
      </c>
      <c r="S699" s="51"/>
      <c r="T699" s="52"/>
      <c r="U699" s="50"/>
      <c r="V699" s="61" t="str">
        <f t="shared" si="88"/>
        <v/>
      </c>
      <c r="W699" s="61" t="str">
        <f>IFERROR(IF(T699-T698&lt;=0,"",V699/SQRT(Таблица_pr3[[#This Row],[Удельное сопротивление грунта, Ом·м]])),V699/SQRT(Таблица_pr3[[#This Row],[Удельное сопротивление грунта, Ом·м]]))</f>
        <v/>
      </c>
      <c r="Y699" s="51"/>
      <c r="Z699" s="52"/>
      <c r="AA699" s="50"/>
      <c r="AB699" s="61" t="str">
        <f t="shared" si="93"/>
        <v/>
      </c>
      <c r="AC699" s="61" t="str">
        <f>IFERROR(IF(Z699-Z698&lt;=0,"",AB699/SQRT(Таблица_pr4[[#This Row],[Удельное сопротивление грунта, Ом·м]])),AB699/SQRT(Таблица_pr4[[#This Row],[Удельное сопротивление грунта, Ом·м]]))</f>
        <v/>
      </c>
      <c r="AE699" s="51"/>
      <c r="AF699" s="52"/>
      <c r="AG699" s="50"/>
      <c r="AH699" s="61" t="str">
        <f t="shared" si="89"/>
        <v/>
      </c>
      <c r="AI699" s="61" t="str">
        <f>IFERROR(IF(AF699-AF698&lt;=0,"",AH699/SQRT(Таблица_pr5[[#This Row],[Удельное сопротивление грунта, Ом·м]])),AH699/SQRT(Таблица_pr5[[#This Row],[Удельное сопротивление грунта, Ом·м]]))</f>
        <v/>
      </c>
      <c r="AK699" s="51"/>
      <c r="AL699" s="52"/>
      <c r="AM699" s="50"/>
      <c r="AN699" s="61" t="str">
        <f t="shared" si="94"/>
        <v/>
      </c>
      <c r="AO699" s="61" t="str">
        <f>IFERROR(IF(AL699-AL698&lt;=0,"",AN699/SQRT(Таблица_pr5[[#This Row],[Удельное сопротивление грунта, Ом·м]])),AN699/SQRT(Таблица_pr5[[#This Row],[Удельное сопротивление грунта, Ом·м]]))</f>
        <v/>
      </c>
      <c r="AQ699" s="51"/>
      <c r="AR699" s="52"/>
      <c r="AS699" s="50"/>
      <c r="AT699" s="61" t="str">
        <f t="shared" si="90"/>
        <v/>
      </c>
      <c r="AU699" s="61" t="str">
        <f>IFERROR(IF(AR699-AR698&lt;=0,"",AT699/SQRT(Таблица_pr7[[#This Row],[Удельное сопротивление грунта, Ом·м]])),AT699/SQRT(Таблица_pr7[[#This Row],[Удельное сопротивление грунта, Ом·м]]))</f>
        <v/>
      </c>
      <c r="AW699" s="51"/>
      <c r="AX699" s="52"/>
      <c r="AY699" s="50"/>
      <c r="AZ699" s="61" t="str">
        <f t="shared" si="95"/>
        <v/>
      </c>
      <c r="BA699" s="61" t="str">
        <f>IFERROR(IF(AX699-AX698&lt;=0,"",AZ699/SQRT(Таблица_pr8[[#This Row],[Удельное сопротивление грунта, Ом·м]])),AZ699/SQRT(Таблица_pr8[[#This Row],[Удельное сопротивление грунта, Ом·м]]))</f>
        <v/>
      </c>
      <c r="BC699" s="51"/>
      <c r="BD699" s="52"/>
      <c r="BE699" s="50"/>
      <c r="BF699" s="61" t="str">
        <f t="shared" si="91"/>
        <v/>
      </c>
      <c r="BG699" s="61" t="str">
        <f>IFERROR(IF(BD699-AX718&lt;=0,"",BF699/SQRT(Таблица_pr9[[#This Row],[Удельное сопротивление грунта, Ом·м]])),BF699/SQRT(Таблица_pr9[[#This Row],[Удельное сопротивление грунта, Ом·м]]))</f>
        <v/>
      </c>
      <c r="BI699" s="51"/>
      <c r="BJ699" s="52"/>
      <c r="BK699" s="50"/>
      <c r="BL699" s="61" t="str">
        <f t="shared" si="96"/>
        <v/>
      </c>
      <c r="BM699" s="61" t="str">
        <f>IFERROR(IF(BJ699-BD728&lt;=0,"",BL699/SQRT(Таблица_pr10[[#This Row],[Удельное сопротивление грунта, Ом·м]])),BL699/SQRT(Таблица_pr10[[#This Row],[Удельное сопротивление грунта, Ом·м]]))</f>
        <v/>
      </c>
    </row>
    <row r="700" spans="1:65">
      <c r="A700" s="53"/>
      <c r="B700" s="52"/>
      <c r="C700" s="50"/>
      <c r="D700" s="61" t="str">
        <f t="shared" si="86"/>
        <v/>
      </c>
      <c r="E700" s="61" t="str">
        <f>IFERROR(IF(B700-B699&lt;=0,"",D700/SQRT(Таблица_pr[[#This Row],[Удельное сопротивление грунта, Ом·м]])),D700/SQRT(Таблица_pr[[#This Row],[Удельное сопротивление грунта, Ом·м]]))</f>
        <v/>
      </c>
      <c r="G700" s="188"/>
      <c r="H700" s="184"/>
      <c r="I700" s="182"/>
      <c r="J700" s="181" t="str">
        <f t="shared" si="87"/>
        <v/>
      </c>
      <c r="K700" s="61" t="str">
        <f>IFERROR(IF(H700-H699&lt;=0,"",J700/SQRT(Таблица_pr1[[#This Row],[Удельное сопротивление грунта, Ом·м]])),J700/SQRT(Таблица_pr1[[#This Row],[Удельное сопротивление грунта, Ом·м]]))</f>
        <v/>
      </c>
      <c r="M700" s="53"/>
      <c r="N700" s="52"/>
      <c r="O700" s="50"/>
      <c r="P700" s="61" t="str">
        <f t="shared" si="92"/>
        <v/>
      </c>
      <c r="Q700" s="61" t="str">
        <f>IFERROR(IF(N700-N699&lt;=0,"",P700/SQRT(Таблица_pr2[[#This Row],[Удельное сопротивление грунта, Ом·м]])),P700/SQRT(Таблица_pr2[[#This Row],[Удельное сопротивление грунта, Ом·м]]))</f>
        <v/>
      </c>
      <c r="S700" s="53"/>
      <c r="T700" s="52"/>
      <c r="U700" s="50"/>
      <c r="V700" s="61" t="str">
        <f t="shared" si="88"/>
        <v/>
      </c>
      <c r="W700" s="61" t="str">
        <f>IFERROR(IF(T700-T699&lt;=0,"",V700/SQRT(Таблица_pr3[[#This Row],[Удельное сопротивление грунта, Ом·м]])),V700/SQRT(Таблица_pr3[[#This Row],[Удельное сопротивление грунта, Ом·м]]))</f>
        <v/>
      </c>
      <c r="Y700" s="53"/>
      <c r="Z700" s="52"/>
      <c r="AA700" s="50"/>
      <c r="AB700" s="61" t="str">
        <f t="shared" si="93"/>
        <v/>
      </c>
      <c r="AC700" s="61" t="str">
        <f>IFERROR(IF(Z700-Z699&lt;=0,"",AB700/SQRT(Таблица_pr4[[#This Row],[Удельное сопротивление грунта, Ом·м]])),AB700/SQRT(Таблица_pr4[[#This Row],[Удельное сопротивление грунта, Ом·м]]))</f>
        <v/>
      </c>
      <c r="AE700" s="53"/>
      <c r="AF700" s="52"/>
      <c r="AG700" s="50"/>
      <c r="AH700" s="61" t="str">
        <f t="shared" si="89"/>
        <v/>
      </c>
      <c r="AI700" s="61" t="str">
        <f>IFERROR(IF(AF700-AF699&lt;=0,"",AH700/SQRT(Таблица_pr5[[#This Row],[Удельное сопротивление грунта, Ом·м]])),AH700/SQRT(Таблица_pr5[[#This Row],[Удельное сопротивление грунта, Ом·м]]))</f>
        <v/>
      </c>
      <c r="AK700" s="53"/>
      <c r="AL700" s="52"/>
      <c r="AM700" s="50"/>
      <c r="AN700" s="61" t="str">
        <f t="shared" si="94"/>
        <v/>
      </c>
      <c r="AO700" s="61" t="str">
        <f>IFERROR(IF(AL700-AL699&lt;=0,"",AN700/SQRT(Таблица_pr5[[#This Row],[Удельное сопротивление грунта, Ом·м]])),AN700/SQRT(Таблица_pr5[[#This Row],[Удельное сопротивление грунта, Ом·м]]))</f>
        <v/>
      </c>
      <c r="AQ700" s="53"/>
      <c r="AR700" s="52"/>
      <c r="AS700" s="50"/>
      <c r="AT700" s="61" t="str">
        <f t="shared" si="90"/>
        <v/>
      </c>
      <c r="AU700" s="61" t="str">
        <f>IFERROR(IF(AR700-AR699&lt;=0,"",AT700/SQRT(Таблица_pr7[[#This Row],[Удельное сопротивление грунта, Ом·м]])),AT700/SQRT(Таблица_pr7[[#This Row],[Удельное сопротивление грунта, Ом·м]]))</f>
        <v/>
      </c>
      <c r="AW700" s="53"/>
      <c r="AX700" s="52"/>
      <c r="AY700" s="50"/>
      <c r="AZ700" s="61" t="str">
        <f t="shared" si="95"/>
        <v/>
      </c>
      <c r="BA700" s="61" t="str">
        <f>IFERROR(IF(AX700-AX699&lt;=0,"",AZ700/SQRT(Таблица_pr8[[#This Row],[Удельное сопротивление грунта, Ом·м]])),AZ700/SQRT(Таблица_pr8[[#This Row],[Удельное сопротивление грунта, Ом·м]]))</f>
        <v/>
      </c>
      <c r="BC700" s="53"/>
      <c r="BD700" s="52"/>
      <c r="BE700" s="50"/>
      <c r="BF700" s="61" t="str">
        <f t="shared" si="91"/>
        <v/>
      </c>
      <c r="BG700" s="61" t="str">
        <f>IFERROR(IF(BD700-AX719&lt;=0,"",BF700/SQRT(Таблица_pr9[[#This Row],[Удельное сопротивление грунта, Ом·м]])),BF700/SQRT(Таблица_pr9[[#This Row],[Удельное сопротивление грунта, Ом·м]]))</f>
        <v/>
      </c>
      <c r="BI700" s="53"/>
      <c r="BJ700" s="52"/>
      <c r="BK700" s="50"/>
      <c r="BL700" s="61" t="str">
        <f t="shared" si="96"/>
        <v/>
      </c>
      <c r="BM700" s="61" t="str">
        <f>IFERROR(IF(BJ700-BD729&lt;=0,"",BL700/SQRT(Таблица_pr10[[#This Row],[Удельное сопротивление грунта, Ом·м]])),BL700/SQRT(Таблица_pr10[[#This Row],[Удельное сопротивление грунта, Ом·м]]))</f>
        <v/>
      </c>
    </row>
    <row r="701" spans="1:65">
      <c r="A701" s="51"/>
      <c r="B701" s="52"/>
      <c r="C701" s="50"/>
      <c r="D701" s="61" t="str">
        <f t="shared" si="86"/>
        <v/>
      </c>
      <c r="E701" s="61" t="str">
        <f>IFERROR(IF(B701-B700&lt;=0,"",D701/SQRT(Таблица_pr[[#This Row],[Удельное сопротивление грунта, Ом·м]])),D701/SQRT(Таблица_pr[[#This Row],[Удельное сопротивление грунта, Ом·м]]))</f>
        <v/>
      </c>
      <c r="G701" s="189"/>
      <c r="H701" s="185"/>
      <c r="I701" s="183"/>
      <c r="J701" s="180" t="str">
        <f t="shared" si="87"/>
        <v/>
      </c>
      <c r="K701" s="61" t="str">
        <f>IFERROR(IF(H701-H700&lt;=0,"",J701/SQRT(Таблица_pr1[[#This Row],[Удельное сопротивление грунта, Ом·м]])),J701/SQRT(Таблица_pr1[[#This Row],[Удельное сопротивление грунта, Ом·м]]))</f>
        <v/>
      </c>
      <c r="M701" s="51"/>
      <c r="N701" s="52"/>
      <c r="O701" s="50"/>
      <c r="P701" s="61" t="str">
        <f t="shared" si="92"/>
        <v/>
      </c>
      <c r="Q701" s="61" t="str">
        <f>IFERROR(IF(N701-N700&lt;=0,"",P701/SQRT(Таблица_pr2[[#This Row],[Удельное сопротивление грунта, Ом·м]])),P701/SQRT(Таблица_pr2[[#This Row],[Удельное сопротивление грунта, Ом·м]]))</f>
        <v/>
      </c>
      <c r="S701" s="51"/>
      <c r="T701" s="52"/>
      <c r="U701" s="50"/>
      <c r="V701" s="61" t="str">
        <f t="shared" si="88"/>
        <v/>
      </c>
      <c r="W701" s="61" t="str">
        <f>IFERROR(IF(T701-T700&lt;=0,"",V701/SQRT(Таблица_pr3[[#This Row],[Удельное сопротивление грунта, Ом·м]])),V701/SQRT(Таблица_pr3[[#This Row],[Удельное сопротивление грунта, Ом·м]]))</f>
        <v/>
      </c>
      <c r="Y701" s="51"/>
      <c r="Z701" s="52"/>
      <c r="AA701" s="50"/>
      <c r="AB701" s="61" t="str">
        <f t="shared" si="93"/>
        <v/>
      </c>
      <c r="AC701" s="61" t="str">
        <f>IFERROR(IF(Z701-Z700&lt;=0,"",AB701/SQRT(Таблица_pr4[[#This Row],[Удельное сопротивление грунта, Ом·м]])),AB701/SQRT(Таблица_pr4[[#This Row],[Удельное сопротивление грунта, Ом·м]]))</f>
        <v/>
      </c>
      <c r="AE701" s="51"/>
      <c r="AF701" s="52"/>
      <c r="AG701" s="50"/>
      <c r="AH701" s="61" t="str">
        <f t="shared" si="89"/>
        <v/>
      </c>
      <c r="AI701" s="61" t="str">
        <f>IFERROR(IF(AF701-AF700&lt;=0,"",AH701/SQRT(Таблица_pr5[[#This Row],[Удельное сопротивление грунта, Ом·м]])),AH701/SQRT(Таблица_pr5[[#This Row],[Удельное сопротивление грунта, Ом·м]]))</f>
        <v/>
      </c>
      <c r="AK701" s="51"/>
      <c r="AL701" s="52"/>
      <c r="AM701" s="50"/>
      <c r="AN701" s="61" t="str">
        <f t="shared" si="94"/>
        <v/>
      </c>
      <c r="AO701" s="61" t="str">
        <f>IFERROR(IF(AL701-AL700&lt;=0,"",AN701/SQRT(Таблица_pr5[[#This Row],[Удельное сопротивление грунта, Ом·м]])),AN701/SQRT(Таблица_pr5[[#This Row],[Удельное сопротивление грунта, Ом·м]]))</f>
        <v/>
      </c>
      <c r="AQ701" s="51"/>
      <c r="AR701" s="52"/>
      <c r="AS701" s="50"/>
      <c r="AT701" s="61" t="str">
        <f t="shared" si="90"/>
        <v/>
      </c>
      <c r="AU701" s="61" t="str">
        <f>IFERROR(IF(AR701-AR700&lt;=0,"",AT701/SQRT(Таблица_pr7[[#This Row],[Удельное сопротивление грунта, Ом·м]])),AT701/SQRT(Таблица_pr7[[#This Row],[Удельное сопротивление грунта, Ом·м]]))</f>
        <v/>
      </c>
      <c r="AW701" s="51"/>
      <c r="AX701" s="52"/>
      <c r="AY701" s="50"/>
      <c r="AZ701" s="61" t="str">
        <f t="shared" si="95"/>
        <v/>
      </c>
      <c r="BA701" s="61" t="str">
        <f>IFERROR(IF(AX701-AX700&lt;=0,"",AZ701/SQRT(Таблица_pr8[[#This Row],[Удельное сопротивление грунта, Ом·м]])),AZ701/SQRT(Таблица_pr8[[#This Row],[Удельное сопротивление грунта, Ом·м]]))</f>
        <v/>
      </c>
      <c r="BC701" s="51"/>
      <c r="BD701" s="52"/>
      <c r="BE701" s="50"/>
      <c r="BF701" s="61" t="str">
        <f t="shared" si="91"/>
        <v/>
      </c>
      <c r="BG701" s="61" t="str">
        <f>IFERROR(IF(BD701-AX720&lt;=0,"",BF701/SQRT(Таблица_pr9[[#This Row],[Удельное сопротивление грунта, Ом·м]])),BF701/SQRT(Таблица_pr9[[#This Row],[Удельное сопротивление грунта, Ом·м]]))</f>
        <v/>
      </c>
      <c r="BI701" s="51"/>
      <c r="BJ701" s="52"/>
      <c r="BK701" s="50"/>
      <c r="BL701" s="61" t="str">
        <f t="shared" si="96"/>
        <v/>
      </c>
      <c r="BM701" s="61" t="str">
        <f>IFERROR(IF(BJ701-BD730&lt;=0,"",BL701/SQRT(Таблица_pr10[[#This Row],[Удельное сопротивление грунта, Ом·м]])),BL701/SQRT(Таблица_pr10[[#This Row],[Удельное сопротивление грунта, Ом·м]]))</f>
        <v/>
      </c>
    </row>
    <row r="702" spans="1:65">
      <c r="A702" s="53"/>
      <c r="B702" s="52"/>
      <c r="C702" s="50"/>
      <c r="D702" s="61" t="str">
        <f t="shared" si="86"/>
        <v/>
      </c>
      <c r="E702" s="61" t="str">
        <f>IFERROR(IF(B702-B701&lt;=0,"",D702/SQRT(Таблица_pr[[#This Row],[Удельное сопротивление грунта, Ом·м]])),D702/SQRT(Таблица_pr[[#This Row],[Удельное сопротивление грунта, Ом·м]]))</f>
        <v/>
      </c>
      <c r="G702" s="188"/>
      <c r="H702" s="184"/>
      <c r="I702" s="182"/>
      <c r="J702" s="181" t="str">
        <f t="shared" si="87"/>
        <v/>
      </c>
      <c r="K702" s="61" t="str">
        <f>IFERROR(IF(H702-H701&lt;=0,"",J702/SQRT(Таблица_pr1[[#This Row],[Удельное сопротивление грунта, Ом·м]])),J702/SQRT(Таблица_pr1[[#This Row],[Удельное сопротивление грунта, Ом·м]]))</f>
        <v/>
      </c>
      <c r="M702" s="53"/>
      <c r="N702" s="52"/>
      <c r="O702" s="50"/>
      <c r="P702" s="61" t="str">
        <f t="shared" si="92"/>
        <v/>
      </c>
      <c r="Q702" s="61" t="str">
        <f>IFERROR(IF(N702-N701&lt;=0,"",P702/SQRT(Таблица_pr2[[#This Row],[Удельное сопротивление грунта, Ом·м]])),P702/SQRT(Таблица_pr2[[#This Row],[Удельное сопротивление грунта, Ом·м]]))</f>
        <v/>
      </c>
      <c r="S702" s="53"/>
      <c r="T702" s="52"/>
      <c r="U702" s="50"/>
      <c r="V702" s="61" t="str">
        <f t="shared" si="88"/>
        <v/>
      </c>
      <c r="W702" s="61" t="str">
        <f>IFERROR(IF(T702-T701&lt;=0,"",V702/SQRT(Таблица_pr3[[#This Row],[Удельное сопротивление грунта, Ом·м]])),V702/SQRT(Таблица_pr3[[#This Row],[Удельное сопротивление грунта, Ом·м]]))</f>
        <v/>
      </c>
      <c r="Y702" s="53"/>
      <c r="Z702" s="52"/>
      <c r="AA702" s="50"/>
      <c r="AB702" s="61" t="str">
        <f t="shared" si="93"/>
        <v/>
      </c>
      <c r="AC702" s="61" t="str">
        <f>IFERROR(IF(Z702-Z701&lt;=0,"",AB702/SQRT(Таблица_pr4[[#This Row],[Удельное сопротивление грунта, Ом·м]])),AB702/SQRT(Таблица_pr4[[#This Row],[Удельное сопротивление грунта, Ом·м]]))</f>
        <v/>
      </c>
      <c r="AE702" s="53"/>
      <c r="AF702" s="52"/>
      <c r="AG702" s="50"/>
      <c r="AH702" s="61" t="str">
        <f t="shared" si="89"/>
        <v/>
      </c>
      <c r="AI702" s="61" t="str">
        <f>IFERROR(IF(AF702-AF701&lt;=0,"",AH702/SQRT(Таблица_pr5[[#This Row],[Удельное сопротивление грунта, Ом·м]])),AH702/SQRT(Таблица_pr5[[#This Row],[Удельное сопротивление грунта, Ом·м]]))</f>
        <v/>
      </c>
      <c r="AK702" s="53"/>
      <c r="AL702" s="52"/>
      <c r="AM702" s="50"/>
      <c r="AN702" s="61" t="str">
        <f t="shared" si="94"/>
        <v/>
      </c>
      <c r="AO702" s="61" t="str">
        <f>IFERROR(IF(AL702-AL701&lt;=0,"",AN702/SQRT(Таблица_pr5[[#This Row],[Удельное сопротивление грунта, Ом·м]])),AN702/SQRT(Таблица_pr5[[#This Row],[Удельное сопротивление грунта, Ом·м]]))</f>
        <v/>
      </c>
      <c r="AQ702" s="53"/>
      <c r="AR702" s="52"/>
      <c r="AS702" s="50"/>
      <c r="AT702" s="61" t="str">
        <f t="shared" si="90"/>
        <v/>
      </c>
      <c r="AU702" s="61" t="str">
        <f>IFERROR(IF(AR702-AR701&lt;=0,"",AT702/SQRT(Таблица_pr7[[#This Row],[Удельное сопротивление грунта, Ом·м]])),AT702/SQRT(Таблица_pr7[[#This Row],[Удельное сопротивление грунта, Ом·м]]))</f>
        <v/>
      </c>
      <c r="AW702" s="53"/>
      <c r="AX702" s="52"/>
      <c r="AY702" s="50"/>
      <c r="AZ702" s="61" t="str">
        <f t="shared" si="95"/>
        <v/>
      </c>
      <c r="BA702" s="61" t="str">
        <f>IFERROR(IF(AX702-AX701&lt;=0,"",AZ702/SQRT(Таблица_pr8[[#This Row],[Удельное сопротивление грунта, Ом·м]])),AZ702/SQRT(Таблица_pr8[[#This Row],[Удельное сопротивление грунта, Ом·м]]))</f>
        <v/>
      </c>
      <c r="BC702" s="53"/>
      <c r="BD702" s="52"/>
      <c r="BE702" s="50"/>
      <c r="BF702" s="61" t="str">
        <f t="shared" si="91"/>
        <v/>
      </c>
      <c r="BG702" s="61" t="str">
        <f>IFERROR(IF(BD702-AX721&lt;=0,"",BF702/SQRT(Таблица_pr9[[#This Row],[Удельное сопротивление грунта, Ом·м]])),BF702/SQRT(Таблица_pr9[[#This Row],[Удельное сопротивление грунта, Ом·м]]))</f>
        <v/>
      </c>
      <c r="BI702" s="53"/>
      <c r="BJ702" s="52"/>
      <c r="BK702" s="50"/>
      <c r="BL702" s="61" t="str">
        <f t="shared" si="96"/>
        <v/>
      </c>
      <c r="BM702" s="61" t="str">
        <f>IFERROR(IF(BJ702-BD731&lt;=0,"",BL702/SQRT(Таблица_pr10[[#This Row],[Удельное сопротивление грунта, Ом·м]])),BL702/SQRT(Таблица_pr10[[#This Row],[Удельное сопротивление грунта, Ом·м]]))</f>
        <v/>
      </c>
    </row>
    <row r="703" spans="1:65">
      <c r="A703" s="51"/>
      <c r="B703" s="52"/>
      <c r="C703" s="50"/>
      <c r="D703" s="61" t="str">
        <f t="shared" si="86"/>
        <v/>
      </c>
      <c r="E703" s="61" t="str">
        <f>IFERROR(IF(B703-B702&lt;=0,"",D703/SQRT(Таблица_pr[[#This Row],[Удельное сопротивление грунта, Ом·м]])),D703/SQRT(Таблица_pr[[#This Row],[Удельное сопротивление грунта, Ом·м]]))</f>
        <v/>
      </c>
      <c r="G703" s="189"/>
      <c r="H703" s="185"/>
      <c r="I703" s="183"/>
      <c r="J703" s="180" t="str">
        <f t="shared" si="87"/>
        <v/>
      </c>
      <c r="K703" s="61" t="str">
        <f>IFERROR(IF(H703-H702&lt;=0,"",J703/SQRT(Таблица_pr1[[#This Row],[Удельное сопротивление грунта, Ом·м]])),J703/SQRT(Таблица_pr1[[#This Row],[Удельное сопротивление грунта, Ом·м]]))</f>
        <v/>
      </c>
      <c r="M703" s="51"/>
      <c r="N703" s="52"/>
      <c r="O703" s="50"/>
      <c r="P703" s="61" t="str">
        <f t="shared" si="92"/>
        <v/>
      </c>
      <c r="Q703" s="61" t="str">
        <f>IFERROR(IF(N703-N702&lt;=0,"",P703/SQRT(Таблица_pr2[[#This Row],[Удельное сопротивление грунта, Ом·м]])),P703/SQRT(Таблица_pr2[[#This Row],[Удельное сопротивление грунта, Ом·м]]))</f>
        <v/>
      </c>
      <c r="S703" s="51"/>
      <c r="T703" s="52"/>
      <c r="U703" s="50"/>
      <c r="V703" s="61" t="str">
        <f t="shared" si="88"/>
        <v/>
      </c>
      <c r="W703" s="61" t="str">
        <f>IFERROR(IF(T703-T702&lt;=0,"",V703/SQRT(Таблица_pr3[[#This Row],[Удельное сопротивление грунта, Ом·м]])),V703/SQRT(Таблица_pr3[[#This Row],[Удельное сопротивление грунта, Ом·м]]))</f>
        <v/>
      </c>
      <c r="Y703" s="51"/>
      <c r="Z703" s="52"/>
      <c r="AA703" s="50"/>
      <c r="AB703" s="61" t="str">
        <f t="shared" si="93"/>
        <v/>
      </c>
      <c r="AC703" s="61" t="str">
        <f>IFERROR(IF(Z703-Z702&lt;=0,"",AB703/SQRT(Таблица_pr4[[#This Row],[Удельное сопротивление грунта, Ом·м]])),AB703/SQRT(Таблица_pr4[[#This Row],[Удельное сопротивление грунта, Ом·м]]))</f>
        <v/>
      </c>
      <c r="AE703" s="51"/>
      <c r="AF703" s="52"/>
      <c r="AG703" s="50"/>
      <c r="AH703" s="61" t="str">
        <f t="shared" si="89"/>
        <v/>
      </c>
      <c r="AI703" s="61" t="str">
        <f>IFERROR(IF(AF703-AF702&lt;=0,"",AH703/SQRT(Таблица_pr5[[#This Row],[Удельное сопротивление грунта, Ом·м]])),AH703/SQRT(Таблица_pr5[[#This Row],[Удельное сопротивление грунта, Ом·м]]))</f>
        <v/>
      </c>
      <c r="AK703" s="51"/>
      <c r="AL703" s="52"/>
      <c r="AM703" s="50"/>
      <c r="AN703" s="61" t="str">
        <f t="shared" si="94"/>
        <v/>
      </c>
      <c r="AO703" s="61" t="str">
        <f>IFERROR(IF(AL703-AL702&lt;=0,"",AN703/SQRT(Таблица_pr5[[#This Row],[Удельное сопротивление грунта, Ом·м]])),AN703/SQRT(Таблица_pr5[[#This Row],[Удельное сопротивление грунта, Ом·м]]))</f>
        <v/>
      </c>
      <c r="AQ703" s="51"/>
      <c r="AR703" s="52"/>
      <c r="AS703" s="50"/>
      <c r="AT703" s="61" t="str">
        <f t="shared" si="90"/>
        <v/>
      </c>
      <c r="AU703" s="61" t="str">
        <f>IFERROR(IF(AR703-AR702&lt;=0,"",AT703/SQRT(Таблица_pr7[[#This Row],[Удельное сопротивление грунта, Ом·м]])),AT703/SQRT(Таблица_pr7[[#This Row],[Удельное сопротивление грунта, Ом·м]]))</f>
        <v/>
      </c>
      <c r="AW703" s="51"/>
      <c r="AX703" s="52"/>
      <c r="AY703" s="50"/>
      <c r="AZ703" s="61" t="str">
        <f t="shared" si="95"/>
        <v/>
      </c>
      <c r="BA703" s="61" t="str">
        <f>IFERROR(IF(AX703-AX702&lt;=0,"",AZ703/SQRT(Таблица_pr8[[#This Row],[Удельное сопротивление грунта, Ом·м]])),AZ703/SQRT(Таблица_pr8[[#This Row],[Удельное сопротивление грунта, Ом·м]]))</f>
        <v/>
      </c>
      <c r="BC703" s="51"/>
      <c r="BD703" s="52"/>
      <c r="BE703" s="50"/>
      <c r="BF703" s="61" t="str">
        <f t="shared" si="91"/>
        <v/>
      </c>
      <c r="BG703" s="61" t="str">
        <f>IFERROR(IF(BD703-AX722&lt;=0,"",BF703/SQRT(Таблица_pr9[[#This Row],[Удельное сопротивление грунта, Ом·м]])),BF703/SQRT(Таблица_pr9[[#This Row],[Удельное сопротивление грунта, Ом·м]]))</f>
        <v/>
      </c>
      <c r="BI703" s="51"/>
      <c r="BJ703" s="52"/>
      <c r="BK703" s="50"/>
      <c r="BL703" s="61" t="str">
        <f t="shared" si="96"/>
        <v/>
      </c>
      <c r="BM703" s="61" t="str">
        <f>IFERROR(IF(BJ703-BD732&lt;=0,"",BL703/SQRT(Таблица_pr10[[#This Row],[Удельное сопротивление грунта, Ом·м]])),BL703/SQRT(Таблица_pr10[[#This Row],[Удельное сопротивление грунта, Ом·м]]))</f>
        <v/>
      </c>
    </row>
    <row r="704" spans="1:65">
      <c r="A704" s="53"/>
      <c r="B704" s="52"/>
      <c r="C704" s="50"/>
      <c r="D704" s="61" t="str">
        <f t="shared" ref="D704:D715" si="97">IFERROR(IF(B704-B703&lt;=0,"",(B704-B703)*1000),100)</f>
        <v/>
      </c>
      <c r="E704" s="61" t="str">
        <f>IFERROR(IF(B704-B703&lt;=0,"",D704/SQRT(Таблица_pr[[#This Row],[Удельное сопротивление грунта, Ом·м]])),D704/SQRT(Таблица_pr[[#This Row],[Удельное сопротивление грунта, Ом·м]]))</f>
        <v/>
      </c>
      <c r="G704" s="188"/>
      <c r="H704" s="184"/>
      <c r="I704" s="182"/>
      <c r="J704" s="181" t="str">
        <f t="shared" ref="J704:J715" si="98">IFERROR(IF(H704-H703&lt;=0,"",(H704-H703)*1000),100)</f>
        <v/>
      </c>
      <c r="K704" s="61" t="str">
        <f>IFERROR(IF(H704-H703&lt;=0,"",J704/SQRT(Таблица_pr1[[#This Row],[Удельное сопротивление грунта, Ом·м]])),J704/SQRT(Таблица_pr1[[#This Row],[Удельное сопротивление грунта, Ом·м]]))</f>
        <v/>
      </c>
      <c r="M704" s="53"/>
      <c r="N704" s="52"/>
      <c r="O704" s="50"/>
      <c r="P704" s="61" t="str">
        <f t="shared" si="92"/>
        <v/>
      </c>
      <c r="Q704" s="61" t="str">
        <f>IFERROR(IF(N704-N703&lt;=0,"",P704/SQRT(Таблица_pr2[[#This Row],[Удельное сопротивление грунта, Ом·м]])),P704/SQRT(Таблица_pr2[[#This Row],[Удельное сопротивление грунта, Ом·м]]))</f>
        <v/>
      </c>
      <c r="S704" s="53"/>
      <c r="T704" s="52"/>
      <c r="U704" s="50"/>
      <c r="V704" s="61" t="str">
        <f t="shared" ref="V704:V710" si="99">IFERROR(IF(T704-T703&lt;=0,"",(T704-T703)*1000),100)</f>
        <v/>
      </c>
      <c r="W704" s="61" t="str">
        <f>IFERROR(IF(T704-T703&lt;=0,"",V704/SQRT(Таблица_pr3[[#This Row],[Удельное сопротивление грунта, Ом·м]])),V704/SQRT(Таблица_pr3[[#This Row],[Удельное сопротивление грунта, Ом·м]]))</f>
        <v/>
      </c>
      <c r="Y704" s="53"/>
      <c r="Z704" s="52"/>
      <c r="AA704" s="50"/>
      <c r="AB704" s="61" t="str">
        <f t="shared" si="93"/>
        <v/>
      </c>
      <c r="AC704" s="61" t="str">
        <f>IFERROR(IF(Z704-Z703&lt;=0,"",AB704/SQRT(Таблица_pr4[[#This Row],[Удельное сопротивление грунта, Ом·м]])),AB704/SQRT(Таблица_pr4[[#This Row],[Удельное сопротивление грунта, Ом·м]]))</f>
        <v/>
      </c>
      <c r="AE704" s="53"/>
      <c r="AF704" s="52"/>
      <c r="AG704" s="50"/>
      <c r="AH704" s="61" t="str">
        <f t="shared" ref="AH704:AH710" si="100">IFERROR(IF(AF704-AF703&lt;=0,"",(AF704-AF703)*1000),100)</f>
        <v/>
      </c>
      <c r="AI704" s="61" t="str">
        <f>IFERROR(IF(AF704-AF703&lt;=0,"",AH704/SQRT(Таблица_pr5[[#This Row],[Удельное сопротивление грунта, Ом·м]])),AH704/SQRT(Таблица_pr5[[#This Row],[Удельное сопротивление грунта, Ом·м]]))</f>
        <v/>
      </c>
      <c r="AK704" s="53"/>
      <c r="AL704" s="52"/>
      <c r="AM704" s="50"/>
      <c r="AN704" s="61" t="str">
        <f t="shared" si="94"/>
        <v/>
      </c>
      <c r="AO704" s="61" t="str">
        <f>IFERROR(IF(AL704-AL703&lt;=0,"",AN704/SQRT(Таблица_pr5[[#This Row],[Удельное сопротивление грунта, Ом·м]])),AN704/SQRT(Таблица_pr5[[#This Row],[Удельное сопротивление грунта, Ом·м]]))</f>
        <v/>
      </c>
      <c r="AQ704" s="53"/>
      <c r="AR704" s="52"/>
      <c r="AS704" s="50"/>
      <c r="AT704" s="61" t="str">
        <f t="shared" ref="AT704:AT710" si="101">IFERROR(IF(AR704-AR703&lt;=0,"",(AR704-AR703)*1000),100)</f>
        <v/>
      </c>
      <c r="AU704" s="61" t="str">
        <f>IFERROR(IF(AR704-AR703&lt;=0,"",AT704/SQRT(Таблица_pr7[[#This Row],[Удельное сопротивление грунта, Ом·м]])),AT704/SQRT(Таблица_pr7[[#This Row],[Удельное сопротивление грунта, Ом·м]]))</f>
        <v/>
      </c>
      <c r="AW704" s="53"/>
      <c r="AX704" s="52"/>
      <c r="AY704" s="50"/>
      <c r="AZ704" s="61" t="str">
        <f t="shared" si="95"/>
        <v/>
      </c>
      <c r="BA704" s="61" t="str">
        <f>IFERROR(IF(AX704-AX703&lt;=0,"",AZ704/SQRT(Таблица_pr8[[#This Row],[Удельное сопротивление грунта, Ом·м]])),AZ704/SQRT(Таблица_pr8[[#This Row],[Удельное сопротивление грунта, Ом·м]]))</f>
        <v/>
      </c>
      <c r="BC704" s="53"/>
      <c r="BD704" s="52"/>
      <c r="BE704" s="50"/>
      <c r="BF704" s="61" t="str">
        <f t="shared" ref="BF704:BF710" si="102">IFERROR(IF(BD704-BD703&lt;=0,"",(BD704-BD703)*1000),100)</f>
        <v/>
      </c>
      <c r="BG704" s="61" t="str">
        <f>IFERROR(IF(BD704-AX723&lt;=0,"",BF704/SQRT(Таблица_pr9[[#This Row],[Удельное сопротивление грунта, Ом·м]])),BF704/SQRT(Таблица_pr9[[#This Row],[Удельное сопротивление грунта, Ом·м]]))</f>
        <v/>
      </c>
      <c r="BI704" s="53"/>
      <c r="BJ704" s="52"/>
      <c r="BK704" s="50"/>
      <c r="BL704" s="61" t="str">
        <f t="shared" si="96"/>
        <v/>
      </c>
      <c r="BM704" s="61" t="str">
        <f>IFERROR(IF(BJ704-BD733&lt;=0,"",BL704/SQRT(Таблица_pr10[[#This Row],[Удельное сопротивление грунта, Ом·м]])),BL704/SQRT(Таблица_pr10[[#This Row],[Удельное сопротивление грунта, Ом·м]]))</f>
        <v/>
      </c>
    </row>
    <row r="705" spans="1:65">
      <c r="A705" s="51"/>
      <c r="B705" s="52"/>
      <c r="C705" s="50"/>
      <c r="D705" s="61" t="str">
        <f t="shared" si="97"/>
        <v/>
      </c>
      <c r="E705" s="61" t="str">
        <f>IFERROR(IF(B705-B704&lt;=0,"",D705/SQRT(Таблица_pr[[#This Row],[Удельное сопротивление грунта, Ом·м]])),D705/SQRT(Таблица_pr[[#This Row],[Удельное сопротивление грунта, Ом·м]]))</f>
        <v/>
      </c>
      <c r="G705" s="189"/>
      <c r="H705" s="185"/>
      <c r="I705" s="183"/>
      <c r="J705" s="180" t="str">
        <f t="shared" si="98"/>
        <v/>
      </c>
      <c r="K705" s="61" t="str">
        <f>IFERROR(IF(H705-H704&lt;=0,"",J705/SQRT(Таблица_pr1[[#This Row],[Удельное сопротивление грунта, Ом·м]])),J705/SQRT(Таблица_pr1[[#This Row],[Удельное сопротивление грунта, Ом·м]]))</f>
        <v/>
      </c>
      <c r="M705" s="51"/>
      <c r="N705" s="52"/>
      <c r="O705" s="50"/>
      <c r="P705" s="61" t="str">
        <f t="shared" si="92"/>
        <v/>
      </c>
      <c r="Q705" s="61" t="str">
        <f>IFERROR(IF(N705-N704&lt;=0,"",P705/SQRT(Таблица_pr2[[#This Row],[Удельное сопротивление грунта, Ом·м]])),P705/SQRT(Таблица_pr2[[#This Row],[Удельное сопротивление грунта, Ом·м]]))</f>
        <v/>
      </c>
      <c r="S705" s="51"/>
      <c r="T705" s="52"/>
      <c r="U705" s="50"/>
      <c r="V705" s="61" t="str">
        <f t="shared" si="99"/>
        <v/>
      </c>
      <c r="W705" s="61" t="str">
        <f>IFERROR(IF(T705-T704&lt;=0,"",V705/SQRT(Таблица_pr3[[#This Row],[Удельное сопротивление грунта, Ом·м]])),V705/SQRT(Таблица_pr3[[#This Row],[Удельное сопротивление грунта, Ом·м]]))</f>
        <v/>
      </c>
      <c r="Y705" s="51"/>
      <c r="Z705" s="52"/>
      <c r="AA705" s="50"/>
      <c r="AB705" s="61" t="str">
        <f t="shared" si="93"/>
        <v/>
      </c>
      <c r="AC705" s="61" t="str">
        <f>IFERROR(IF(Z705-Z704&lt;=0,"",AB705/SQRT(Таблица_pr4[[#This Row],[Удельное сопротивление грунта, Ом·м]])),AB705/SQRT(Таблица_pr4[[#This Row],[Удельное сопротивление грунта, Ом·м]]))</f>
        <v/>
      </c>
      <c r="AE705" s="51"/>
      <c r="AF705" s="52"/>
      <c r="AG705" s="50"/>
      <c r="AH705" s="61" t="str">
        <f t="shared" si="100"/>
        <v/>
      </c>
      <c r="AI705" s="61" t="str">
        <f>IFERROR(IF(AF705-AF704&lt;=0,"",AH705/SQRT(Таблица_pr5[[#This Row],[Удельное сопротивление грунта, Ом·м]])),AH705/SQRT(Таблица_pr5[[#This Row],[Удельное сопротивление грунта, Ом·м]]))</f>
        <v/>
      </c>
      <c r="AK705" s="51"/>
      <c r="AL705" s="52"/>
      <c r="AM705" s="50"/>
      <c r="AN705" s="61" t="str">
        <f t="shared" si="94"/>
        <v/>
      </c>
      <c r="AO705" s="61" t="str">
        <f>IFERROR(IF(AL705-AL704&lt;=0,"",AN705/SQRT(Таблица_pr5[[#This Row],[Удельное сопротивление грунта, Ом·м]])),AN705/SQRT(Таблица_pr5[[#This Row],[Удельное сопротивление грунта, Ом·м]]))</f>
        <v/>
      </c>
      <c r="AQ705" s="51"/>
      <c r="AR705" s="52"/>
      <c r="AS705" s="50"/>
      <c r="AT705" s="61" t="str">
        <f t="shared" si="101"/>
        <v/>
      </c>
      <c r="AU705" s="61" t="str">
        <f>IFERROR(IF(AR705-AR704&lt;=0,"",AT705/SQRT(Таблица_pr7[[#This Row],[Удельное сопротивление грунта, Ом·м]])),AT705/SQRT(Таблица_pr7[[#This Row],[Удельное сопротивление грунта, Ом·м]]))</f>
        <v/>
      </c>
      <c r="AW705" s="51"/>
      <c r="AX705" s="52"/>
      <c r="AY705" s="50"/>
      <c r="AZ705" s="61" t="str">
        <f t="shared" si="95"/>
        <v/>
      </c>
      <c r="BA705" s="61" t="str">
        <f>IFERROR(IF(AX705-AX704&lt;=0,"",AZ705/SQRT(Таблица_pr8[[#This Row],[Удельное сопротивление грунта, Ом·м]])),AZ705/SQRT(Таблица_pr8[[#This Row],[Удельное сопротивление грунта, Ом·м]]))</f>
        <v/>
      </c>
      <c r="BC705" s="51"/>
      <c r="BD705" s="52"/>
      <c r="BE705" s="50"/>
      <c r="BF705" s="61" t="str">
        <f t="shared" si="102"/>
        <v/>
      </c>
      <c r="BG705" s="61" t="str">
        <f>IFERROR(IF(BD705-AX724&lt;=0,"",BF705/SQRT(Таблица_pr9[[#This Row],[Удельное сопротивление грунта, Ом·м]])),BF705/SQRT(Таблица_pr9[[#This Row],[Удельное сопротивление грунта, Ом·м]]))</f>
        <v/>
      </c>
      <c r="BI705" s="51"/>
      <c r="BJ705" s="52"/>
      <c r="BK705" s="50"/>
      <c r="BL705" s="61" t="str">
        <f t="shared" si="96"/>
        <v/>
      </c>
      <c r="BM705" s="61" t="str">
        <f>IFERROR(IF(BJ705-BD734&lt;=0,"",BL705/SQRT(Таблица_pr10[[#This Row],[Удельное сопротивление грунта, Ом·м]])),BL705/SQRT(Таблица_pr10[[#This Row],[Удельное сопротивление грунта, Ом·м]]))</f>
        <v/>
      </c>
    </row>
    <row r="706" spans="1:65">
      <c r="A706" s="53"/>
      <c r="B706" s="52"/>
      <c r="C706" s="50"/>
      <c r="D706" s="61" t="str">
        <f t="shared" si="97"/>
        <v/>
      </c>
      <c r="E706" s="61" t="str">
        <f>IFERROR(IF(B706-B705&lt;=0,"",D706/SQRT(Таблица_pr[[#This Row],[Удельное сопротивление грунта, Ом·м]])),D706/SQRT(Таблица_pr[[#This Row],[Удельное сопротивление грунта, Ом·м]]))</f>
        <v/>
      </c>
      <c r="G706" s="188"/>
      <c r="H706" s="184"/>
      <c r="I706" s="182"/>
      <c r="J706" s="181" t="str">
        <f t="shared" si="98"/>
        <v/>
      </c>
      <c r="K706" s="61" t="str">
        <f>IFERROR(IF(H706-H705&lt;=0,"",J706/SQRT(Таблица_pr1[[#This Row],[Удельное сопротивление грунта, Ом·м]])),J706/SQRT(Таблица_pr1[[#This Row],[Удельное сопротивление грунта, Ом·м]]))</f>
        <v/>
      </c>
      <c r="M706" s="53"/>
      <c r="N706" s="52"/>
      <c r="O706" s="50"/>
      <c r="P706" s="61" t="str">
        <f t="shared" si="92"/>
        <v/>
      </c>
      <c r="Q706" s="61" t="str">
        <f>IFERROR(IF(N706-N705&lt;=0,"",P706/SQRT(Таблица_pr2[[#This Row],[Удельное сопротивление грунта, Ом·м]])),P706/SQRT(Таблица_pr2[[#This Row],[Удельное сопротивление грунта, Ом·м]]))</f>
        <v/>
      </c>
      <c r="S706" s="53"/>
      <c r="T706" s="52"/>
      <c r="U706" s="50"/>
      <c r="V706" s="61" t="str">
        <f t="shared" si="99"/>
        <v/>
      </c>
      <c r="W706" s="61" t="str">
        <f>IFERROR(IF(T706-T705&lt;=0,"",V706/SQRT(Таблица_pr3[[#This Row],[Удельное сопротивление грунта, Ом·м]])),V706/SQRT(Таблица_pr3[[#This Row],[Удельное сопротивление грунта, Ом·м]]))</f>
        <v/>
      </c>
      <c r="Y706" s="53"/>
      <c r="Z706" s="52"/>
      <c r="AA706" s="50"/>
      <c r="AB706" s="61" t="str">
        <f t="shared" si="93"/>
        <v/>
      </c>
      <c r="AC706" s="61" t="str">
        <f>IFERROR(IF(Z706-Z705&lt;=0,"",AB706/SQRT(Таблица_pr4[[#This Row],[Удельное сопротивление грунта, Ом·м]])),AB706/SQRT(Таблица_pr4[[#This Row],[Удельное сопротивление грунта, Ом·м]]))</f>
        <v/>
      </c>
      <c r="AE706" s="53"/>
      <c r="AF706" s="52"/>
      <c r="AG706" s="50"/>
      <c r="AH706" s="61" t="str">
        <f t="shared" si="100"/>
        <v/>
      </c>
      <c r="AI706" s="61" t="str">
        <f>IFERROR(IF(AF706-AF705&lt;=0,"",AH706/SQRT(Таблица_pr5[[#This Row],[Удельное сопротивление грунта, Ом·м]])),AH706/SQRT(Таблица_pr5[[#This Row],[Удельное сопротивление грунта, Ом·м]]))</f>
        <v/>
      </c>
      <c r="AK706" s="53"/>
      <c r="AL706" s="52"/>
      <c r="AM706" s="50"/>
      <c r="AN706" s="61" t="str">
        <f t="shared" si="94"/>
        <v/>
      </c>
      <c r="AO706" s="61" t="str">
        <f>IFERROR(IF(AL706-AL705&lt;=0,"",AN706/SQRT(Таблица_pr5[[#This Row],[Удельное сопротивление грунта, Ом·м]])),AN706/SQRT(Таблица_pr5[[#This Row],[Удельное сопротивление грунта, Ом·м]]))</f>
        <v/>
      </c>
      <c r="AQ706" s="53"/>
      <c r="AR706" s="52"/>
      <c r="AS706" s="50"/>
      <c r="AT706" s="61" t="str">
        <f t="shared" si="101"/>
        <v/>
      </c>
      <c r="AU706" s="61" t="str">
        <f>IFERROR(IF(AR706-AR705&lt;=0,"",AT706/SQRT(Таблица_pr7[[#This Row],[Удельное сопротивление грунта, Ом·м]])),AT706/SQRT(Таблица_pr7[[#This Row],[Удельное сопротивление грунта, Ом·м]]))</f>
        <v/>
      </c>
      <c r="AW706" s="53"/>
      <c r="AX706" s="52"/>
      <c r="AY706" s="50"/>
      <c r="AZ706" s="61" t="str">
        <f t="shared" si="95"/>
        <v/>
      </c>
      <c r="BA706" s="61" t="str">
        <f>IFERROR(IF(AX706-AX705&lt;=0,"",AZ706/SQRT(Таблица_pr8[[#This Row],[Удельное сопротивление грунта, Ом·м]])),AZ706/SQRT(Таблица_pr8[[#This Row],[Удельное сопротивление грунта, Ом·м]]))</f>
        <v/>
      </c>
      <c r="BC706" s="53"/>
      <c r="BD706" s="52"/>
      <c r="BE706" s="50"/>
      <c r="BF706" s="61" t="str">
        <f t="shared" si="102"/>
        <v/>
      </c>
      <c r="BG706" s="61" t="str">
        <f>IFERROR(IF(BD706-AX725&lt;=0,"",BF706/SQRT(Таблица_pr9[[#This Row],[Удельное сопротивление грунта, Ом·м]])),BF706/SQRT(Таблица_pr9[[#This Row],[Удельное сопротивление грунта, Ом·м]]))</f>
        <v/>
      </c>
      <c r="BI706" s="53"/>
      <c r="BJ706" s="52"/>
      <c r="BK706" s="50"/>
      <c r="BL706" s="61" t="str">
        <f t="shared" si="96"/>
        <v/>
      </c>
      <c r="BM706" s="61" t="str">
        <f>IFERROR(IF(BJ706-BD735&lt;=0,"",BL706/SQRT(Таблица_pr10[[#This Row],[Удельное сопротивление грунта, Ом·м]])),BL706/SQRT(Таблица_pr10[[#This Row],[Удельное сопротивление грунта, Ом·м]]))</f>
        <v/>
      </c>
    </row>
    <row r="707" spans="1:65">
      <c r="A707" s="51"/>
      <c r="B707" s="52"/>
      <c r="C707" s="50"/>
      <c r="D707" s="61" t="str">
        <f t="shared" si="97"/>
        <v/>
      </c>
      <c r="E707" s="61" t="str">
        <f>IFERROR(IF(B707-B706&lt;=0,"",D707/SQRT(Таблица_pr[[#This Row],[Удельное сопротивление грунта, Ом·м]])),D707/SQRT(Таблица_pr[[#This Row],[Удельное сопротивление грунта, Ом·м]]))</f>
        <v/>
      </c>
      <c r="G707" s="189"/>
      <c r="H707" s="185"/>
      <c r="I707" s="183"/>
      <c r="J707" s="180" t="str">
        <f t="shared" si="98"/>
        <v/>
      </c>
      <c r="K707" s="61" t="str">
        <f>IFERROR(IF(H707-H706&lt;=0,"",J707/SQRT(Таблица_pr1[[#This Row],[Удельное сопротивление грунта, Ом·м]])),J707/SQRT(Таблица_pr1[[#This Row],[Удельное сопротивление грунта, Ом·м]]))</f>
        <v/>
      </c>
      <c r="M707" s="51"/>
      <c r="N707" s="52"/>
      <c r="O707" s="50"/>
      <c r="P707" s="61" t="str">
        <f t="shared" si="92"/>
        <v/>
      </c>
      <c r="Q707" s="61" t="str">
        <f>IFERROR(IF(N707-N706&lt;=0,"",P707/SQRT(Таблица_pr2[[#This Row],[Удельное сопротивление грунта, Ом·м]])),P707/SQRT(Таблица_pr2[[#This Row],[Удельное сопротивление грунта, Ом·м]]))</f>
        <v/>
      </c>
      <c r="S707" s="51"/>
      <c r="T707" s="52"/>
      <c r="U707" s="50"/>
      <c r="V707" s="61" t="str">
        <f t="shared" si="99"/>
        <v/>
      </c>
      <c r="W707" s="61" t="str">
        <f>IFERROR(IF(T707-T706&lt;=0,"",V707/SQRT(Таблица_pr3[[#This Row],[Удельное сопротивление грунта, Ом·м]])),V707/SQRT(Таблица_pr3[[#This Row],[Удельное сопротивление грунта, Ом·м]]))</f>
        <v/>
      </c>
      <c r="Y707" s="51"/>
      <c r="Z707" s="52"/>
      <c r="AA707" s="50"/>
      <c r="AB707" s="61" t="str">
        <f t="shared" si="93"/>
        <v/>
      </c>
      <c r="AC707" s="61" t="str">
        <f>IFERROR(IF(Z707-Z706&lt;=0,"",AB707/SQRT(Таблица_pr4[[#This Row],[Удельное сопротивление грунта, Ом·м]])),AB707/SQRT(Таблица_pr4[[#This Row],[Удельное сопротивление грунта, Ом·м]]))</f>
        <v/>
      </c>
      <c r="AE707" s="51"/>
      <c r="AF707" s="52"/>
      <c r="AG707" s="50"/>
      <c r="AH707" s="61" t="str">
        <f t="shared" si="100"/>
        <v/>
      </c>
      <c r="AI707" s="61" t="str">
        <f>IFERROR(IF(AF707-AF706&lt;=0,"",AH707/SQRT(Таблица_pr5[[#This Row],[Удельное сопротивление грунта, Ом·м]])),AH707/SQRT(Таблица_pr5[[#This Row],[Удельное сопротивление грунта, Ом·м]]))</f>
        <v/>
      </c>
      <c r="AK707" s="51"/>
      <c r="AL707" s="52"/>
      <c r="AM707" s="50"/>
      <c r="AN707" s="61" t="str">
        <f t="shared" si="94"/>
        <v/>
      </c>
      <c r="AO707" s="61" t="str">
        <f>IFERROR(IF(AL707-AL706&lt;=0,"",AN707/SQRT(Таблица_pr5[[#This Row],[Удельное сопротивление грунта, Ом·м]])),AN707/SQRT(Таблица_pr5[[#This Row],[Удельное сопротивление грунта, Ом·м]]))</f>
        <v/>
      </c>
      <c r="AQ707" s="51"/>
      <c r="AR707" s="52"/>
      <c r="AS707" s="50"/>
      <c r="AT707" s="61" t="str">
        <f t="shared" si="101"/>
        <v/>
      </c>
      <c r="AU707" s="61" t="str">
        <f>IFERROR(IF(AR707-AR706&lt;=0,"",AT707/SQRT(Таблица_pr7[[#This Row],[Удельное сопротивление грунта, Ом·м]])),AT707/SQRT(Таблица_pr7[[#This Row],[Удельное сопротивление грунта, Ом·м]]))</f>
        <v/>
      </c>
      <c r="AW707" s="51"/>
      <c r="AX707" s="52"/>
      <c r="AY707" s="50"/>
      <c r="AZ707" s="61" t="str">
        <f t="shared" si="95"/>
        <v/>
      </c>
      <c r="BA707" s="61" t="str">
        <f>IFERROR(IF(AX707-AX706&lt;=0,"",AZ707/SQRT(Таблица_pr8[[#This Row],[Удельное сопротивление грунта, Ом·м]])),AZ707/SQRT(Таблица_pr8[[#This Row],[Удельное сопротивление грунта, Ом·м]]))</f>
        <v/>
      </c>
      <c r="BC707" s="51"/>
      <c r="BD707" s="52"/>
      <c r="BE707" s="50"/>
      <c r="BF707" s="61" t="str">
        <f t="shared" si="102"/>
        <v/>
      </c>
      <c r="BG707" s="61" t="str">
        <f>IFERROR(IF(BD707-AX726&lt;=0,"",BF707/SQRT(Таблица_pr9[[#This Row],[Удельное сопротивление грунта, Ом·м]])),BF707/SQRT(Таблица_pr9[[#This Row],[Удельное сопротивление грунта, Ом·м]]))</f>
        <v/>
      </c>
      <c r="BI707" s="51"/>
      <c r="BJ707" s="52"/>
      <c r="BK707" s="50"/>
      <c r="BL707" s="61" t="str">
        <f t="shared" si="96"/>
        <v/>
      </c>
      <c r="BM707" s="61" t="str">
        <f>IFERROR(IF(BJ707-BD736&lt;=0,"",BL707/SQRT(Таблица_pr10[[#This Row],[Удельное сопротивление грунта, Ом·м]])),BL707/SQRT(Таблица_pr10[[#This Row],[Удельное сопротивление грунта, Ом·м]]))</f>
        <v/>
      </c>
    </row>
    <row r="708" spans="1:65">
      <c r="A708" s="53"/>
      <c r="B708" s="52"/>
      <c r="C708" s="50"/>
      <c r="D708" s="61" t="str">
        <f t="shared" si="97"/>
        <v/>
      </c>
      <c r="E708" s="61" t="str">
        <f>IFERROR(IF(B708-B707&lt;=0,"",D708/SQRT(Таблица_pr[[#This Row],[Удельное сопротивление грунта, Ом·м]])),D708/SQRT(Таблица_pr[[#This Row],[Удельное сопротивление грунта, Ом·м]]))</f>
        <v/>
      </c>
      <c r="G708" s="188"/>
      <c r="H708" s="184"/>
      <c r="I708" s="182"/>
      <c r="J708" s="181" t="str">
        <f t="shared" si="98"/>
        <v/>
      </c>
      <c r="K708" s="61" t="str">
        <f>IFERROR(IF(H708-H707&lt;=0,"",J708/SQRT(Таблица_pr1[[#This Row],[Удельное сопротивление грунта, Ом·м]])),J708/SQRT(Таблица_pr1[[#This Row],[Удельное сопротивление грунта, Ом·м]]))</f>
        <v/>
      </c>
      <c r="M708" s="53"/>
      <c r="N708" s="52"/>
      <c r="O708" s="50"/>
      <c r="P708" s="61" t="str">
        <f t="shared" si="92"/>
        <v/>
      </c>
      <c r="Q708" s="61" t="str">
        <f>IFERROR(IF(N708-N707&lt;=0,"",P708/SQRT(Таблица_pr2[[#This Row],[Удельное сопротивление грунта, Ом·м]])),P708/SQRT(Таблица_pr2[[#This Row],[Удельное сопротивление грунта, Ом·м]]))</f>
        <v/>
      </c>
      <c r="S708" s="53"/>
      <c r="T708" s="52"/>
      <c r="U708" s="50"/>
      <c r="V708" s="61" t="str">
        <f t="shared" si="99"/>
        <v/>
      </c>
      <c r="W708" s="61" t="str">
        <f>IFERROR(IF(T708-T707&lt;=0,"",V708/SQRT(Таблица_pr3[[#This Row],[Удельное сопротивление грунта, Ом·м]])),V708/SQRT(Таблица_pr3[[#This Row],[Удельное сопротивление грунта, Ом·м]]))</f>
        <v/>
      </c>
      <c r="Y708" s="53"/>
      <c r="Z708" s="52"/>
      <c r="AA708" s="50"/>
      <c r="AB708" s="61" t="str">
        <f t="shared" si="93"/>
        <v/>
      </c>
      <c r="AC708" s="61" t="str">
        <f>IFERROR(IF(Z708-Z707&lt;=0,"",AB708/SQRT(Таблица_pr4[[#This Row],[Удельное сопротивление грунта, Ом·м]])),AB708/SQRT(Таблица_pr4[[#This Row],[Удельное сопротивление грунта, Ом·м]]))</f>
        <v/>
      </c>
      <c r="AE708" s="53"/>
      <c r="AF708" s="52"/>
      <c r="AG708" s="50"/>
      <c r="AH708" s="61" t="str">
        <f t="shared" si="100"/>
        <v/>
      </c>
      <c r="AI708" s="61" t="str">
        <f>IFERROR(IF(AF708-AF707&lt;=0,"",AH708/SQRT(Таблица_pr5[[#This Row],[Удельное сопротивление грунта, Ом·м]])),AH708/SQRT(Таблица_pr5[[#This Row],[Удельное сопротивление грунта, Ом·м]]))</f>
        <v/>
      </c>
      <c r="AK708" s="53"/>
      <c r="AL708" s="52"/>
      <c r="AM708" s="50"/>
      <c r="AN708" s="61" t="str">
        <f t="shared" si="94"/>
        <v/>
      </c>
      <c r="AO708" s="61" t="str">
        <f>IFERROR(IF(AL708-AL707&lt;=0,"",AN708/SQRT(Таблица_pr5[[#This Row],[Удельное сопротивление грунта, Ом·м]])),AN708/SQRT(Таблица_pr5[[#This Row],[Удельное сопротивление грунта, Ом·м]]))</f>
        <v/>
      </c>
      <c r="AQ708" s="53"/>
      <c r="AR708" s="52"/>
      <c r="AS708" s="50"/>
      <c r="AT708" s="61" t="str">
        <f t="shared" si="101"/>
        <v/>
      </c>
      <c r="AU708" s="61" t="str">
        <f>IFERROR(IF(AR708-AR707&lt;=0,"",AT708/SQRT(Таблица_pr7[[#This Row],[Удельное сопротивление грунта, Ом·м]])),AT708/SQRT(Таблица_pr7[[#This Row],[Удельное сопротивление грунта, Ом·м]]))</f>
        <v/>
      </c>
      <c r="AW708" s="53"/>
      <c r="AX708" s="52"/>
      <c r="AY708" s="50"/>
      <c r="AZ708" s="61" t="str">
        <f t="shared" si="95"/>
        <v/>
      </c>
      <c r="BA708" s="61" t="str">
        <f>IFERROR(IF(AX708-AX707&lt;=0,"",AZ708/SQRT(Таблица_pr8[[#This Row],[Удельное сопротивление грунта, Ом·м]])),AZ708/SQRT(Таблица_pr8[[#This Row],[Удельное сопротивление грунта, Ом·м]]))</f>
        <v/>
      </c>
      <c r="BC708" s="53"/>
      <c r="BD708" s="52"/>
      <c r="BE708" s="50"/>
      <c r="BF708" s="61" t="str">
        <f t="shared" si="102"/>
        <v/>
      </c>
      <c r="BG708" s="61" t="str">
        <f>IFERROR(IF(BD708-AX727&lt;=0,"",BF708/SQRT(Таблица_pr9[[#This Row],[Удельное сопротивление грунта, Ом·м]])),BF708/SQRT(Таблица_pr9[[#This Row],[Удельное сопротивление грунта, Ом·м]]))</f>
        <v/>
      </c>
      <c r="BI708" s="53"/>
      <c r="BJ708" s="52"/>
      <c r="BK708" s="50"/>
      <c r="BL708" s="61" t="str">
        <f t="shared" si="96"/>
        <v/>
      </c>
      <c r="BM708" s="61" t="str">
        <f>IFERROR(IF(BJ708-BD737&lt;=0,"",BL708/SQRT(Таблица_pr10[[#This Row],[Удельное сопротивление грунта, Ом·м]])),BL708/SQRT(Таблица_pr10[[#This Row],[Удельное сопротивление грунта, Ом·м]]))</f>
        <v/>
      </c>
    </row>
    <row r="709" spans="1:65">
      <c r="A709" s="51"/>
      <c r="B709" s="52"/>
      <c r="C709" s="50"/>
      <c r="D709" s="61" t="str">
        <f t="shared" si="97"/>
        <v/>
      </c>
      <c r="E709" s="61" t="str">
        <f>IFERROR(IF(B709-B708&lt;=0,"",D709/SQRT(Таблица_pr[[#This Row],[Удельное сопротивление грунта, Ом·м]])),D709/SQRT(Таблица_pr[[#This Row],[Удельное сопротивление грунта, Ом·м]]))</f>
        <v/>
      </c>
      <c r="G709" s="189"/>
      <c r="H709" s="185"/>
      <c r="I709" s="183"/>
      <c r="J709" s="180" t="str">
        <f t="shared" si="98"/>
        <v/>
      </c>
      <c r="K709" s="61" t="str">
        <f>IFERROR(IF(H709-H708&lt;=0,"",J709/SQRT(Таблица_pr1[[#This Row],[Удельное сопротивление грунта, Ом·м]])),J709/SQRT(Таблица_pr1[[#This Row],[Удельное сопротивление грунта, Ом·м]]))</f>
        <v/>
      </c>
      <c r="M709" s="51"/>
      <c r="N709" s="52"/>
      <c r="O709" s="50"/>
      <c r="P709" s="61" t="str">
        <f t="shared" si="92"/>
        <v/>
      </c>
      <c r="Q709" s="61" t="str">
        <f>IFERROR(IF(N709-N708&lt;=0,"",P709/SQRT(Таблица_pr2[[#This Row],[Удельное сопротивление грунта, Ом·м]])),P709/SQRT(Таблица_pr2[[#This Row],[Удельное сопротивление грунта, Ом·м]]))</f>
        <v/>
      </c>
      <c r="S709" s="51"/>
      <c r="T709" s="52"/>
      <c r="U709" s="50"/>
      <c r="V709" s="61" t="str">
        <f t="shared" si="99"/>
        <v/>
      </c>
      <c r="W709" s="61" t="str">
        <f>IFERROR(IF(T709-T708&lt;=0,"",V709/SQRT(Таблица_pr3[[#This Row],[Удельное сопротивление грунта, Ом·м]])),V709/SQRT(Таблица_pr3[[#This Row],[Удельное сопротивление грунта, Ом·м]]))</f>
        <v/>
      </c>
      <c r="Y709" s="51"/>
      <c r="Z709" s="52"/>
      <c r="AA709" s="50"/>
      <c r="AB709" s="61" t="str">
        <f t="shared" si="93"/>
        <v/>
      </c>
      <c r="AC709" s="61" t="str">
        <f>IFERROR(IF(Z709-Z708&lt;=0,"",AB709/SQRT(Таблица_pr4[[#This Row],[Удельное сопротивление грунта, Ом·м]])),AB709/SQRT(Таблица_pr4[[#This Row],[Удельное сопротивление грунта, Ом·м]]))</f>
        <v/>
      </c>
      <c r="AE709" s="51"/>
      <c r="AF709" s="52"/>
      <c r="AG709" s="50"/>
      <c r="AH709" s="61" t="str">
        <f t="shared" si="100"/>
        <v/>
      </c>
      <c r="AI709" s="61" t="str">
        <f>IFERROR(IF(AF709-AF708&lt;=0,"",AH709/SQRT(Таблица_pr5[[#This Row],[Удельное сопротивление грунта, Ом·м]])),AH709/SQRT(Таблица_pr5[[#This Row],[Удельное сопротивление грунта, Ом·м]]))</f>
        <v/>
      </c>
      <c r="AK709" s="51"/>
      <c r="AL709" s="52"/>
      <c r="AM709" s="50"/>
      <c r="AN709" s="61" t="str">
        <f t="shared" si="94"/>
        <v/>
      </c>
      <c r="AO709" s="61" t="str">
        <f>IFERROR(IF(AL709-AL708&lt;=0,"",AN709/SQRT(Таблица_pr5[[#This Row],[Удельное сопротивление грунта, Ом·м]])),AN709/SQRT(Таблица_pr5[[#This Row],[Удельное сопротивление грунта, Ом·м]]))</f>
        <v/>
      </c>
      <c r="AQ709" s="51"/>
      <c r="AR709" s="52"/>
      <c r="AS709" s="50"/>
      <c r="AT709" s="61" t="str">
        <f t="shared" si="101"/>
        <v/>
      </c>
      <c r="AU709" s="61" t="str">
        <f>IFERROR(IF(AR709-AR708&lt;=0,"",AT709/SQRT(Таблица_pr7[[#This Row],[Удельное сопротивление грунта, Ом·м]])),AT709/SQRT(Таблица_pr7[[#This Row],[Удельное сопротивление грунта, Ом·м]]))</f>
        <v/>
      </c>
      <c r="AW709" s="51"/>
      <c r="AX709" s="52"/>
      <c r="AY709" s="50"/>
      <c r="AZ709" s="61" t="str">
        <f t="shared" si="95"/>
        <v/>
      </c>
      <c r="BA709" s="61" t="str">
        <f>IFERROR(IF(AX709-AX708&lt;=0,"",AZ709/SQRT(Таблица_pr8[[#This Row],[Удельное сопротивление грунта, Ом·м]])),AZ709/SQRT(Таблица_pr8[[#This Row],[Удельное сопротивление грунта, Ом·м]]))</f>
        <v/>
      </c>
      <c r="BC709" s="51"/>
      <c r="BD709" s="52"/>
      <c r="BE709" s="50"/>
      <c r="BF709" s="61" t="str">
        <f t="shared" si="102"/>
        <v/>
      </c>
      <c r="BG709" s="61" t="str">
        <f>IFERROR(IF(BD709-AX728&lt;=0,"",BF709/SQRT(Таблица_pr9[[#This Row],[Удельное сопротивление грунта, Ом·м]])),BF709/SQRT(Таблица_pr9[[#This Row],[Удельное сопротивление грунта, Ом·м]]))</f>
        <v/>
      </c>
      <c r="BI709" s="51"/>
      <c r="BJ709" s="52"/>
      <c r="BK709" s="50"/>
      <c r="BL709" s="61" t="str">
        <f t="shared" si="96"/>
        <v/>
      </c>
      <c r="BM709" s="61" t="str">
        <f>IFERROR(IF(BJ709-BD738&lt;=0,"",BL709/SQRT(Таблица_pr10[[#This Row],[Удельное сопротивление грунта, Ом·м]])),BL709/SQRT(Таблица_pr10[[#This Row],[Удельное сопротивление грунта, Ом·м]]))</f>
        <v/>
      </c>
    </row>
    <row r="710" spans="1:65">
      <c r="A710" s="53"/>
      <c r="B710" s="52"/>
      <c r="C710" s="50"/>
      <c r="D710" s="61" t="str">
        <f t="shared" si="97"/>
        <v/>
      </c>
      <c r="E710" s="61" t="str">
        <f>IFERROR(IF(B710-B709&lt;=0,"",D710/SQRT(Таблица_pr[[#This Row],[Удельное сопротивление грунта, Ом·м]])),D710/SQRT(Таблица_pr[[#This Row],[Удельное сопротивление грунта, Ом·м]]))</f>
        <v/>
      </c>
      <c r="G710" s="188"/>
      <c r="H710" s="184"/>
      <c r="I710" s="182"/>
      <c r="J710" s="181" t="str">
        <f t="shared" si="98"/>
        <v/>
      </c>
      <c r="K710" s="61" t="str">
        <f>IFERROR(IF(H710-H709&lt;=0,"",J710/SQRT(Таблица_pr1[[#This Row],[Удельное сопротивление грунта, Ом·м]])),J710/SQRT(Таблица_pr1[[#This Row],[Удельное сопротивление грунта, Ом·м]]))</f>
        <v/>
      </c>
      <c r="M710" s="53"/>
      <c r="N710" s="52"/>
      <c r="O710" s="50"/>
      <c r="P710" s="61" t="str">
        <f t="shared" ref="P710:P715" si="103">IFERROR(IF(N710-N709&lt;=0,"",(N710-N709)*1000),100)</f>
        <v/>
      </c>
      <c r="Q710" s="61" t="str">
        <f>IFERROR(IF(N710-N709&lt;=0,"",P710/SQRT(Таблица_pr2[[#This Row],[Удельное сопротивление грунта, Ом·м]])),P710/SQRT(Таблица_pr2[[#This Row],[Удельное сопротивление грунта, Ом·м]]))</f>
        <v/>
      </c>
      <c r="S710" s="53"/>
      <c r="T710" s="52"/>
      <c r="U710" s="50"/>
      <c r="V710" s="61" t="str">
        <f t="shared" si="99"/>
        <v/>
      </c>
      <c r="W710" s="61" t="str">
        <f>IFERROR(IF(T710-T709&lt;=0,"",V710/SQRT(Таблица_pr3[[#This Row],[Удельное сопротивление грунта, Ом·м]])),V710/SQRT(Таблица_pr3[[#This Row],[Удельное сопротивление грунта, Ом·м]]))</f>
        <v/>
      </c>
      <c r="Y710" s="53"/>
      <c r="Z710" s="52"/>
      <c r="AA710" s="50"/>
      <c r="AB710" s="61" t="str">
        <f t="shared" si="93"/>
        <v/>
      </c>
      <c r="AC710" s="61" t="str">
        <f>IFERROR(IF(Z710-Z709&lt;=0,"",AB710/SQRT(Таблица_pr4[[#This Row],[Удельное сопротивление грунта, Ом·м]])),AB710/SQRT(Таблица_pr4[[#This Row],[Удельное сопротивление грунта, Ом·м]]))</f>
        <v/>
      </c>
      <c r="AE710" s="53"/>
      <c r="AF710" s="52"/>
      <c r="AG710" s="50"/>
      <c r="AH710" s="61" t="str">
        <f t="shared" si="100"/>
        <v/>
      </c>
      <c r="AI710" s="61" t="str">
        <f>IFERROR(IF(AF710-AF709&lt;=0,"",AH710/SQRT(Таблица_pr5[[#This Row],[Удельное сопротивление грунта, Ом·м]])),AH710/SQRT(Таблица_pr5[[#This Row],[Удельное сопротивление грунта, Ом·м]]))</f>
        <v/>
      </c>
      <c r="AK710" s="53"/>
      <c r="AL710" s="52"/>
      <c r="AM710" s="50"/>
      <c r="AN710" s="61" t="str">
        <f t="shared" si="94"/>
        <v/>
      </c>
      <c r="AO710" s="61" t="str">
        <f>IFERROR(IF(AL710-AL709&lt;=0,"",AN710/SQRT(Таблица_pr5[[#This Row],[Удельное сопротивление грунта, Ом·м]])),AN710/SQRT(Таблица_pr5[[#This Row],[Удельное сопротивление грунта, Ом·м]]))</f>
        <v/>
      </c>
      <c r="AQ710" s="53"/>
      <c r="AR710" s="52"/>
      <c r="AS710" s="50"/>
      <c r="AT710" s="61" t="str">
        <f t="shared" si="101"/>
        <v/>
      </c>
      <c r="AU710" s="61" t="str">
        <f>IFERROR(IF(AR710-AR709&lt;=0,"",AT710/SQRT(Таблица_pr7[[#This Row],[Удельное сопротивление грунта, Ом·м]])),AT710/SQRT(Таблица_pr7[[#This Row],[Удельное сопротивление грунта, Ом·м]]))</f>
        <v/>
      </c>
      <c r="AW710" s="53"/>
      <c r="AX710" s="52"/>
      <c r="AY710" s="50"/>
      <c r="AZ710" s="61" t="str">
        <f t="shared" si="95"/>
        <v/>
      </c>
      <c r="BA710" s="61" t="str">
        <f>IFERROR(IF(AX710-AX709&lt;=0,"",AZ710/SQRT(Таблица_pr8[[#This Row],[Удельное сопротивление грунта, Ом·м]])),AZ710/SQRT(Таблица_pr8[[#This Row],[Удельное сопротивление грунта, Ом·м]]))</f>
        <v/>
      </c>
      <c r="BC710" s="53"/>
      <c r="BD710" s="52"/>
      <c r="BE710" s="50"/>
      <c r="BF710" s="61" t="str">
        <f t="shared" si="102"/>
        <v/>
      </c>
      <c r="BG710" s="61" t="str">
        <f>IFERROR(IF(BD710-AX729&lt;=0,"",BF710/SQRT(Таблица_pr9[[#This Row],[Удельное сопротивление грунта, Ом·м]])),BF710/SQRT(Таблица_pr9[[#This Row],[Удельное сопротивление грунта, Ом·м]]))</f>
        <v/>
      </c>
      <c r="BI710" s="53"/>
      <c r="BJ710" s="52"/>
      <c r="BK710" s="50"/>
      <c r="BL710" s="61" t="str">
        <f t="shared" si="96"/>
        <v/>
      </c>
      <c r="BM710" s="61" t="str">
        <f>IFERROR(IF(BJ710-BD739&lt;=0,"",BL710/SQRT(Таблица_pr10[[#This Row],[Удельное сопротивление грунта, Ом·м]])),BL710/SQRT(Таблица_pr10[[#This Row],[Удельное сопротивление грунта, Ом·м]]))</f>
        <v/>
      </c>
    </row>
    <row r="711" spans="1:65">
      <c r="A711" s="51"/>
      <c r="B711" s="52"/>
      <c r="C711" s="50"/>
      <c r="D711" s="61" t="str">
        <f t="shared" si="97"/>
        <v/>
      </c>
      <c r="E711" s="61" t="str">
        <f>IFERROR(IF(B711-B710&lt;=0,"",D711/SQRT(Таблица_pr[[#This Row],[Удельное сопротивление грунта, Ом·м]])),D711/SQRT(Таблица_pr[[#This Row],[Удельное сопротивление грунта, Ом·м]]))</f>
        <v/>
      </c>
      <c r="G711" s="189"/>
      <c r="H711" s="185"/>
      <c r="I711" s="183"/>
      <c r="J711" s="180" t="str">
        <f t="shared" si="98"/>
        <v/>
      </c>
      <c r="K711" s="61" t="str">
        <f>IFERROR(IF(H711-H710&lt;=0,"",J711/SQRT(Таблица_pr1[[#This Row],[Удельное сопротивление грунта, Ом·м]])),J711/SQRT(Таблица_pr1[[#This Row],[Удельное сопротивление грунта, Ом·м]]))</f>
        <v/>
      </c>
      <c r="M711" s="51"/>
      <c r="N711" s="52"/>
      <c r="O711" s="50"/>
      <c r="P711" s="61" t="str">
        <f t="shared" si="103"/>
        <v/>
      </c>
      <c r="Q711" s="61" t="str">
        <f>IFERROR(IF(N711-N710&lt;=0,"",P711/SQRT(Таблица_pr2[[#This Row],[Удельное сопротивление грунта, Ом·м]])),P711/SQRT(Таблица_pr2[[#This Row],[Удельное сопротивление грунта, Ом·м]]))</f>
        <v/>
      </c>
      <c r="S711" s="51"/>
      <c r="T711" s="52"/>
      <c r="U711" s="50"/>
      <c r="V711" s="61" t="str">
        <f>IFERROR(IF(T711-T710&lt;=0,"",(T711-T710)*1000),100)</f>
        <v/>
      </c>
      <c r="W711" s="61" t="str">
        <f>IFERROR(IF(T711-T710&lt;=0,"",V711/SQRT(Таблица_pr3[[#This Row],[Удельное сопротивление грунта, Ом·м]])),V711/SQRT(Таблица_pr3[[#This Row],[Удельное сопротивление грунта, Ом·м]]))</f>
        <v/>
      </c>
      <c r="Y711" s="51"/>
      <c r="Z711" s="52"/>
      <c r="AA711" s="50"/>
      <c r="AB711" s="61" t="str">
        <f>IFERROR(IF(Z711-Z710&lt;=0,"",(Z711-Z710)*1000),100)</f>
        <v/>
      </c>
      <c r="AC711" s="61" t="str">
        <f>IFERROR(IF(Z711-Z710&lt;=0,"",AB711/SQRT(Таблица_pr4[[#This Row],[Удельное сопротивление грунта, Ом·м]])),AB711/SQRT(Таблица_pr4[[#This Row],[Удельное сопротивление грунта, Ом·м]]))</f>
        <v/>
      </c>
      <c r="AE711" s="51"/>
      <c r="AF711" s="52"/>
      <c r="AG711" s="50"/>
      <c r="AH711" s="61" t="str">
        <f>IFERROR(IF(AF711-AF710&lt;=0,"",(AF711-AF710)*1000),100)</f>
        <v/>
      </c>
      <c r="AI711" s="61" t="str">
        <f>IFERROR(IF(AF711-AF710&lt;=0,"",AH711/SQRT(Таблица_pr5[[#This Row],[Удельное сопротивление грунта, Ом·м]])),AH711/SQRT(Таблица_pr5[[#This Row],[Удельное сопротивление грунта, Ом·м]]))</f>
        <v/>
      </c>
      <c r="AK711" s="51"/>
      <c r="AL711" s="52"/>
      <c r="AM711" s="50"/>
      <c r="AN711" s="61" t="str">
        <f>IFERROR(IF(AL711-AL710&lt;=0,"",(AL711-AL710)*1000),100)</f>
        <v/>
      </c>
      <c r="AO711" s="61" t="str">
        <f>IFERROR(IF(AL711-AL710&lt;=0,"",AN711/SQRT(Таблица_pr5[[#This Row],[Удельное сопротивление грунта, Ом·м]])),AN711/SQRT(Таблица_pr5[[#This Row],[Удельное сопротивление грунта, Ом·м]]))</f>
        <v/>
      </c>
      <c r="AQ711" s="51"/>
      <c r="AR711" s="52"/>
      <c r="AS711" s="50"/>
      <c r="AT711" s="61" t="str">
        <f>IFERROR(IF(AR711-AR710&lt;=0,"",(AR711-AR710)*1000),100)</f>
        <v/>
      </c>
      <c r="AU711" s="61" t="str">
        <f>IFERROR(IF(AR711-AR710&lt;=0,"",AT711/SQRT(Таблица_pr7[[#This Row],[Удельное сопротивление грунта, Ом·м]])),AT711/SQRT(Таблица_pr7[[#This Row],[Удельное сопротивление грунта, Ом·м]]))</f>
        <v/>
      </c>
      <c r="AW711" s="51"/>
      <c r="AX711" s="52"/>
      <c r="AY711" s="50"/>
      <c r="AZ711" s="61" t="str">
        <f>IFERROR(IF(AX711-AX710&lt;=0,"",(AX711-AX710)*1000),100)</f>
        <v/>
      </c>
      <c r="BA711" s="61" t="str">
        <f>IFERROR(IF(AX711-AX710&lt;=0,"",AZ711/SQRT(Таблица_pr8[[#This Row],[Удельное сопротивление грунта, Ом·м]])),AZ711/SQRT(Таблица_pr8[[#This Row],[Удельное сопротивление грунта, Ом·м]]))</f>
        <v/>
      </c>
      <c r="BC711" s="51"/>
      <c r="BD711" s="52"/>
      <c r="BE711" s="50"/>
      <c r="BF711" s="61" t="str">
        <f>IFERROR(IF(BD711-BD710&lt;=0,"",(BD711-BD710)*1000),100)</f>
        <v/>
      </c>
      <c r="BG711" s="61" t="str">
        <f>IFERROR(IF(BD711-AX730&lt;=0,"",BF711/SQRT(Таблица_pr9[[#This Row],[Удельное сопротивление грунта, Ом·м]])),BF711/SQRT(Таблица_pr9[[#This Row],[Удельное сопротивление грунта, Ом·м]]))</f>
        <v/>
      </c>
      <c r="BI711" s="51"/>
      <c r="BJ711" s="52"/>
      <c r="BK711" s="50"/>
      <c r="BL711" s="61" t="str">
        <f>IFERROR(IF(BJ711-BJ710&lt;=0,"",(BJ711-BJ710)*1000),100)</f>
        <v/>
      </c>
      <c r="BM711" s="61" t="str">
        <f>IFERROR(IF(BJ711-BD740&lt;=0,"",BL711/SQRT(Таблица_pr10[[#This Row],[Удельное сопротивление грунта, Ом·м]])),BL711/SQRT(Таблица_pr10[[#This Row],[Удельное сопротивление грунта, Ом·м]]))</f>
        <v/>
      </c>
    </row>
    <row r="712" spans="1:65">
      <c r="A712" s="53"/>
      <c r="B712" s="52"/>
      <c r="C712" s="50"/>
      <c r="D712" s="61" t="str">
        <f t="shared" si="97"/>
        <v/>
      </c>
      <c r="E712" s="61" t="str">
        <f>IFERROR(IF(B712-B711&lt;=0,"",D712/SQRT(Таблица_pr[[#This Row],[Удельное сопротивление грунта, Ом·м]])),D712/SQRT(Таблица_pr[[#This Row],[Удельное сопротивление грунта, Ом·м]]))</f>
        <v/>
      </c>
      <c r="G712" s="188"/>
      <c r="H712" s="184"/>
      <c r="I712" s="182"/>
      <c r="J712" s="181" t="str">
        <f t="shared" si="98"/>
        <v/>
      </c>
      <c r="K712" s="61" t="str">
        <f>IFERROR(IF(H712-H711&lt;=0,"",J712/SQRT(Таблица_pr1[[#This Row],[Удельное сопротивление грунта, Ом·м]])),J712/SQRT(Таблица_pr1[[#This Row],[Удельное сопротивление грунта, Ом·м]]))</f>
        <v/>
      </c>
      <c r="M712" s="53"/>
      <c r="N712" s="52"/>
      <c r="O712" s="50"/>
      <c r="P712" s="61" t="str">
        <f t="shared" si="103"/>
        <v/>
      </c>
      <c r="Q712" s="61" t="str">
        <f>IFERROR(IF(N712-N711&lt;=0,"",P712/SQRT(Таблица_pr2[[#This Row],[Удельное сопротивление грунта, Ом·м]])),P712/SQRT(Таблица_pr2[[#This Row],[Удельное сопротивление грунта, Ом·м]]))</f>
        <v/>
      </c>
      <c r="S712" s="53"/>
      <c r="T712" s="52"/>
      <c r="U712" s="50"/>
      <c r="V712" s="61" t="str">
        <f>IFERROR(IF(T712-T711&lt;=0,"",(T712-T711)*1000),100)</f>
        <v/>
      </c>
      <c r="W712" s="61" t="str">
        <f>IFERROR(IF(T712-T711&lt;=0,"",V712/SQRT(Таблица_pr3[[#This Row],[Удельное сопротивление грунта, Ом·м]])),V712/SQRT(Таблица_pr3[[#This Row],[Удельное сопротивление грунта, Ом·м]]))</f>
        <v/>
      </c>
      <c r="Y712" s="53"/>
      <c r="Z712" s="52"/>
      <c r="AA712" s="50"/>
      <c r="AB712" s="61" t="str">
        <f>IFERROR(IF(Z712-Z711&lt;=0,"",(Z712-Z711)*1000),100)</f>
        <v/>
      </c>
      <c r="AC712" s="61" t="str">
        <f>IFERROR(IF(Z712-Z711&lt;=0,"",AB712/SQRT(Таблица_pr4[[#This Row],[Удельное сопротивление грунта, Ом·м]])),AB712/SQRT(Таблица_pr4[[#This Row],[Удельное сопротивление грунта, Ом·м]]))</f>
        <v/>
      </c>
      <c r="AE712" s="53"/>
      <c r="AF712" s="52"/>
      <c r="AG712" s="50"/>
      <c r="AH712" s="61" t="str">
        <f>IFERROR(IF(AF712-AF711&lt;=0,"",(AF712-AF711)*1000),100)</f>
        <v/>
      </c>
      <c r="AI712" s="61" t="str">
        <f>IFERROR(IF(AF712-AF711&lt;=0,"",AH712/SQRT(Таблица_pr5[[#This Row],[Удельное сопротивление грунта, Ом·м]])),AH712/SQRT(Таблица_pr5[[#This Row],[Удельное сопротивление грунта, Ом·м]]))</f>
        <v/>
      </c>
      <c r="AK712" s="53"/>
      <c r="AL712" s="52"/>
      <c r="AM712" s="50"/>
      <c r="AN712" s="61" t="str">
        <f>IFERROR(IF(AL712-AL711&lt;=0,"",(AL712-AL711)*1000),100)</f>
        <v/>
      </c>
      <c r="AO712" s="61" t="str">
        <f>IFERROR(IF(AL712-AL711&lt;=0,"",AN712/SQRT(Таблица_pr5[[#This Row],[Удельное сопротивление грунта, Ом·м]])),AN712/SQRT(Таблица_pr5[[#This Row],[Удельное сопротивление грунта, Ом·м]]))</f>
        <v/>
      </c>
      <c r="AQ712" s="53"/>
      <c r="AR712" s="52"/>
      <c r="AS712" s="50"/>
      <c r="AT712" s="61" t="str">
        <f>IFERROR(IF(AR712-AR711&lt;=0,"",(AR712-AR711)*1000),100)</f>
        <v/>
      </c>
      <c r="AU712" s="61" t="str">
        <f>IFERROR(IF(AR712-AR711&lt;=0,"",AT712/SQRT(Таблица_pr7[[#This Row],[Удельное сопротивление грунта, Ом·м]])),AT712/SQRT(Таблица_pr7[[#This Row],[Удельное сопротивление грунта, Ом·м]]))</f>
        <v/>
      </c>
      <c r="AW712" s="53"/>
      <c r="AX712" s="52"/>
      <c r="AY712" s="50"/>
      <c r="AZ712" s="61" t="str">
        <f>IFERROR(IF(AX712-AX711&lt;=0,"",(AX712-AX711)*1000),100)</f>
        <v/>
      </c>
      <c r="BA712" s="61" t="str">
        <f>IFERROR(IF(AX712-AX711&lt;=0,"",AZ712/SQRT(Таблица_pr8[[#This Row],[Удельное сопротивление грунта, Ом·м]])),AZ712/SQRT(Таблица_pr8[[#This Row],[Удельное сопротивление грунта, Ом·м]]))</f>
        <v/>
      </c>
      <c r="BC712" s="53"/>
      <c r="BD712" s="52"/>
      <c r="BE712" s="50"/>
      <c r="BF712" s="61" t="str">
        <f>IFERROR(IF(BD712-BD711&lt;=0,"",(BD712-BD711)*1000),100)</f>
        <v/>
      </c>
      <c r="BG712" s="61" t="str">
        <f>IFERROR(IF(BD712-AX731&lt;=0,"",BF712/SQRT(Таблица_pr9[[#This Row],[Удельное сопротивление грунта, Ом·м]])),BF712/SQRT(Таблица_pr9[[#This Row],[Удельное сопротивление грунта, Ом·м]]))</f>
        <v/>
      </c>
      <c r="BI712" s="53"/>
      <c r="BJ712" s="52"/>
      <c r="BK712" s="50"/>
      <c r="BL712" s="61" t="str">
        <f>IFERROR(IF(BJ712-BJ711&lt;=0,"",(BJ712-BJ711)*1000),100)</f>
        <v/>
      </c>
      <c r="BM712" s="61" t="str">
        <f>IFERROR(IF(BJ712-BD741&lt;=0,"",BL712/SQRT(Таблица_pr10[[#This Row],[Удельное сопротивление грунта, Ом·м]])),BL712/SQRT(Таблица_pr10[[#This Row],[Удельное сопротивление грунта, Ом·м]]))</f>
        <v/>
      </c>
    </row>
    <row r="713" spans="1:65">
      <c r="A713" s="51"/>
      <c r="B713" s="52"/>
      <c r="C713" s="50"/>
      <c r="D713" s="61" t="str">
        <f t="shared" si="97"/>
        <v/>
      </c>
      <c r="E713" s="61" t="str">
        <f>IFERROR(IF(B713-B712&lt;=0,"",D713/SQRT(Таблица_pr[[#This Row],[Удельное сопротивление грунта, Ом·м]])),D713/SQRT(Таблица_pr[[#This Row],[Удельное сопротивление грунта, Ом·м]]))</f>
        <v/>
      </c>
      <c r="G713" s="189"/>
      <c r="H713" s="185"/>
      <c r="I713" s="183"/>
      <c r="J713" s="180" t="str">
        <f t="shared" si="98"/>
        <v/>
      </c>
      <c r="K713" s="61" t="str">
        <f>IFERROR(IF(H713-H712&lt;=0,"",J713/SQRT(Таблица_pr1[[#This Row],[Удельное сопротивление грунта, Ом·м]])),J713/SQRT(Таблица_pr1[[#This Row],[Удельное сопротивление грунта, Ом·м]]))</f>
        <v/>
      </c>
      <c r="M713" s="51"/>
      <c r="N713" s="52"/>
      <c r="O713" s="50"/>
      <c r="P713" s="61" t="str">
        <f t="shared" si="103"/>
        <v/>
      </c>
      <c r="Q713" s="61" t="str">
        <f>IFERROR(IF(N713-N712&lt;=0,"",P713/SQRT(Таблица_pr2[[#This Row],[Удельное сопротивление грунта, Ом·м]])),P713/SQRT(Таблица_pr2[[#This Row],[Удельное сопротивление грунта, Ом·м]]))</f>
        <v/>
      </c>
      <c r="S713" s="51"/>
      <c r="T713" s="52"/>
      <c r="U713" s="50"/>
      <c r="V713" s="61" t="str">
        <f>IFERROR(IF(T713-T712&lt;=0,"",(T713-T712)*1000),100)</f>
        <v/>
      </c>
      <c r="W713" s="61" t="str">
        <f>IFERROR(IF(T713-T712&lt;=0,"",V713/SQRT(Таблица_pr3[[#This Row],[Удельное сопротивление грунта, Ом·м]])),V713/SQRT(Таблица_pr3[[#This Row],[Удельное сопротивление грунта, Ом·м]]))</f>
        <v/>
      </c>
      <c r="Y713" s="51"/>
      <c r="Z713" s="52"/>
      <c r="AA713" s="50"/>
      <c r="AB713" s="61" t="str">
        <f>IFERROR(IF(Z713-Z712&lt;=0,"",(Z713-Z712)*1000),100)</f>
        <v/>
      </c>
      <c r="AC713" s="61" t="str">
        <f>IFERROR(IF(Z713-Z712&lt;=0,"",AB713/SQRT(Таблица_pr4[[#This Row],[Удельное сопротивление грунта, Ом·м]])),AB713/SQRT(Таблица_pr4[[#This Row],[Удельное сопротивление грунта, Ом·м]]))</f>
        <v/>
      </c>
      <c r="AE713" s="51"/>
      <c r="AF713" s="52"/>
      <c r="AG713" s="50"/>
      <c r="AH713" s="61" t="str">
        <f>IFERROR(IF(AF713-AF712&lt;=0,"",(AF713-AF712)*1000),100)</f>
        <v/>
      </c>
      <c r="AI713" s="61" t="str">
        <f>IFERROR(IF(AF713-AF712&lt;=0,"",AH713/SQRT(Таблица_pr5[[#This Row],[Удельное сопротивление грунта, Ом·м]])),AH713/SQRT(Таблица_pr5[[#This Row],[Удельное сопротивление грунта, Ом·м]]))</f>
        <v/>
      </c>
      <c r="AK713" s="51"/>
      <c r="AL713" s="52"/>
      <c r="AM713" s="50"/>
      <c r="AN713" s="61" t="str">
        <f>IFERROR(IF(AL713-AL712&lt;=0,"",(AL713-AL712)*1000),100)</f>
        <v/>
      </c>
      <c r="AO713" s="61" t="str">
        <f>IFERROR(IF(AL713-AL712&lt;=0,"",AN713/SQRT(Таблица_pr5[[#This Row],[Удельное сопротивление грунта, Ом·м]])),AN713/SQRT(Таблица_pr5[[#This Row],[Удельное сопротивление грунта, Ом·м]]))</f>
        <v/>
      </c>
      <c r="AQ713" s="51"/>
      <c r="AR713" s="52"/>
      <c r="AS713" s="50"/>
      <c r="AT713" s="61" t="str">
        <f>IFERROR(IF(AR713-AR712&lt;=0,"",(AR713-AR712)*1000),100)</f>
        <v/>
      </c>
      <c r="AU713" s="61" t="str">
        <f>IFERROR(IF(AR713-AR712&lt;=0,"",AT713/SQRT(Таблица_pr7[[#This Row],[Удельное сопротивление грунта, Ом·м]])),AT713/SQRT(Таблица_pr7[[#This Row],[Удельное сопротивление грунта, Ом·м]]))</f>
        <v/>
      </c>
      <c r="AW713" s="51"/>
      <c r="AX713" s="52"/>
      <c r="AY713" s="50"/>
      <c r="AZ713" s="61" t="str">
        <f>IFERROR(IF(AX713-AX712&lt;=0,"",(AX713-AX712)*1000),100)</f>
        <v/>
      </c>
      <c r="BA713" s="61" t="str">
        <f>IFERROR(IF(AX713-AX712&lt;=0,"",AZ713/SQRT(Таблица_pr8[[#This Row],[Удельное сопротивление грунта, Ом·м]])),AZ713/SQRT(Таблица_pr8[[#This Row],[Удельное сопротивление грунта, Ом·м]]))</f>
        <v/>
      </c>
      <c r="BC713" s="51"/>
      <c r="BD713" s="52"/>
      <c r="BE713" s="50"/>
      <c r="BF713" s="61" t="str">
        <f>IFERROR(IF(BD713-BD712&lt;=0,"",(BD713-BD712)*1000),100)</f>
        <v/>
      </c>
      <c r="BG713" s="61" t="str">
        <f>IFERROR(IF(BD713-AX732&lt;=0,"",BF713/SQRT(Таблица_pr9[[#This Row],[Удельное сопротивление грунта, Ом·м]])),BF713/SQRT(Таблица_pr9[[#This Row],[Удельное сопротивление грунта, Ом·м]]))</f>
        <v/>
      </c>
      <c r="BI713" s="51"/>
      <c r="BJ713" s="52"/>
      <c r="BK713" s="50"/>
      <c r="BL713" s="61" t="str">
        <f>IFERROR(IF(BJ713-BJ712&lt;=0,"",(BJ713-BJ712)*1000),100)</f>
        <v/>
      </c>
      <c r="BM713" s="61" t="str">
        <f>IFERROR(IF(BJ713-BD742&lt;=0,"",BL713/SQRT(Таблица_pr10[[#This Row],[Удельное сопротивление грунта, Ом·м]])),BL713/SQRT(Таблица_pr10[[#This Row],[Удельное сопротивление грунта, Ом·м]]))</f>
        <v/>
      </c>
    </row>
    <row r="714" spans="1:65">
      <c r="A714" s="53"/>
      <c r="B714" s="52"/>
      <c r="C714" s="50"/>
      <c r="D714" s="61" t="str">
        <f t="shared" si="97"/>
        <v/>
      </c>
      <c r="E714" s="61" t="str">
        <f>IFERROR(IF(B714-B713&lt;=0,"",D714/SQRT(Таблица_pr[[#This Row],[Удельное сопротивление грунта, Ом·м]])),D714/SQRT(Таблица_pr[[#This Row],[Удельное сопротивление грунта, Ом·м]]))</f>
        <v/>
      </c>
      <c r="G714" s="188"/>
      <c r="H714" s="184"/>
      <c r="I714" s="182"/>
      <c r="J714" s="181" t="str">
        <f t="shared" si="98"/>
        <v/>
      </c>
      <c r="K714" s="61" t="str">
        <f>IFERROR(IF(H714-H713&lt;=0,"",J714/SQRT(Таблица_pr1[[#This Row],[Удельное сопротивление грунта, Ом·м]])),J714/SQRT(Таблица_pr1[[#This Row],[Удельное сопротивление грунта, Ом·м]]))</f>
        <v/>
      </c>
      <c r="M714" s="53"/>
      <c r="N714" s="52"/>
      <c r="O714" s="50"/>
      <c r="P714" s="61" t="str">
        <f t="shared" si="103"/>
        <v/>
      </c>
      <c r="Q714" s="61" t="str">
        <f>IFERROR(IF(N714-N713&lt;=0,"",P714/SQRT(Таблица_pr2[[#This Row],[Удельное сопротивление грунта, Ом·м]])),P714/SQRT(Таблица_pr2[[#This Row],[Удельное сопротивление грунта, Ом·м]]))</f>
        <v/>
      </c>
      <c r="S714" s="53"/>
      <c r="T714" s="52"/>
      <c r="U714" s="50"/>
      <c r="V714" s="61" t="str">
        <f>IFERROR(IF(T714-T713&lt;=0,"",(T714-T713)*1000),100)</f>
        <v/>
      </c>
      <c r="W714" s="61" t="str">
        <f>IFERROR(IF(T714-T713&lt;=0,"",V714/SQRT(Таблица_pr3[[#This Row],[Удельное сопротивление грунта, Ом·м]])),V714/SQRT(Таблица_pr3[[#This Row],[Удельное сопротивление грунта, Ом·м]]))</f>
        <v/>
      </c>
      <c r="Y714" s="53"/>
      <c r="Z714" s="52"/>
      <c r="AA714" s="50"/>
      <c r="AB714" s="61" t="str">
        <f>IFERROR(IF(Z714-Z713&lt;=0,"",(Z714-Z713)*1000),100)</f>
        <v/>
      </c>
      <c r="AC714" s="61" t="str">
        <f>IFERROR(IF(Z714-Z713&lt;=0,"",AB714/SQRT(Таблица_pr4[[#This Row],[Удельное сопротивление грунта, Ом·м]])),AB714/SQRT(Таблица_pr4[[#This Row],[Удельное сопротивление грунта, Ом·м]]))</f>
        <v/>
      </c>
      <c r="AE714" s="53"/>
      <c r="AF714" s="52"/>
      <c r="AG714" s="50"/>
      <c r="AH714" s="61" t="str">
        <f>IFERROR(IF(AF714-AF713&lt;=0,"",(AF714-AF713)*1000),100)</f>
        <v/>
      </c>
      <c r="AI714" s="61" t="str">
        <f>IFERROR(IF(AF714-AF713&lt;=0,"",AH714/SQRT(Таблица_pr5[[#This Row],[Удельное сопротивление грунта, Ом·м]])),AH714/SQRT(Таблица_pr5[[#This Row],[Удельное сопротивление грунта, Ом·м]]))</f>
        <v/>
      </c>
      <c r="AK714" s="53"/>
      <c r="AL714" s="52"/>
      <c r="AM714" s="50"/>
      <c r="AN714" s="61" t="str">
        <f>IFERROR(IF(AL714-AL713&lt;=0,"",(AL714-AL713)*1000),100)</f>
        <v/>
      </c>
      <c r="AO714" s="61" t="str">
        <f>IFERROR(IF(AL714-AL713&lt;=0,"",AN714/SQRT(Таблица_pr5[[#This Row],[Удельное сопротивление грунта, Ом·м]])),AN714/SQRT(Таблица_pr5[[#This Row],[Удельное сопротивление грунта, Ом·м]]))</f>
        <v/>
      </c>
      <c r="AQ714" s="53"/>
      <c r="AR714" s="52"/>
      <c r="AS714" s="50"/>
      <c r="AT714" s="61" t="str">
        <f>IFERROR(IF(AR714-AR713&lt;=0,"",(AR714-AR713)*1000),100)</f>
        <v/>
      </c>
      <c r="AU714" s="61" t="str">
        <f>IFERROR(IF(AR714-AR713&lt;=0,"",AT714/SQRT(Таблица_pr7[[#This Row],[Удельное сопротивление грунта, Ом·м]])),AT714/SQRT(Таблица_pr7[[#This Row],[Удельное сопротивление грунта, Ом·м]]))</f>
        <v/>
      </c>
      <c r="AW714" s="53"/>
      <c r="AX714" s="52"/>
      <c r="AY714" s="50"/>
      <c r="AZ714" s="61" t="str">
        <f>IFERROR(IF(AX714-AX713&lt;=0,"",(AX714-AX713)*1000),100)</f>
        <v/>
      </c>
      <c r="BA714" s="61" t="str">
        <f>IFERROR(IF(AX714-AX713&lt;=0,"",AZ714/SQRT(Таблица_pr8[[#This Row],[Удельное сопротивление грунта, Ом·м]])),AZ714/SQRT(Таблица_pr8[[#This Row],[Удельное сопротивление грунта, Ом·м]]))</f>
        <v/>
      </c>
      <c r="BC714" s="53"/>
      <c r="BD714" s="52"/>
      <c r="BE714" s="50"/>
      <c r="BF714" s="61" t="str">
        <f>IFERROR(IF(BD714-BD713&lt;=0,"",(BD714-BD713)*1000),100)</f>
        <v/>
      </c>
      <c r="BG714" s="61" t="str">
        <f>IFERROR(IF(BD714-AX733&lt;=0,"",BF714/SQRT(Таблица_pr9[[#This Row],[Удельное сопротивление грунта, Ом·м]])),BF714/SQRT(Таблица_pr9[[#This Row],[Удельное сопротивление грунта, Ом·м]]))</f>
        <v/>
      </c>
      <c r="BI714" s="53"/>
      <c r="BJ714" s="52"/>
      <c r="BK714" s="50"/>
      <c r="BL714" s="61" t="str">
        <f>IFERROR(IF(BJ714-BJ713&lt;=0,"",(BJ714-BJ713)*1000),100)</f>
        <v/>
      </c>
      <c r="BM714" s="61" t="str">
        <f>IFERROR(IF(BJ714-BD743&lt;=0,"",BL714/SQRT(Таблица_pr10[[#This Row],[Удельное сопротивление грунта, Ом·м]])),BL714/SQRT(Таблица_pr10[[#This Row],[Удельное сопротивление грунта, Ом·м]]))</f>
        <v/>
      </c>
    </row>
    <row r="715" spans="1:65">
      <c r="A715" s="51"/>
      <c r="B715" s="52"/>
      <c r="C715" s="50"/>
      <c r="D715" s="61" t="str">
        <f t="shared" si="97"/>
        <v/>
      </c>
      <c r="E715" s="61" t="str">
        <f>IFERROR(IF(B715-B714&lt;=0,"",D715/SQRT(Таблица_pr[[#This Row],[Удельное сопротивление грунта, Ом·м]])),D715/SQRT(Таблица_pr[[#This Row],[Удельное сопротивление грунта, Ом·м]]))</f>
        <v/>
      </c>
      <c r="G715" s="189"/>
      <c r="H715" s="185"/>
      <c r="I715" s="183"/>
      <c r="J715" s="180" t="str">
        <f t="shared" si="98"/>
        <v/>
      </c>
      <c r="K715" s="61" t="str">
        <f>IFERROR(IF(H715-H714&lt;=0,"",J715/SQRT(Таблица_pr1[[#This Row],[Удельное сопротивление грунта, Ом·м]])),J715/SQRT(Таблица_pr1[[#This Row],[Удельное сопротивление грунта, Ом·м]]))</f>
        <v/>
      </c>
      <c r="M715" s="51"/>
      <c r="N715" s="52"/>
      <c r="O715" s="50"/>
      <c r="P715" s="61" t="str">
        <f t="shared" si="103"/>
        <v/>
      </c>
      <c r="Q715" s="61" t="str">
        <f>IFERROR(IF(N715-N714&lt;=0,"",P715/SQRT(Таблица_pr2[[#This Row],[Удельное сопротивление грунта, Ом·м]])),P715/SQRT(Таблица_pr2[[#This Row],[Удельное сопротивление грунта, Ом·м]]))</f>
        <v/>
      </c>
      <c r="S715" s="51"/>
      <c r="T715" s="52"/>
      <c r="U715" s="50"/>
      <c r="V715" s="61" t="str">
        <f>IFERROR(IF(T715-T714&lt;=0,"",(T715-T714)*1000),100)</f>
        <v/>
      </c>
      <c r="W715" s="61" t="str">
        <f>IFERROR(IF(T715-T714&lt;=0,"",V715/SQRT(Таблица_pr3[[#This Row],[Удельное сопротивление грунта, Ом·м]])),V715/SQRT(Таблица_pr3[[#This Row],[Удельное сопротивление грунта, Ом·м]]))</f>
        <v/>
      </c>
      <c r="Y715" s="51"/>
      <c r="Z715" s="52"/>
      <c r="AA715" s="50"/>
      <c r="AB715" s="61" t="str">
        <f>IFERROR(IF(Z715-Z714&lt;=0,"",(Z715-Z714)*1000),100)</f>
        <v/>
      </c>
      <c r="AC715" s="61" t="str">
        <f>IFERROR(IF(Z715-Z714&lt;=0,"",AB715/SQRT(Таблица_pr4[[#This Row],[Удельное сопротивление грунта, Ом·м]])),AB715/SQRT(Таблица_pr4[[#This Row],[Удельное сопротивление грунта, Ом·м]]))</f>
        <v/>
      </c>
      <c r="AE715" s="51"/>
      <c r="AF715" s="52"/>
      <c r="AG715" s="50"/>
      <c r="AH715" s="61" t="str">
        <f>IFERROR(IF(AF715-AF714&lt;=0,"",(AF715-AF714)*1000),100)</f>
        <v/>
      </c>
      <c r="AI715" s="61" t="str">
        <f>IFERROR(IF(AF715-AF714&lt;=0,"",AH715/SQRT(Таблица_pr5[[#This Row],[Удельное сопротивление грунта, Ом·м]])),AH715/SQRT(Таблица_pr5[[#This Row],[Удельное сопротивление грунта, Ом·м]]))</f>
        <v/>
      </c>
      <c r="AK715" s="51"/>
      <c r="AL715" s="52"/>
      <c r="AM715" s="50"/>
      <c r="AN715" s="61" t="str">
        <f>IFERROR(IF(AL715-AL714&lt;=0,"",(AL715-AL714)*1000),100)</f>
        <v/>
      </c>
      <c r="AO715" s="61" t="str">
        <f>IFERROR(IF(AL715-AL714&lt;=0,"",AN715/SQRT(Таблица_pr5[[#This Row],[Удельное сопротивление грунта, Ом·м]])),AN715/SQRT(Таблица_pr5[[#This Row],[Удельное сопротивление грунта, Ом·м]]))</f>
        <v/>
      </c>
      <c r="AQ715" s="51"/>
      <c r="AR715" s="52"/>
      <c r="AS715" s="50"/>
      <c r="AT715" s="61" t="str">
        <f>IFERROR(IF(AR715-AR714&lt;=0,"",(AR715-AR714)*1000),100)</f>
        <v/>
      </c>
      <c r="AU715" s="61" t="str">
        <f>IFERROR(IF(AR715-AR714&lt;=0,"",AT715/SQRT(Таблица_pr7[[#This Row],[Удельное сопротивление грунта, Ом·м]])),AT715/SQRT(Таблица_pr7[[#This Row],[Удельное сопротивление грунта, Ом·м]]))</f>
        <v/>
      </c>
      <c r="AW715" s="51"/>
      <c r="AX715" s="52"/>
      <c r="AY715" s="50"/>
      <c r="AZ715" s="61" t="str">
        <f>IFERROR(IF(AX715-AX714&lt;=0,"",(AX715-AX714)*1000),100)</f>
        <v/>
      </c>
      <c r="BA715" s="61" t="str">
        <f>IFERROR(IF(AX715-AX714&lt;=0,"",AZ715/SQRT(Таблица_pr8[[#This Row],[Удельное сопротивление грунта, Ом·м]])),AZ715/SQRT(Таблица_pr8[[#This Row],[Удельное сопротивление грунта, Ом·м]]))</f>
        <v/>
      </c>
      <c r="BC715" s="51"/>
      <c r="BD715" s="52"/>
      <c r="BE715" s="50"/>
      <c r="BF715" s="61" t="str">
        <f>IFERROR(IF(BD715-BD714&lt;=0,"",(BD715-BD714)*1000),100)</f>
        <v/>
      </c>
      <c r="BG715" s="61" t="str">
        <f>IFERROR(IF(BD715-AX734&lt;=0,"",BF715/SQRT(Таблица_pr9[[#This Row],[Удельное сопротивление грунта, Ом·м]])),BF715/SQRT(Таблица_pr9[[#This Row],[Удельное сопротивление грунта, Ом·м]]))</f>
        <v/>
      </c>
      <c r="BI715" s="51"/>
      <c r="BJ715" s="52"/>
      <c r="BK715" s="50"/>
      <c r="BL715" s="61" t="str">
        <f>IFERROR(IF(BJ715-BJ714&lt;=0,"",(BJ715-BJ714)*1000),100)</f>
        <v/>
      </c>
      <c r="BM715" s="61" t="str">
        <f>IFERROR(IF(BJ715-BD744&lt;=0,"",BL715/SQRT(Таблица_pr10[[#This Row],[Удельное сопротивление грунта, Ом·м]])),BL715/SQRT(Таблица_pr10[[#This Row],[Удельное сопротивление грунта, Ом·м]]))</f>
        <v/>
      </c>
    </row>
    <row r="716" spans="1:65">
      <c r="D716" s="62"/>
      <c r="J716" s="62"/>
      <c r="P716" s="62"/>
      <c r="V716" s="62"/>
      <c r="AB716" s="62"/>
      <c r="AH716" s="62"/>
      <c r="AN716" s="62"/>
      <c r="AT716" s="62"/>
      <c r="AZ716" s="62"/>
      <c r="BF716" s="62"/>
      <c r="BL716" s="62"/>
    </row>
    <row r="717" spans="1:65">
      <c r="D717" s="62"/>
      <c r="J717" s="62"/>
      <c r="P717" s="62"/>
      <c r="V717" s="62"/>
      <c r="AB717" s="62"/>
      <c r="AH717" s="62"/>
      <c r="AN717" s="62"/>
      <c r="AT717" s="62"/>
      <c r="AZ717" s="62"/>
      <c r="BF717" s="62"/>
      <c r="BL717" s="62"/>
    </row>
    <row r="718" spans="1:65">
      <c r="D718" s="62"/>
      <c r="J718" s="62"/>
      <c r="P718" s="62"/>
      <c r="V718" s="62"/>
      <c r="AB718" s="62"/>
      <c r="AH718" s="62"/>
      <c r="AN718" s="62"/>
      <c r="AT718" s="62"/>
      <c r="AZ718" s="62"/>
      <c r="BF718" s="62"/>
      <c r="BL718" s="62"/>
    </row>
    <row r="719" spans="1:65">
      <c r="D719" s="62"/>
      <c r="J719" s="62"/>
      <c r="P719" s="62"/>
      <c r="V719" s="62"/>
      <c r="AB719" s="62"/>
      <c r="AH719" s="62"/>
      <c r="AN719" s="62"/>
      <c r="AT719" s="62"/>
      <c r="AZ719" s="62"/>
      <c r="BF719" s="62"/>
      <c r="BL719" s="62"/>
    </row>
    <row r="720" spans="1:65">
      <c r="D720" s="62"/>
      <c r="J720" s="62"/>
      <c r="P720" s="62"/>
      <c r="V720" s="62"/>
      <c r="AB720" s="62"/>
      <c r="AH720" s="62"/>
      <c r="AN720" s="62"/>
      <c r="AT720" s="62"/>
      <c r="AZ720" s="62"/>
      <c r="BF720" s="62"/>
      <c r="BL720" s="62"/>
    </row>
    <row r="721" spans="4:64">
      <c r="D721" s="62"/>
      <c r="J721" s="62"/>
      <c r="P721" s="62"/>
      <c r="V721" s="62"/>
      <c r="AB721" s="62"/>
      <c r="AH721" s="62"/>
      <c r="AN721" s="62"/>
      <c r="AT721" s="62"/>
      <c r="AZ721" s="62"/>
      <c r="BF721" s="62"/>
      <c r="BL721" s="62"/>
    </row>
    <row r="722" spans="4:64">
      <c r="D722" s="62"/>
      <c r="J722" s="62"/>
      <c r="P722" s="62"/>
      <c r="V722" s="62"/>
      <c r="AB722" s="62"/>
      <c r="AH722" s="62"/>
      <c r="AN722" s="62"/>
      <c r="AT722" s="62"/>
      <c r="AZ722" s="62"/>
      <c r="BF722" s="62"/>
      <c r="BL722" s="62"/>
    </row>
    <row r="723" spans="4:64">
      <c r="D723" s="62"/>
      <c r="J723" s="62"/>
      <c r="P723" s="62"/>
      <c r="V723" s="62"/>
      <c r="AB723" s="62"/>
      <c r="AH723" s="62"/>
      <c r="AN723" s="62"/>
      <c r="AT723" s="62"/>
      <c r="AZ723" s="62"/>
      <c r="BF723" s="62"/>
      <c r="BL723" s="62"/>
    </row>
    <row r="724" spans="4:64">
      <c r="D724" s="62"/>
      <c r="J724" s="62"/>
      <c r="P724" s="62"/>
      <c r="V724" s="62"/>
      <c r="AB724" s="62"/>
      <c r="AH724" s="62"/>
      <c r="AN724" s="62"/>
      <c r="AT724" s="62"/>
      <c r="AZ724" s="62"/>
      <c r="BF724" s="62"/>
      <c r="BL724" s="62"/>
    </row>
    <row r="725" spans="4:64">
      <c r="D725" s="62"/>
      <c r="J725" s="62"/>
      <c r="P725" s="62"/>
      <c r="V725" s="62"/>
      <c r="AB725" s="62"/>
      <c r="AH725" s="62"/>
      <c r="AN725" s="62"/>
      <c r="AT725" s="62"/>
      <c r="AZ725" s="62"/>
      <c r="BF725" s="62"/>
      <c r="BL725" s="62"/>
    </row>
    <row r="726" spans="4:64">
      <c r="D726" s="62"/>
      <c r="J726" s="62"/>
      <c r="P726" s="62"/>
      <c r="V726" s="62"/>
      <c r="AB726" s="62"/>
      <c r="AH726" s="62"/>
      <c r="AN726" s="62"/>
      <c r="AT726" s="62"/>
      <c r="AZ726" s="62"/>
      <c r="BF726" s="62"/>
      <c r="BL726" s="62"/>
    </row>
    <row r="727" spans="4:64">
      <c r="D727" s="62"/>
      <c r="J727" s="62"/>
      <c r="P727" s="62"/>
      <c r="V727" s="62"/>
      <c r="AB727" s="62"/>
      <c r="AH727" s="62"/>
      <c r="AN727" s="62"/>
      <c r="AT727" s="62"/>
      <c r="AZ727" s="62"/>
      <c r="BF727" s="62"/>
      <c r="BL727" s="62"/>
    </row>
    <row r="728" spans="4:64">
      <c r="D728" s="62"/>
      <c r="J728" s="62"/>
      <c r="P728" s="62"/>
      <c r="V728" s="62"/>
      <c r="AB728" s="62"/>
      <c r="AH728" s="62"/>
      <c r="AN728" s="62"/>
      <c r="AT728" s="62"/>
      <c r="AZ728" s="62"/>
      <c r="BF728" s="62"/>
      <c r="BL728" s="62"/>
    </row>
    <row r="729" spans="4:64">
      <c r="D729" s="62"/>
      <c r="J729" s="62"/>
      <c r="P729" s="62"/>
      <c r="V729" s="62"/>
      <c r="AB729" s="62"/>
      <c r="AH729" s="62"/>
      <c r="AN729" s="62"/>
      <c r="AT729" s="62"/>
      <c r="AZ729" s="62"/>
      <c r="BF729" s="62"/>
      <c r="BL729" s="62"/>
    </row>
    <row r="730" spans="4:64">
      <c r="D730" s="62"/>
      <c r="J730" s="62"/>
      <c r="P730" s="62"/>
      <c r="V730" s="62"/>
      <c r="AB730" s="62"/>
      <c r="AH730" s="62"/>
      <c r="AN730" s="62"/>
      <c r="AT730" s="62"/>
      <c r="AZ730" s="62"/>
      <c r="BF730" s="62"/>
      <c r="BL730" s="62"/>
    </row>
    <row r="731" spans="4:64">
      <c r="D731" s="62"/>
      <c r="J731" s="62"/>
      <c r="P731" s="62"/>
      <c r="V731" s="62"/>
      <c r="AB731" s="62"/>
      <c r="AH731" s="62"/>
      <c r="AN731" s="62"/>
      <c r="AT731" s="62"/>
      <c r="AZ731" s="62"/>
      <c r="BF731" s="62"/>
      <c r="BL731" s="62"/>
    </row>
    <row r="732" spans="4:64">
      <c r="D732" s="62"/>
      <c r="J732" s="62"/>
      <c r="P732" s="62"/>
      <c r="V732" s="62"/>
      <c r="AB732" s="62"/>
      <c r="AH732" s="62"/>
      <c r="AN732" s="62"/>
      <c r="AT732" s="62"/>
      <c r="AZ732" s="62"/>
      <c r="BF732" s="62"/>
      <c r="BL732" s="62"/>
    </row>
    <row r="733" spans="4:64">
      <c r="D733" s="62"/>
      <c r="J733" s="62"/>
      <c r="P733" s="62"/>
      <c r="V733" s="62"/>
      <c r="AB733" s="62"/>
      <c r="AH733" s="62"/>
      <c r="AN733" s="62"/>
      <c r="AT733" s="62"/>
      <c r="AZ733" s="62"/>
      <c r="BF733" s="62"/>
      <c r="BL733" s="62"/>
    </row>
    <row r="734" spans="4:64">
      <c r="D734" s="62"/>
      <c r="J734" s="62"/>
      <c r="P734" s="62"/>
      <c r="V734" s="62"/>
      <c r="AB734" s="62"/>
      <c r="AH734" s="62"/>
      <c r="AN734" s="62"/>
      <c r="AT734" s="62"/>
      <c r="AZ734" s="62"/>
      <c r="BF734" s="62"/>
      <c r="BL734" s="62"/>
    </row>
    <row r="735" spans="4:64">
      <c r="D735" s="62"/>
      <c r="J735" s="62"/>
      <c r="P735" s="62"/>
      <c r="V735" s="62"/>
      <c r="AB735" s="62"/>
      <c r="AH735" s="62"/>
      <c r="AN735" s="62"/>
      <c r="AT735" s="62"/>
      <c r="AZ735" s="62"/>
      <c r="BF735" s="62"/>
      <c r="BL735" s="62"/>
    </row>
    <row r="736" spans="4:64">
      <c r="D736" s="62"/>
      <c r="J736" s="62"/>
      <c r="P736" s="62"/>
      <c r="V736" s="62"/>
      <c r="AB736" s="62"/>
      <c r="AH736" s="62"/>
      <c r="AN736" s="62"/>
      <c r="AT736" s="62"/>
      <c r="AZ736" s="62"/>
      <c r="BF736" s="62"/>
      <c r="BL736" s="62"/>
    </row>
    <row r="737" spans="4:64">
      <c r="D737" s="62"/>
      <c r="J737" s="62"/>
      <c r="P737" s="62"/>
      <c r="V737" s="62"/>
      <c r="AB737" s="62"/>
      <c r="AH737" s="62"/>
      <c r="AN737" s="62"/>
      <c r="AT737" s="62"/>
      <c r="AZ737" s="62"/>
      <c r="BF737" s="62"/>
      <c r="BL737" s="62"/>
    </row>
    <row r="738" spans="4:64">
      <c r="D738" s="62"/>
      <c r="J738" s="62"/>
      <c r="P738" s="62"/>
      <c r="V738" s="62"/>
      <c r="AB738" s="62"/>
      <c r="AH738" s="62"/>
      <c r="AN738" s="62"/>
      <c r="AT738" s="62"/>
      <c r="AZ738" s="62"/>
      <c r="BF738" s="62"/>
      <c r="BL738" s="62"/>
    </row>
    <row r="739" spans="4:64">
      <c r="D739" s="62"/>
      <c r="J739" s="62"/>
      <c r="P739" s="62"/>
      <c r="V739" s="62"/>
      <c r="AB739" s="62"/>
      <c r="AH739" s="62"/>
      <c r="AN739" s="62"/>
      <c r="AT739" s="62"/>
      <c r="AZ739" s="62"/>
      <c r="BF739" s="62"/>
      <c r="BL739" s="62"/>
    </row>
    <row r="740" spans="4:64">
      <c r="D740" s="62"/>
      <c r="J740" s="62"/>
      <c r="P740" s="62"/>
      <c r="V740" s="62"/>
      <c r="AB740" s="62"/>
      <c r="AH740" s="62"/>
      <c r="AN740" s="62"/>
      <c r="AT740" s="62"/>
      <c r="AZ740" s="62"/>
      <c r="BF740" s="62"/>
      <c r="BL740" s="62"/>
    </row>
    <row r="741" spans="4:64">
      <c r="D741" s="62"/>
      <c r="J741" s="62"/>
      <c r="P741" s="62"/>
      <c r="V741" s="62"/>
      <c r="AB741" s="62"/>
      <c r="AH741" s="62"/>
      <c r="AN741" s="62"/>
      <c r="AT741" s="62"/>
      <c r="AZ741" s="62"/>
      <c r="BF741" s="62"/>
      <c r="BL741" s="62"/>
    </row>
    <row r="742" spans="4:64">
      <c r="D742" s="62"/>
      <c r="J742" s="62"/>
      <c r="P742" s="62"/>
      <c r="V742" s="62"/>
      <c r="AB742" s="62"/>
      <c r="AH742" s="62"/>
      <c r="AN742" s="62"/>
      <c r="AT742" s="62"/>
      <c r="AZ742" s="62"/>
      <c r="BF742" s="62"/>
      <c r="BL742" s="62"/>
    </row>
    <row r="743" spans="4:64">
      <c r="D743" s="62"/>
      <c r="J743" s="62"/>
      <c r="P743" s="62"/>
      <c r="V743" s="62"/>
      <c r="AB743" s="62"/>
      <c r="AH743" s="62"/>
      <c r="AN743" s="62"/>
      <c r="AT743" s="62"/>
      <c r="AZ743" s="62"/>
      <c r="BF743" s="62"/>
      <c r="BL743" s="62"/>
    </row>
    <row r="744" spans="4:64">
      <c r="D744" s="62"/>
      <c r="J744" s="62"/>
      <c r="P744" s="62"/>
      <c r="V744" s="62"/>
      <c r="AB744" s="62"/>
      <c r="AH744" s="62"/>
      <c r="AN744" s="62"/>
      <c r="AT744" s="62"/>
      <c r="AZ744" s="62"/>
      <c r="BF744" s="62"/>
      <c r="BL744" s="62"/>
    </row>
    <row r="745" spans="4:64">
      <c r="D745" s="62"/>
      <c r="J745" s="62"/>
      <c r="P745" s="62"/>
      <c r="V745" s="62"/>
      <c r="AB745" s="62"/>
      <c r="AH745" s="62"/>
      <c r="AN745" s="62"/>
      <c r="AT745" s="62"/>
      <c r="AZ745" s="62"/>
      <c r="BF745" s="62"/>
      <c r="BL745" s="62"/>
    </row>
    <row r="746" spans="4:64">
      <c r="D746" s="62"/>
      <c r="J746" s="62"/>
      <c r="P746" s="62"/>
      <c r="V746" s="62"/>
      <c r="AB746" s="62"/>
      <c r="AH746" s="62"/>
      <c r="AN746" s="62"/>
      <c r="AT746" s="62"/>
      <c r="AZ746" s="62"/>
      <c r="BF746" s="62"/>
      <c r="BL746" s="62"/>
    </row>
    <row r="747" spans="4:64">
      <c r="D747" s="62"/>
      <c r="J747" s="62"/>
      <c r="P747" s="62"/>
      <c r="V747" s="62"/>
      <c r="AB747" s="62"/>
      <c r="AH747" s="62"/>
      <c r="AN747" s="62"/>
      <c r="AT747" s="62"/>
      <c r="AZ747" s="62"/>
      <c r="BF747" s="62"/>
      <c r="BL747" s="62"/>
    </row>
    <row r="748" spans="4:64">
      <c r="D748" s="62"/>
      <c r="J748" s="62"/>
      <c r="P748" s="62"/>
      <c r="V748" s="62"/>
      <c r="AB748" s="62"/>
      <c r="AH748" s="62"/>
      <c r="AN748" s="62"/>
      <c r="AT748" s="62"/>
      <c r="AZ748" s="62"/>
      <c r="BF748" s="62"/>
      <c r="BL748" s="62"/>
    </row>
    <row r="749" spans="4:64">
      <c r="D749" s="62"/>
      <c r="J749" s="62"/>
      <c r="P749" s="62"/>
      <c r="V749" s="62"/>
      <c r="AB749" s="62"/>
      <c r="AH749" s="62"/>
      <c r="AN749" s="62"/>
      <c r="AT749" s="62"/>
      <c r="AZ749" s="62"/>
      <c r="BF749" s="62"/>
      <c r="BL749" s="62"/>
    </row>
    <row r="750" spans="4:64">
      <c r="D750" s="62"/>
      <c r="J750" s="62"/>
      <c r="P750" s="62"/>
      <c r="V750" s="62"/>
      <c r="AB750" s="62"/>
      <c r="AH750" s="62"/>
      <c r="AN750" s="62"/>
      <c r="AT750" s="62"/>
      <c r="AZ750" s="62"/>
      <c r="BF750" s="62"/>
      <c r="BL750" s="62"/>
    </row>
    <row r="751" spans="4:64">
      <c r="D751" s="62"/>
      <c r="J751" s="62"/>
      <c r="P751" s="62"/>
      <c r="V751" s="62"/>
      <c r="AB751" s="62"/>
      <c r="AH751" s="62"/>
      <c r="AN751" s="62"/>
      <c r="AT751" s="62"/>
      <c r="AZ751" s="62"/>
      <c r="BF751" s="62"/>
      <c r="BL751" s="62"/>
    </row>
    <row r="752" spans="4:64">
      <c r="D752" s="62"/>
      <c r="J752" s="62"/>
      <c r="P752" s="62"/>
      <c r="V752" s="62"/>
      <c r="AB752" s="62"/>
      <c r="AH752" s="62"/>
      <c r="AN752" s="62"/>
      <c r="AT752" s="62"/>
      <c r="AZ752" s="62"/>
      <c r="BF752" s="62"/>
      <c r="BL752" s="62"/>
    </row>
    <row r="753" spans="4:64">
      <c r="D753" s="62"/>
      <c r="J753" s="62"/>
      <c r="P753" s="62"/>
      <c r="V753" s="62"/>
      <c r="AB753" s="62"/>
      <c r="AH753" s="62"/>
      <c r="AN753" s="62"/>
      <c r="AT753" s="62"/>
      <c r="AZ753" s="62"/>
      <c r="BF753" s="62"/>
      <c r="BL753" s="62"/>
    </row>
    <row r="754" spans="4:64">
      <c r="D754" s="62"/>
      <c r="J754" s="62"/>
      <c r="P754" s="62"/>
      <c r="V754" s="62"/>
      <c r="AB754" s="62"/>
      <c r="AH754" s="62"/>
      <c r="AN754" s="62"/>
      <c r="AT754" s="62"/>
      <c r="AZ754" s="62"/>
      <c r="BF754" s="62"/>
      <c r="BL754" s="62"/>
    </row>
    <row r="755" spans="4:64">
      <c r="D755" s="62"/>
      <c r="J755" s="62"/>
      <c r="P755" s="62"/>
      <c r="V755" s="62"/>
      <c r="AB755" s="62"/>
      <c r="AH755" s="62"/>
      <c r="AN755" s="62"/>
      <c r="AT755" s="62"/>
      <c r="AZ755" s="62"/>
      <c r="BF755" s="62"/>
      <c r="BL755" s="62"/>
    </row>
    <row r="756" spans="4:64">
      <c r="D756" s="62"/>
      <c r="J756" s="62"/>
      <c r="P756" s="62"/>
      <c r="V756" s="62"/>
      <c r="AB756" s="62"/>
      <c r="AH756" s="62"/>
      <c r="AN756" s="62"/>
      <c r="AT756" s="62"/>
      <c r="AZ756" s="62"/>
      <c r="BF756" s="62"/>
      <c r="BL756" s="62"/>
    </row>
    <row r="757" spans="4:64">
      <c r="D757" s="62"/>
      <c r="J757" s="62"/>
      <c r="P757" s="62"/>
      <c r="V757" s="62"/>
      <c r="AB757" s="62"/>
      <c r="AH757" s="62"/>
      <c r="AN757" s="62"/>
      <c r="AT757" s="62"/>
      <c r="AZ757" s="62"/>
      <c r="BF757" s="62"/>
      <c r="BL757" s="62"/>
    </row>
    <row r="758" spans="4:64">
      <c r="D758" s="62"/>
      <c r="J758" s="62"/>
      <c r="P758" s="62"/>
      <c r="V758" s="62"/>
      <c r="AB758" s="62"/>
      <c r="AH758" s="62"/>
      <c r="AN758" s="62"/>
      <c r="AT758" s="62"/>
      <c r="AZ758" s="62"/>
      <c r="BF758" s="62"/>
      <c r="BL758" s="62"/>
    </row>
    <row r="759" spans="4:64">
      <c r="D759" s="62"/>
      <c r="J759" s="62"/>
      <c r="P759" s="62"/>
      <c r="V759" s="62"/>
      <c r="AB759" s="62"/>
      <c r="AH759" s="62"/>
      <c r="AN759" s="62"/>
      <c r="AT759" s="62"/>
      <c r="AZ759" s="62"/>
      <c r="BF759" s="62"/>
      <c r="BL759" s="62"/>
    </row>
    <row r="760" spans="4:64">
      <c r="D760" s="62"/>
      <c r="J760" s="62"/>
      <c r="P760" s="62"/>
      <c r="V760" s="62"/>
      <c r="AB760" s="62"/>
      <c r="AH760" s="62"/>
      <c r="AN760" s="62"/>
      <c r="AT760" s="62"/>
      <c r="AZ760" s="62"/>
      <c r="BF760" s="62"/>
      <c r="BL760" s="62"/>
    </row>
    <row r="761" spans="4:64">
      <c r="D761" s="62"/>
      <c r="J761" s="62"/>
      <c r="P761" s="62"/>
      <c r="V761" s="62"/>
      <c r="AB761" s="62"/>
      <c r="AH761" s="62"/>
      <c r="AN761" s="62"/>
      <c r="AT761" s="62"/>
      <c r="AZ761" s="62"/>
      <c r="BF761" s="62"/>
      <c r="BL761" s="62"/>
    </row>
    <row r="762" spans="4:64">
      <c r="D762" s="62"/>
      <c r="J762" s="62"/>
      <c r="P762" s="62"/>
      <c r="V762" s="62"/>
      <c r="AB762" s="62"/>
      <c r="AH762" s="62"/>
      <c r="AN762" s="62"/>
      <c r="AT762" s="62"/>
      <c r="AZ762" s="62"/>
      <c r="BF762" s="62"/>
      <c r="BL762" s="62"/>
    </row>
    <row r="763" spans="4:64">
      <c r="D763" s="62"/>
      <c r="J763" s="62"/>
      <c r="P763" s="62"/>
      <c r="V763" s="62"/>
      <c r="AB763" s="62"/>
      <c r="AH763" s="62"/>
      <c r="AN763" s="62"/>
      <c r="AT763" s="62"/>
      <c r="AZ763" s="62"/>
      <c r="BF763" s="62"/>
      <c r="BL763" s="62"/>
    </row>
    <row r="764" spans="4:64">
      <c r="D764" s="62"/>
      <c r="J764" s="62"/>
      <c r="P764" s="62"/>
      <c r="V764" s="62"/>
      <c r="AB764" s="62"/>
      <c r="AH764" s="62"/>
      <c r="AN764" s="62"/>
      <c r="AT764" s="62"/>
      <c r="AZ764" s="62"/>
      <c r="BF764" s="62"/>
      <c r="BL764" s="62"/>
    </row>
    <row r="765" spans="4:64">
      <c r="D765" s="62"/>
      <c r="J765" s="62"/>
      <c r="P765" s="62"/>
      <c r="V765" s="62"/>
      <c r="AB765" s="62"/>
      <c r="AH765" s="62"/>
      <c r="AN765" s="62"/>
      <c r="AT765" s="62"/>
      <c r="AZ765" s="62"/>
      <c r="BF765" s="62"/>
      <c r="BL765" s="62"/>
    </row>
    <row r="766" spans="4:64">
      <c r="D766" s="62"/>
      <c r="J766" s="62"/>
      <c r="P766" s="62"/>
      <c r="V766" s="62"/>
      <c r="AB766" s="62"/>
      <c r="AH766" s="62"/>
      <c r="AN766" s="62"/>
      <c r="AT766" s="62"/>
      <c r="AZ766" s="62"/>
      <c r="BF766" s="62"/>
      <c r="BL766" s="62"/>
    </row>
    <row r="767" spans="4:64">
      <c r="D767" s="62"/>
      <c r="J767" s="62"/>
      <c r="P767" s="62"/>
      <c r="V767" s="62"/>
      <c r="AB767" s="62"/>
      <c r="AH767" s="62"/>
      <c r="AN767" s="62"/>
      <c r="AT767" s="62"/>
      <c r="AZ767" s="62"/>
      <c r="BF767" s="62"/>
      <c r="BL767" s="62"/>
    </row>
    <row r="768" spans="4:64">
      <c r="D768" s="62"/>
      <c r="J768" s="62"/>
      <c r="P768" s="62"/>
      <c r="V768" s="62"/>
      <c r="AB768" s="62"/>
      <c r="AH768" s="62"/>
      <c r="AN768" s="62"/>
      <c r="AT768" s="62"/>
      <c r="AZ768" s="62"/>
      <c r="BF768" s="62"/>
      <c r="BL768" s="62"/>
    </row>
    <row r="769" spans="4:64">
      <c r="D769" s="62"/>
      <c r="J769" s="62"/>
      <c r="P769" s="62"/>
      <c r="V769" s="62"/>
      <c r="AB769" s="62"/>
      <c r="AH769" s="62"/>
      <c r="AN769" s="62"/>
      <c r="AT769" s="62"/>
      <c r="AZ769" s="62"/>
      <c r="BF769" s="62"/>
      <c r="BL769" s="62"/>
    </row>
    <row r="770" spans="4:64">
      <c r="D770" s="62"/>
      <c r="J770" s="62"/>
      <c r="P770" s="62"/>
      <c r="V770" s="62"/>
      <c r="AB770" s="62"/>
      <c r="AH770" s="62"/>
      <c r="AN770" s="62"/>
      <c r="AT770" s="62"/>
      <c r="AZ770" s="62"/>
      <c r="BF770" s="62"/>
      <c r="BL770" s="62"/>
    </row>
    <row r="771" spans="4:64">
      <c r="D771" s="62"/>
      <c r="J771" s="62"/>
      <c r="P771" s="62"/>
      <c r="V771" s="62"/>
      <c r="AB771" s="62"/>
      <c r="AH771" s="62"/>
      <c r="AN771" s="62"/>
      <c r="AT771" s="62"/>
      <c r="AZ771" s="62"/>
      <c r="BF771" s="62"/>
      <c r="BL771" s="62"/>
    </row>
    <row r="772" spans="4:64">
      <c r="D772" s="62"/>
      <c r="J772" s="62"/>
      <c r="P772" s="62"/>
      <c r="V772" s="62"/>
      <c r="AB772" s="62"/>
      <c r="AH772" s="62"/>
      <c r="AN772" s="62"/>
      <c r="AT772" s="62"/>
      <c r="AZ772" s="62"/>
      <c r="BF772" s="62"/>
      <c r="BL772" s="62"/>
    </row>
    <row r="773" spans="4:64">
      <c r="D773" s="62"/>
      <c r="J773" s="62"/>
      <c r="P773" s="62"/>
      <c r="V773" s="62"/>
      <c r="AB773" s="62"/>
      <c r="AH773" s="62"/>
      <c r="AN773" s="62"/>
      <c r="AT773" s="62"/>
      <c r="AZ773" s="62"/>
      <c r="BF773" s="62"/>
      <c r="BL773" s="62"/>
    </row>
    <row r="774" spans="4:64">
      <c r="D774" s="62"/>
      <c r="J774" s="62"/>
      <c r="P774" s="62"/>
      <c r="V774" s="62"/>
      <c r="AB774" s="62"/>
      <c r="AH774" s="62"/>
      <c r="AN774" s="62"/>
      <c r="AT774" s="62"/>
      <c r="AZ774" s="62"/>
      <c r="BF774" s="62"/>
      <c r="BL774" s="62"/>
    </row>
    <row r="775" spans="4:64">
      <c r="D775" s="62"/>
      <c r="J775" s="62"/>
      <c r="P775" s="62"/>
      <c r="V775" s="62"/>
      <c r="AB775" s="62"/>
      <c r="AH775" s="62"/>
      <c r="AN775" s="62"/>
      <c r="AT775" s="62"/>
      <c r="AZ775" s="62"/>
      <c r="BF775" s="62"/>
      <c r="BL775" s="62"/>
    </row>
    <row r="776" spans="4:64">
      <c r="D776" s="62"/>
      <c r="J776" s="62"/>
      <c r="P776" s="62"/>
      <c r="V776" s="62"/>
      <c r="AB776" s="62"/>
      <c r="AH776" s="62"/>
      <c r="AN776" s="62"/>
      <c r="AT776" s="62"/>
      <c r="AZ776" s="62"/>
      <c r="BF776" s="62"/>
      <c r="BL776" s="62"/>
    </row>
    <row r="777" spans="4:64">
      <c r="D777" s="62"/>
      <c r="J777" s="62"/>
      <c r="P777" s="62"/>
      <c r="V777" s="62"/>
      <c r="AB777" s="62"/>
      <c r="AH777" s="62"/>
      <c r="AN777" s="62"/>
      <c r="AT777" s="62"/>
      <c r="AZ777" s="62"/>
      <c r="BF777" s="62"/>
      <c r="BL777" s="62"/>
    </row>
    <row r="778" spans="4:64">
      <c r="D778" s="62"/>
      <c r="J778" s="62"/>
      <c r="P778" s="62"/>
      <c r="V778" s="62"/>
      <c r="AB778" s="62"/>
      <c r="AH778" s="62"/>
      <c r="AN778" s="62"/>
      <c r="AT778" s="62"/>
      <c r="AZ778" s="62"/>
      <c r="BF778" s="62"/>
      <c r="BL778" s="62"/>
    </row>
    <row r="779" spans="4:64">
      <c r="D779" s="62"/>
      <c r="J779" s="62"/>
      <c r="P779" s="62"/>
      <c r="V779" s="62"/>
      <c r="AB779" s="62"/>
      <c r="AH779" s="62"/>
      <c r="AN779" s="62"/>
      <c r="AT779" s="62"/>
      <c r="AZ779" s="62"/>
      <c r="BF779" s="62"/>
      <c r="BL779" s="62"/>
    </row>
    <row r="780" spans="4:64">
      <c r="D780" s="62"/>
      <c r="J780" s="62"/>
      <c r="P780" s="62"/>
      <c r="V780" s="62"/>
      <c r="AB780" s="62"/>
      <c r="AH780" s="62"/>
      <c r="AN780" s="62"/>
      <c r="AT780" s="62"/>
      <c r="AZ780" s="62"/>
      <c r="BF780" s="62"/>
      <c r="BL780" s="62"/>
    </row>
    <row r="781" spans="4:64">
      <c r="D781" s="62"/>
      <c r="J781" s="62"/>
      <c r="P781" s="62"/>
      <c r="V781" s="62"/>
      <c r="AB781" s="62"/>
      <c r="AH781" s="62"/>
      <c r="AN781" s="62"/>
      <c r="AT781" s="62"/>
      <c r="AZ781" s="62"/>
      <c r="BF781" s="62"/>
      <c r="BL781" s="62"/>
    </row>
    <row r="782" spans="4:64">
      <c r="D782" s="62"/>
      <c r="J782" s="62"/>
      <c r="P782" s="62"/>
      <c r="V782" s="62"/>
      <c r="AB782" s="62"/>
      <c r="AH782" s="62"/>
      <c r="AN782" s="62"/>
      <c r="AT782" s="62"/>
      <c r="AZ782" s="62"/>
      <c r="BF782" s="62"/>
      <c r="BL782" s="62"/>
    </row>
    <row r="783" spans="4:64">
      <c r="D783" s="62"/>
      <c r="J783" s="62"/>
      <c r="P783" s="62"/>
      <c r="V783" s="62"/>
      <c r="AB783" s="62"/>
      <c r="AH783" s="62"/>
      <c r="AN783" s="62"/>
      <c r="AT783" s="62"/>
      <c r="AZ783" s="62"/>
      <c r="BF783" s="62"/>
      <c r="BL783" s="62"/>
    </row>
    <row r="784" spans="4:64">
      <c r="D784" s="62"/>
      <c r="J784" s="62"/>
      <c r="P784" s="62"/>
      <c r="V784" s="62"/>
      <c r="AB784" s="62"/>
      <c r="AH784" s="62"/>
      <c r="AN784" s="62"/>
      <c r="AT784" s="62"/>
      <c r="AZ784" s="62"/>
      <c r="BF784" s="62"/>
      <c r="BL784" s="62"/>
    </row>
    <row r="785" spans="4:64">
      <c r="D785" s="62"/>
      <c r="J785" s="62"/>
      <c r="P785" s="62"/>
      <c r="V785" s="62"/>
      <c r="AB785" s="62"/>
      <c r="AH785" s="62"/>
      <c r="AN785" s="62"/>
      <c r="AT785" s="62"/>
      <c r="AZ785" s="62"/>
      <c r="BF785" s="62"/>
      <c r="BL785" s="62"/>
    </row>
    <row r="786" spans="4:64">
      <c r="D786" s="62"/>
      <c r="J786" s="62"/>
      <c r="P786" s="62"/>
      <c r="V786" s="62"/>
      <c r="AB786" s="62"/>
      <c r="AH786" s="62"/>
      <c r="AN786" s="62"/>
      <c r="AT786" s="62"/>
      <c r="AZ786" s="62"/>
      <c r="BF786" s="62"/>
      <c r="BL786" s="62"/>
    </row>
    <row r="787" spans="4:64">
      <c r="D787" s="62"/>
      <c r="J787" s="62"/>
      <c r="P787" s="62"/>
      <c r="V787" s="62"/>
      <c r="AB787" s="62"/>
      <c r="AH787" s="62"/>
      <c r="AN787" s="62"/>
      <c r="AT787" s="62"/>
      <c r="AZ787" s="62"/>
      <c r="BF787" s="62"/>
      <c r="BL787" s="62"/>
    </row>
    <row r="788" spans="4:64">
      <c r="D788" s="62"/>
      <c r="J788" s="62"/>
      <c r="P788" s="62"/>
      <c r="V788" s="62"/>
      <c r="AB788" s="62"/>
      <c r="AH788" s="62"/>
      <c r="AN788" s="62"/>
      <c r="AT788" s="62"/>
      <c r="AZ788" s="62"/>
      <c r="BF788" s="62"/>
      <c r="BL788" s="62"/>
    </row>
    <row r="789" spans="4:64">
      <c r="D789" s="62"/>
      <c r="J789" s="62"/>
      <c r="P789" s="62"/>
      <c r="V789" s="62"/>
      <c r="AB789" s="62"/>
      <c r="AH789" s="62"/>
      <c r="AN789" s="62"/>
      <c r="AT789" s="62"/>
      <c r="AZ789" s="62"/>
      <c r="BF789" s="62"/>
      <c r="BL789" s="62"/>
    </row>
    <row r="790" spans="4:64">
      <c r="D790" s="62"/>
      <c r="J790" s="62"/>
      <c r="P790" s="62"/>
      <c r="V790" s="62"/>
      <c r="AB790" s="62"/>
      <c r="AH790" s="62"/>
      <c r="AN790" s="62"/>
      <c r="AT790" s="62"/>
      <c r="AZ790" s="62"/>
      <c r="BF790" s="62"/>
      <c r="BL790" s="62"/>
    </row>
    <row r="791" spans="4:64">
      <c r="D791" s="62"/>
      <c r="J791" s="62"/>
      <c r="P791" s="62"/>
      <c r="V791" s="62"/>
      <c r="AB791" s="62"/>
      <c r="AH791" s="62"/>
      <c r="AN791" s="62"/>
      <c r="AT791" s="62"/>
      <c r="AZ791" s="62"/>
      <c r="BF791" s="62"/>
      <c r="BL791" s="62"/>
    </row>
    <row r="792" spans="4:64">
      <c r="D792" s="62"/>
      <c r="J792" s="62"/>
      <c r="P792" s="62"/>
      <c r="V792" s="62"/>
      <c r="AB792" s="62"/>
      <c r="AH792" s="62"/>
      <c r="AN792" s="62"/>
      <c r="AT792" s="62"/>
      <c r="AZ792" s="62"/>
      <c r="BF792" s="62"/>
      <c r="BL792" s="62"/>
    </row>
    <row r="793" spans="4:64">
      <c r="D793" s="62"/>
      <c r="J793" s="62"/>
      <c r="P793" s="62"/>
      <c r="V793" s="62"/>
      <c r="AB793" s="62"/>
      <c r="AH793" s="62"/>
      <c r="AN793" s="62"/>
      <c r="AT793" s="62"/>
      <c r="AZ793" s="62"/>
      <c r="BF793" s="62"/>
      <c r="BL793" s="62"/>
    </row>
    <row r="794" spans="4:64">
      <c r="D794" s="62"/>
      <c r="J794" s="62"/>
      <c r="P794" s="62"/>
      <c r="V794" s="62"/>
      <c r="AB794" s="62"/>
      <c r="AH794" s="62"/>
      <c r="AN794" s="62"/>
      <c r="AT794" s="62"/>
      <c r="AZ794" s="62"/>
      <c r="BF794" s="62"/>
      <c r="BL794" s="62"/>
    </row>
    <row r="795" spans="4:64">
      <c r="D795" s="62"/>
      <c r="J795" s="62"/>
      <c r="P795" s="62"/>
      <c r="V795" s="62"/>
      <c r="AB795" s="62"/>
      <c r="AH795" s="62"/>
      <c r="AN795" s="62"/>
      <c r="AT795" s="62"/>
      <c r="AZ795" s="62"/>
      <c r="BF795" s="62"/>
      <c r="BL795" s="62"/>
    </row>
    <row r="796" spans="4:64">
      <c r="D796" s="62"/>
      <c r="J796" s="62"/>
      <c r="P796" s="62"/>
      <c r="V796" s="62"/>
      <c r="AB796" s="62"/>
      <c r="AH796" s="62"/>
      <c r="AN796" s="62"/>
      <c r="AT796" s="62"/>
      <c r="AZ796" s="62"/>
      <c r="BF796" s="62"/>
      <c r="BL796" s="62"/>
    </row>
    <row r="797" spans="4:64">
      <c r="D797" s="62"/>
      <c r="J797" s="62"/>
      <c r="P797" s="62"/>
      <c r="V797" s="62"/>
      <c r="AB797" s="62"/>
      <c r="AH797" s="62"/>
      <c r="AN797" s="62"/>
      <c r="AT797" s="62"/>
      <c r="AZ797" s="62"/>
      <c r="BF797" s="62"/>
      <c r="BL797" s="62"/>
    </row>
    <row r="798" spans="4:64">
      <c r="D798" s="62"/>
      <c r="J798" s="62"/>
      <c r="P798" s="62"/>
      <c r="V798" s="62"/>
      <c r="AB798" s="62"/>
      <c r="AH798" s="62"/>
      <c r="AN798" s="62"/>
      <c r="AT798" s="62"/>
      <c r="AZ798" s="62"/>
      <c r="BF798" s="62"/>
      <c r="BL798" s="62"/>
    </row>
    <row r="799" spans="4:64">
      <c r="D799" s="62"/>
      <c r="J799" s="62"/>
      <c r="P799" s="62"/>
      <c r="V799" s="62"/>
      <c r="AB799" s="62"/>
      <c r="AH799" s="62"/>
      <c r="AN799" s="62"/>
      <c r="AT799" s="62"/>
      <c r="AZ799" s="62"/>
      <c r="BF799" s="62"/>
      <c r="BL799" s="62"/>
    </row>
    <row r="800" spans="4:64">
      <c r="D800" s="62"/>
      <c r="J800" s="62"/>
      <c r="P800" s="62"/>
      <c r="V800" s="62"/>
      <c r="AB800" s="62"/>
      <c r="AH800" s="62"/>
      <c r="AN800" s="62"/>
      <c r="AT800" s="62"/>
      <c r="AZ800" s="62"/>
      <c r="BF800" s="62"/>
      <c r="BL800" s="62"/>
    </row>
    <row r="801" spans="4:64">
      <c r="D801" s="62"/>
      <c r="J801" s="62"/>
      <c r="P801" s="62"/>
      <c r="V801" s="62"/>
      <c r="AB801" s="62"/>
      <c r="AH801" s="62"/>
      <c r="AN801" s="62"/>
      <c r="AT801" s="62"/>
      <c r="AZ801" s="62"/>
      <c r="BF801" s="62"/>
      <c r="BL801" s="62"/>
    </row>
    <row r="802" spans="4:64">
      <c r="D802" s="62"/>
      <c r="J802" s="62"/>
      <c r="P802" s="62"/>
      <c r="V802" s="62"/>
      <c r="AB802" s="62"/>
      <c r="AH802" s="62"/>
      <c r="AN802" s="62"/>
      <c r="AT802" s="62"/>
      <c r="AZ802" s="62"/>
      <c r="BF802" s="62"/>
      <c r="BL802" s="62"/>
    </row>
    <row r="803" spans="4:64">
      <c r="D803" s="62"/>
      <c r="J803" s="62"/>
      <c r="P803" s="62"/>
      <c r="V803" s="62"/>
      <c r="AB803" s="62"/>
      <c r="AH803" s="62"/>
      <c r="AN803" s="62"/>
      <c r="AT803" s="62"/>
      <c r="AZ803" s="62"/>
      <c r="BF803" s="62"/>
      <c r="BL803" s="62"/>
    </row>
    <row r="804" spans="4:64">
      <c r="D804" s="62"/>
      <c r="J804" s="62"/>
      <c r="P804" s="62"/>
      <c r="V804" s="62"/>
      <c r="AB804" s="62"/>
      <c r="AH804" s="62"/>
      <c r="AN804" s="62"/>
      <c r="AT804" s="62"/>
      <c r="AZ804" s="62"/>
      <c r="BF804" s="62"/>
      <c r="BL804" s="62"/>
    </row>
    <row r="805" spans="4:64">
      <c r="D805" s="62"/>
      <c r="J805" s="62"/>
      <c r="P805" s="62"/>
      <c r="V805" s="62"/>
      <c r="AB805" s="62"/>
      <c r="AH805" s="62"/>
      <c r="AN805" s="62"/>
      <c r="AT805" s="62"/>
      <c r="AZ805" s="62"/>
      <c r="BF805" s="62"/>
      <c r="BL805" s="62"/>
    </row>
    <row r="806" spans="4:64">
      <c r="D806" s="62"/>
      <c r="J806" s="62"/>
      <c r="P806" s="62"/>
      <c r="V806" s="62"/>
      <c r="AB806" s="62"/>
      <c r="AH806" s="62"/>
      <c r="AN806" s="62"/>
      <c r="AT806" s="62"/>
      <c r="AZ806" s="62"/>
      <c r="BF806" s="62"/>
      <c r="BL806" s="62"/>
    </row>
    <row r="807" spans="4:64">
      <c r="D807" s="62"/>
      <c r="J807" s="62"/>
      <c r="P807" s="62"/>
      <c r="V807" s="62"/>
      <c r="AB807" s="62"/>
      <c r="AH807" s="62"/>
      <c r="AN807" s="62"/>
      <c r="AT807" s="62"/>
      <c r="AZ807" s="62"/>
      <c r="BF807" s="62"/>
      <c r="BL807" s="62"/>
    </row>
    <row r="808" spans="4:64">
      <c r="D808" s="62"/>
      <c r="J808" s="62"/>
      <c r="P808" s="62"/>
      <c r="V808" s="62"/>
      <c r="AB808" s="62"/>
      <c r="AH808" s="62"/>
      <c r="AN808" s="62"/>
      <c r="AT808" s="62"/>
      <c r="AZ808" s="62"/>
      <c r="BF808" s="62"/>
      <c r="BL808" s="62"/>
    </row>
    <row r="809" spans="4:64">
      <c r="D809" s="62"/>
      <c r="J809" s="62"/>
      <c r="P809" s="62"/>
      <c r="V809" s="62"/>
      <c r="AB809" s="62"/>
      <c r="AH809" s="62"/>
      <c r="AN809" s="62"/>
      <c r="AT809" s="62"/>
      <c r="AZ809" s="62"/>
      <c r="BF809" s="62"/>
      <c r="BL809" s="62"/>
    </row>
    <row r="810" spans="4:64">
      <c r="D810" s="62"/>
      <c r="J810" s="62"/>
      <c r="P810" s="62"/>
      <c r="V810" s="62"/>
      <c r="AB810" s="62"/>
      <c r="AH810" s="62"/>
      <c r="AN810" s="62"/>
      <c r="AT810" s="62"/>
      <c r="AZ810" s="62"/>
      <c r="BF810" s="62"/>
      <c r="BL810" s="62"/>
    </row>
    <row r="811" spans="4:64">
      <c r="D811" s="62"/>
      <c r="J811" s="62"/>
      <c r="P811" s="62"/>
      <c r="V811" s="62"/>
      <c r="AB811" s="62"/>
      <c r="AH811" s="62"/>
      <c r="AN811" s="62"/>
      <c r="AT811" s="62"/>
      <c r="AZ811" s="62"/>
      <c r="BF811" s="62"/>
      <c r="BL811" s="62"/>
    </row>
    <row r="812" spans="4:64">
      <c r="D812" s="62"/>
      <c r="J812" s="62"/>
      <c r="P812" s="62"/>
      <c r="V812" s="62"/>
      <c r="AB812" s="62"/>
      <c r="AH812" s="62"/>
      <c r="AN812" s="62"/>
      <c r="AT812" s="62"/>
      <c r="AZ812" s="62"/>
      <c r="BF812" s="62"/>
      <c r="BL812" s="62"/>
    </row>
    <row r="813" spans="4:64">
      <c r="D813" s="62"/>
      <c r="J813" s="62"/>
      <c r="P813" s="62"/>
      <c r="V813" s="62"/>
      <c r="AB813" s="62"/>
      <c r="AH813" s="62"/>
      <c r="AN813" s="62"/>
      <c r="AT813" s="62"/>
      <c r="AZ813" s="62"/>
      <c r="BF813" s="62"/>
      <c r="BL813" s="62"/>
    </row>
    <row r="814" spans="4:64">
      <c r="D814" s="62"/>
      <c r="J814" s="62"/>
      <c r="P814" s="62"/>
      <c r="V814" s="62"/>
      <c r="AB814" s="62"/>
      <c r="AH814" s="62"/>
      <c r="AN814" s="62"/>
      <c r="AT814" s="62"/>
      <c r="AZ814" s="62"/>
      <c r="BF814" s="62"/>
      <c r="BL814" s="62"/>
    </row>
    <row r="815" spans="4:64">
      <c r="D815" s="62"/>
      <c r="J815" s="62"/>
      <c r="P815" s="62"/>
      <c r="V815" s="62"/>
      <c r="AB815" s="62"/>
      <c r="AH815" s="62"/>
      <c r="AN815" s="62"/>
      <c r="AT815" s="62"/>
      <c r="AZ815" s="62"/>
      <c r="BF815" s="62"/>
      <c r="BL815" s="62"/>
    </row>
    <row r="816" spans="4:64">
      <c r="D816" s="62"/>
      <c r="J816" s="62"/>
      <c r="P816" s="62"/>
      <c r="V816" s="62"/>
      <c r="AB816" s="62"/>
      <c r="AH816" s="62"/>
      <c r="AN816" s="62"/>
      <c r="AT816" s="62"/>
      <c r="AZ816" s="62"/>
      <c r="BF816" s="62"/>
      <c r="BL816" s="62"/>
    </row>
    <row r="817" spans="4:64">
      <c r="D817" s="62"/>
      <c r="J817" s="62"/>
      <c r="P817" s="62"/>
      <c r="V817" s="62"/>
      <c r="AB817" s="62"/>
      <c r="AH817" s="62"/>
      <c r="AN817" s="62"/>
      <c r="AT817" s="62"/>
      <c r="AZ817" s="62"/>
      <c r="BF817" s="62"/>
      <c r="BL817" s="62"/>
    </row>
    <row r="818" spans="4:64">
      <c r="D818" s="62"/>
      <c r="J818" s="62"/>
      <c r="P818" s="62"/>
      <c r="V818" s="62"/>
      <c r="AB818" s="62"/>
      <c r="AH818" s="62"/>
      <c r="AN818" s="62"/>
      <c r="AT818" s="62"/>
      <c r="AZ818" s="62"/>
      <c r="BF818" s="62"/>
      <c r="BL818" s="62"/>
    </row>
    <row r="819" spans="4:64">
      <c r="D819" s="62"/>
      <c r="J819" s="62"/>
      <c r="P819" s="62"/>
      <c r="V819" s="62"/>
      <c r="AB819" s="62"/>
      <c r="AH819" s="62"/>
      <c r="AN819" s="62"/>
      <c r="AT819" s="62"/>
      <c r="AZ819" s="62"/>
      <c r="BF819" s="62"/>
      <c r="BL819" s="62"/>
    </row>
    <row r="820" spans="4:64">
      <c r="D820" s="62"/>
      <c r="J820" s="62"/>
      <c r="P820" s="62"/>
      <c r="V820" s="62"/>
      <c r="AB820" s="62"/>
      <c r="AH820" s="62"/>
      <c r="AN820" s="62"/>
      <c r="AT820" s="62"/>
      <c r="AZ820" s="62"/>
      <c r="BF820" s="62"/>
      <c r="BL820" s="62"/>
    </row>
    <row r="821" spans="4:64">
      <c r="D821" s="62"/>
      <c r="J821" s="62"/>
      <c r="P821" s="62"/>
      <c r="V821" s="62"/>
      <c r="AB821" s="62"/>
      <c r="AH821" s="62"/>
      <c r="AN821" s="62"/>
      <c r="AT821" s="62"/>
      <c r="AZ821" s="62"/>
      <c r="BF821" s="62"/>
      <c r="BL821" s="62"/>
    </row>
    <row r="822" spans="4:64">
      <c r="D822" s="62"/>
      <c r="J822" s="62"/>
      <c r="P822" s="62"/>
      <c r="V822" s="62"/>
      <c r="AB822" s="62"/>
      <c r="AH822" s="62"/>
      <c r="AN822" s="62"/>
      <c r="AT822" s="62"/>
      <c r="AZ822" s="62"/>
      <c r="BF822" s="62"/>
      <c r="BL822" s="62"/>
    </row>
    <row r="823" spans="4:64">
      <c r="D823" s="62"/>
      <c r="J823" s="62"/>
      <c r="P823" s="62"/>
      <c r="V823" s="62"/>
      <c r="AB823" s="62"/>
      <c r="AH823" s="62"/>
      <c r="AN823" s="62"/>
      <c r="AT823" s="62"/>
      <c r="AZ823" s="62"/>
      <c r="BF823" s="62"/>
      <c r="BL823" s="62"/>
    </row>
    <row r="824" spans="4:64">
      <c r="D824" s="62"/>
      <c r="J824" s="62"/>
      <c r="P824" s="62"/>
      <c r="V824" s="62"/>
      <c r="AB824" s="62"/>
      <c r="AH824" s="62"/>
      <c r="AN824" s="62"/>
      <c r="AT824" s="62"/>
      <c r="AZ824" s="62"/>
      <c r="BF824" s="62"/>
      <c r="BL824" s="62"/>
    </row>
    <row r="825" spans="4:64">
      <c r="D825" s="62"/>
      <c r="J825" s="62"/>
      <c r="P825" s="62"/>
      <c r="V825" s="62"/>
      <c r="AB825" s="62"/>
      <c r="AH825" s="62"/>
      <c r="AN825" s="62"/>
      <c r="AT825" s="62"/>
      <c r="AZ825" s="62"/>
      <c r="BF825" s="62"/>
      <c r="BL825" s="62"/>
    </row>
    <row r="826" spans="4:64">
      <c r="D826" s="62"/>
      <c r="J826" s="62"/>
      <c r="P826" s="62"/>
      <c r="V826" s="62"/>
      <c r="AB826" s="62"/>
      <c r="AH826" s="62"/>
      <c r="AN826" s="62"/>
      <c r="AT826" s="62"/>
      <c r="AZ826" s="62"/>
      <c r="BF826" s="62"/>
      <c r="BL826" s="62"/>
    </row>
    <row r="827" spans="4:64">
      <c r="D827" s="62"/>
      <c r="J827" s="62"/>
      <c r="P827" s="62"/>
      <c r="V827" s="62"/>
      <c r="AB827" s="62"/>
      <c r="AH827" s="62"/>
      <c r="AN827" s="62"/>
      <c r="AT827" s="62"/>
      <c r="AZ827" s="62"/>
      <c r="BF827" s="62"/>
      <c r="BL827" s="62"/>
    </row>
    <row r="828" spans="4:64">
      <c r="D828" s="62"/>
      <c r="J828" s="62"/>
      <c r="P828" s="62"/>
      <c r="V828" s="62"/>
      <c r="AB828" s="62"/>
      <c r="AH828" s="62"/>
      <c r="AN828" s="62"/>
      <c r="AT828" s="62"/>
      <c r="AZ828" s="62"/>
      <c r="BF828" s="62"/>
      <c r="BL828" s="62"/>
    </row>
    <row r="829" spans="4:64">
      <c r="D829" s="62"/>
      <c r="J829" s="62"/>
      <c r="P829" s="62"/>
      <c r="V829" s="62"/>
      <c r="AB829" s="62"/>
      <c r="AH829" s="62"/>
      <c r="AN829" s="62"/>
      <c r="AT829" s="62"/>
      <c r="AZ829" s="62"/>
      <c r="BF829" s="62"/>
      <c r="BL829" s="62"/>
    </row>
    <row r="830" spans="4:64">
      <c r="D830" s="62"/>
      <c r="J830" s="62"/>
      <c r="P830" s="62"/>
      <c r="V830" s="62"/>
      <c r="AB830" s="62"/>
      <c r="AH830" s="62"/>
      <c r="AN830" s="62"/>
      <c r="AT830" s="62"/>
      <c r="AZ830" s="62"/>
      <c r="BF830" s="62"/>
      <c r="BL830" s="62"/>
    </row>
    <row r="831" spans="4:64">
      <c r="D831" s="62"/>
      <c r="J831" s="62"/>
      <c r="P831" s="62"/>
      <c r="V831" s="62"/>
      <c r="AB831" s="62"/>
      <c r="AH831" s="62"/>
      <c r="AN831" s="62"/>
      <c r="AT831" s="62"/>
      <c r="AZ831" s="62"/>
      <c r="BF831" s="62"/>
      <c r="BL831" s="62"/>
    </row>
    <row r="832" spans="4:64">
      <c r="D832" s="62"/>
      <c r="J832" s="62"/>
      <c r="P832" s="62"/>
      <c r="V832" s="62"/>
      <c r="AB832" s="62"/>
      <c r="AH832" s="62"/>
      <c r="AN832" s="62"/>
      <c r="AT832" s="62"/>
      <c r="AZ832" s="62"/>
      <c r="BF832" s="62"/>
      <c r="BL832" s="62"/>
    </row>
    <row r="833" spans="4:64">
      <c r="D833" s="62"/>
      <c r="J833" s="62"/>
      <c r="P833" s="62"/>
      <c r="V833" s="62"/>
      <c r="AB833" s="62"/>
      <c r="AH833" s="62"/>
      <c r="AN833" s="62"/>
      <c r="AT833" s="62"/>
      <c r="AZ833" s="62"/>
      <c r="BF833" s="62"/>
      <c r="BL833" s="62"/>
    </row>
    <row r="834" spans="4:64">
      <c r="D834" s="62"/>
      <c r="J834" s="62"/>
      <c r="P834" s="62"/>
      <c r="V834" s="62"/>
      <c r="AB834" s="62"/>
      <c r="AH834" s="62"/>
      <c r="AN834" s="62"/>
      <c r="AT834" s="62"/>
      <c r="AZ834" s="62"/>
      <c r="BF834" s="62"/>
      <c r="BL834" s="62"/>
    </row>
    <row r="835" spans="4:64">
      <c r="D835" s="62"/>
      <c r="J835" s="62"/>
      <c r="P835" s="62"/>
      <c r="V835" s="62"/>
      <c r="AB835" s="62"/>
      <c r="AH835" s="62"/>
      <c r="AN835" s="62"/>
      <c r="AT835" s="62"/>
      <c r="AZ835" s="62"/>
      <c r="BF835" s="62"/>
      <c r="BL835" s="62"/>
    </row>
    <row r="836" spans="4:64">
      <c r="D836" s="62"/>
      <c r="J836" s="62"/>
      <c r="P836" s="62"/>
      <c r="V836" s="62"/>
      <c r="AB836" s="62"/>
      <c r="AH836" s="62"/>
      <c r="AN836" s="62"/>
      <c r="AT836" s="62"/>
      <c r="AZ836" s="62"/>
      <c r="BF836" s="62"/>
      <c r="BL836" s="62"/>
    </row>
    <row r="837" spans="4:64">
      <c r="D837" s="62"/>
      <c r="J837" s="62"/>
      <c r="P837" s="62"/>
      <c r="V837" s="62"/>
      <c r="AB837" s="62"/>
      <c r="AH837" s="62"/>
      <c r="AN837" s="62"/>
      <c r="AT837" s="62"/>
      <c r="AZ837" s="62"/>
      <c r="BF837" s="62"/>
      <c r="BL837" s="62"/>
    </row>
    <row r="838" spans="4:64">
      <c r="D838" s="62"/>
      <c r="J838" s="62"/>
      <c r="P838" s="62"/>
      <c r="V838" s="62"/>
      <c r="AB838" s="62"/>
      <c r="AH838" s="62"/>
      <c r="AN838" s="62"/>
      <c r="AT838" s="62"/>
      <c r="AZ838" s="62"/>
      <c r="BF838" s="62"/>
      <c r="BL838" s="62"/>
    </row>
    <row r="839" spans="4:64">
      <c r="D839" s="62"/>
      <c r="J839" s="62"/>
      <c r="P839" s="62"/>
      <c r="V839" s="62"/>
      <c r="AB839" s="62"/>
      <c r="AH839" s="62"/>
      <c r="AN839" s="62"/>
      <c r="AT839" s="62"/>
      <c r="AZ839" s="62"/>
      <c r="BF839" s="62"/>
      <c r="BL839" s="62"/>
    </row>
    <row r="840" spans="4:64">
      <c r="D840" s="62"/>
      <c r="J840" s="62"/>
      <c r="P840" s="62"/>
      <c r="V840" s="62"/>
      <c r="AB840" s="62"/>
      <c r="AH840" s="62"/>
      <c r="AN840" s="62"/>
      <c r="AT840" s="62"/>
      <c r="AZ840" s="62"/>
      <c r="BF840" s="62"/>
      <c r="BL840" s="62"/>
    </row>
    <row r="841" spans="4:64">
      <c r="D841" s="62"/>
      <c r="J841" s="62"/>
      <c r="P841" s="62"/>
      <c r="V841" s="62"/>
      <c r="AB841" s="62"/>
      <c r="AH841" s="62"/>
      <c r="AN841" s="62"/>
      <c r="AT841" s="62"/>
      <c r="AZ841" s="62"/>
      <c r="BF841" s="62"/>
      <c r="BL841" s="62"/>
    </row>
    <row r="842" spans="4:64">
      <c r="D842" s="62"/>
      <c r="J842" s="62"/>
      <c r="P842" s="62"/>
      <c r="V842" s="62"/>
      <c r="AB842" s="62"/>
      <c r="AH842" s="62"/>
      <c r="AN842" s="62"/>
      <c r="AT842" s="62"/>
      <c r="AZ842" s="62"/>
      <c r="BF842" s="62"/>
      <c r="BL842" s="62"/>
    </row>
    <row r="843" spans="4:64">
      <c r="D843" s="62"/>
      <c r="J843" s="62"/>
      <c r="P843" s="62"/>
      <c r="V843" s="62"/>
      <c r="AB843" s="62"/>
      <c r="AH843" s="62"/>
      <c r="AN843" s="62"/>
      <c r="AT843" s="62"/>
      <c r="AZ843" s="62"/>
      <c r="BF843" s="62"/>
      <c r="BL843" s="62"/>
    </row>
    <row r="844" spans="4:64">
      <c r="D844" s="62"/>
      <c r="J844" s="62"/>
      <c r="P844" s="62"/>
      <c r="V844" s="62"/>
      <c r="AB844" s="62"/>
      <c r="AH844" s="62"/>
      <c r="AN844" s="62"/>
      <c r="AT844" s="62"/>
      <c r="AZ844" s="62"/>
      <c r="BF844" s="62"/>
      <c r="BL844" s="62"/>
    </row>
    <row r="845" spans="4:64">
      <c r="D845" s="62"/>
      <c r="J845" s="62"/>
      <c r="P845" s="62"/>
      <c r="V845" s="62"/>
      <c r="AB845" s="62"/>
      <c r="AH845" s="62"/>
      <c r="AN845" s="62"/>
      <c r="AT845" s="62"/>
      <c r="AZ845" s="62"/>
      <c r="BF845" s="62"/>
      <c r="BL845" s="62"/>
    </row>
    <row r="846" spans="4:64">
      <c r="D846" s="62"/>
      <c r="J846" s="62"/>
      <c r="P846" s="62"/>
      <c r="V846" s="62"/>
      <c r="AB846" s="62"/>
      <c r="AH846" s="62"/>
      <c r="AN846" s="62"/>
      <c r="AT846" s="62"/>
      <c r="AZ846" s="62"/>
      <c r="BF846" s="62"/>
      <c r="BL846" s="62"/>
    </row>
    <row r="847" spans="4:64">
      <c r="D847" s="62"/>
      <c r="J847" s="62"/>
      <c r="P847" s="62"/>
      <c r="V847" s="62"/>
      <c r="AB847" s="62"/>
      <c r="AH847" s="62"/>
      <c r="AN847" s="62"/>
      <c r="AT847" s="62"/>
      <c r="AZ847" s="62"/>
      <c r="BF847" s="62"/>
      <c r="BL847" s="62"/>
    </row>
    <row r="848" spans="4:64">
      <c r="D848" s="62"/>
      <c r="J848" s="62"/>
      <c r="P848" s="62"/>
      <c r="V848" s="62"/>
      <c r="AB848" s="62"/>
      <c r="AH848" s="62"/>
      <c r="AN848" s="62"/>
      <c r="AT848" s="62"/>
      <c r="AZ848" s="62"/>
      <c r="BF848" s="62"/>
      <c r="BL848" s="62"/>
    </row>
    <row r="849" spans="4:64">
      <c r="D849" s="62"/>
      <c r="J849" s="62"/>
      <c r="P849" s="62"/>
      <c r="V849" s="62"/>
      <c r="AB849" s="62"/>
      <c r="AH849" s="62"/>
      <c r="AN849" s="62"/>
      <c r="AT849" s="62"/>
      <c r="AZ849" s="62"/>
      <c r="BF849" s="62"/>
      <c r="BL849" s="62"/>
    </row>
    <row r="850" spans="4:64">
      <c r="D850" s="62"/>
      <c r="J850" s="62"/>
      <c r="P850" s="62"/>
      <c r="V850" s="62"/>
      <c r="AB850" s="62"/>
      <c r="AH850" s="62"/>
      <c r="AN850" s="62"/>
      <c r="AT850" s="62"/>
      <c r="AZ850" s="62"/>
      <c r="BF850" s="62"/>
      <c r="BL850" s="62"/>
    </row>
    <row r="851" spans="4:64">
      <c r="D851" s="62"/>
      <c r="J851" s="62"/>
      <c r="P851" s="62"/>
      <c r="V851" s="62"/>
      <c r="AB851" s="62"/>
      <c r="AH851" s="62"/>
      <c r="AN851" s="62"/>
      <c r="AT851" s="62"/>
      <c r="AZ851" s="62"/>
      <c r="BF851" s="62"/>
      <c r="BL851" s="62"/>
    </row>
    <row r="852" spans="4:64">
      <c r="D852" s="62"/>
      <c r="J852" s="62"/>
      <c r="P852" s="62"/>
      <c r="V852" s="62"/>
      <c r="AB852" s="62"/>
      <c r="AH852" s="62"/>
      <c r="AN852" s="62"/>
      <c r="AT852" s="62"/>
      <c r="AZ852" s="62"/>
      <c r="BF852" s="62"/>
      <c r="BL852" s="62"/>
    </row>
    <row r="853" spans="4:64">
      <c r="D853" s="62"/>
      <c r="J853" s="62"/>
      <c r="P853" s="62"/>
      <c r="V853" s="62"/>
      <c r="AB853" s="62"/>
      <c r="AH853" s="62"/>
      <c r="AN853" s="62"/>
      <c r="AT853" s="62"/>
      <c r="AZ853" s="62"/>
      <c r="BF853" s="62"/>
      <c r="BL853" s="62"/>
    </row>
    <row r="854" spans="4:64">
      <c r="D854" s="62"/>
      <c r="J854" s="62"/>
      <c r="P854" s="62"/>
      <c r="V854" s="62"/>
      <c r="AB854" s="62"/>
      <c r="AH854" s="62"/>
      <c r="AN854" s="62"/>
      <c r="AT854" s="62"/>
      <c r="AZ854" s="62"/>
      <c r="BF854" s="62"/>
      <c r="BL854" s="62"/>
    </row>
    <row r="855" spans="4:64">
      <c r="D855" s="62"/>
      <c r="J855" s="62"/>
      <c r="P855" s="62"/>
      <c r="V855" s="62"/>
      <c r="AB855" s="62"/>
      <c r="AH855" s="62"/>
      <c r="AN855" s="62"/>
      <c r="AT855" s="62"/>
      <c r="AZ855" s="62"/>
      <c r="BF855" s="62"/>
      <c r="BL855" s="62"/>
    </row>
    <row r="856" spans="4:64">
      <c r="D856" s="62"/>
      <c r="J856" s="62"/>
      <c r="P856" s="62"/>
      <c r="V856" s="62"/>
      <c r="AB856" s="62"/>
      <c r="AH856" s="62"/>
      <c r="AN856" s="62"/>
      <c r="AT856" s="62"/>
      <c r="AZ856" s="62"/>
      <c r="BF856" s="62"/>
      <c r="BL856" s="62"/>
    </row>
    <row r="857" spans="4:64">
      <c r="D857" s="62"/>
      <c r="J857" s="62"/>
      <c r="P857" s="62"/>
      <c r="V857" s="62"/>
      <c r="AB857" s="62"/>
      <c r="AH857" s="62"/>
      <c r="AN857" s="62"/>
      <c r="AT857" s="62"/>
      <c r="AZ857" s="62"/>
      <c r="BF857" s="62"/>
      <c r="BL857" s="62"/>
    </row>
    <row r="858" spans="4:64">
      <c r="D858" s="62"/>
      <c r="J858" s="62"/>
      <c r="P858" s="62"/>
      <c r="V858" s="62"/>
      <c r="AB858" s="62"/>
      <c r="AH858" s="62"/>
      <c r="AN858" s="62"/>
      <c r="AT858" s="62"/>
      <c r="AZ858" s="62"/>
      <c r="BF858" s="62"/>
      <c r="BL858" s="62"/>
    </row>
    <row r="859" spans="4:64">
      <c r="D859" s="62"/>
      <c r="J859" s="62"/>
      <c r="P859" s="62"/>
      <c r="V859" s="62"/>
      <c r="AB859" s="62"/>
      <c r="AH859" s="62"/>
      <c r="AN859" s="62"/>
      <c r="AT859" s="62"/>
      <c r="AZ859" s="62"/>
      <c r="BF859" s="62"/>
      <c r="BL859" s="62"/>
    </row>
    <row r="860" spans="4:64">
      <c r="D860" s="62"/>
      <c r="J860" s="62"/>
      <c r="P860" s="62"/>
      <c r="V860" s="62"/>
      <c r="AB860" s="62"/>
      <c r="AH860" s="62"/>
      <c r="AN860" s="62"/>
      <c r="AT860" s="62"/>
      <c r="AZ860" s="62"/>
      <c r="BF860" s="62"/>
      <c r="BL860" s="62"/>
    </row>
    <row r="861" spans="4:64">
      <c r="D861" s="62"/>
      <c r="J861" s="62"/>
      <c r="P861" s="62"/>
      <c r="V861" s="62"/>
      <c r="AB861" s="62"/>
      <c r="AH861" s="62"/>
      <c r="AN861" s="62"/>
      <c r="AT861" s="62"/>
      <c r="AZ861" s="62"/>
      <c r="BF861" s="62"/>
      <c r="BL861" s="62"/>
    </row>
    <row r="862" spans="4:64">
      <c r="D862" s="62"/>
      <c r="J862" s="62"/>
      <c r="P862" s="62"/>
      <c r="V862" s="62"/>
      <c r="AB862" s="62"/>
      <c r="AH862" s="62"/>
      <c r="AN862" s="62"/>
      <c r="AT862" s="62"/>
      <c r="AZ862" s="62"/>
      <c r="BF862" s="62"/>
      <c r="BL862" s="62"/>
    </row>
    <row r="863" spans="4:64">
      <c r="D863" s="62"/>
      <c r="J863" s="62"/>
      <c r="P863" s="62"/>
      <c r="V863" s="62"/>
      <c r="AB863" s="62"/>
      <c r="AH863" s="62"/>
      <c r="AN863" s="62"/>
      <c r="AT863" s="62"/>
      <c r="AZ863" s="62"/>
      <c r="BF863" s="62"/>
      <c r="BL863" s="62"/>
    </row>
    <row r="864" spans="4:64">
      <c r="D864" s="62"/>
      <c r="J864" s="62"/>
      <c r="P864" s="62"/>
      <c r="V864" s="62"/>
      <c r="AB864" s="62"/>
      <c r="AH864" s="62"/>
      <c r="AN864" s="62"/>
      <c r="AT864" s="62"/>
      <c r="AZ864" s="62"/>
      <c r="BF864" s="62"/>
      <c r="BL864" s="62"/>
    </row>
    <row r="865" spans="4:64">
      <c r="D865" s="62"/>
      <c r="J865" s="62"/>
      <c r="P865" s="62"/>
      <c r="V865" s="62"/>
      <c r="AB865" s="62"/>
      <c r="AH865" s="62"/>
      <c r="AN865" s="62"/>
      <c r="AT865" s="62"/>
      <c r="AZ865" s="62"/>
      <c r="BF865" s="62"/>
      <c r="BL865" s="62"/>
    </row>
    <row r="866" spans="4:64">
      <c r="D866" s="62"/>
      <c r="J866" s="62"/>
      <c r="P866" s="62"/>
      <c r="V866" s="62"/>
      <c r="AB866" s="62"/>
      <c r="AH866" s="62"/>
      <c r="AN866" s="62"/>
      <c r="AT866" s="62"/>
      <c r="AZ866" s="62"/>
      <c r="BF866" s="62"/>
      <c r="BL866" s="62"/>
    </row>
    <row r="867" spans="4:64">
      <c r="D867" s="62"/>
      <c r="J867" s="62"/>
      <c r="P867" s="62"/>
      <c r="V867" s="62"/>
      <c r="AB867" s="62"/>
      <c r="AH867" s="62"/>
      <c r="AN867" s="62"/>
      <c r="AT867" s="62"/>
      <c r="AZ867" s="62"/>
      <c r="BF867" s="62"/>
      <c r="BL867" s="62"/>
    </row>
    <row r="868" spans="4:64">
      <c r="D868" s="62"/>
      <c r="J868" s="62"/>
      <c r="P868" s="62"/>
      <c r="V868" s="62"/>
      <c r="AB868" s="62"/>
      <c r="AH868" s="62"/>
      <c r="AN868" s="62"/>
      <c r="AT868" s="62"/>
      <c r="AZ868" s="62"/>
      <c r="BF868" s="62"/>
      <c r="BL868" s="62"/>
    </row>
    <row r="869" spans="4:64">
      <c r="D869" s="62"/>
      <c r="J869" s="62"/>
      <c r="P869" s="62"/>
      <c r="V869" s="62"/>
      <c r="AB869" s="62"/>
      <c r="AH869" s="62"/>
      <c r="AN869" s="62"/>
      <c r="AT869" s="62"/>
      <c r="AZ869" s="62"/>
      <c r="BF869" s="62"/>
      <c r="BL869" s="62"/>
    </row>
    <row r="870" spans="4:64">
      <c r="D870" s="62"/>
      <c r="J870" s="62"/>
      <c r="P870" s="62"/>
      <c r="V870" s="62"/>
      <c r="AB870" s="62"/>
      <c r="AH870" s="62"/>
      <c r="AN870" s="62"/>
      <c r="AT870" s="62"/>
      <c r="AZ870" s="62"/>
      <c r="BF870" s="62"/>
      <c r="BL870" s="62"/>
    </row>
    <row r="871" spans="4:64">
      <c r="D871" s="62"/>
      <c r="J871" s="62"/>
      <c r="P871" s="62"/>
      <c r="V871" s="62"/>
      <c r="AB871" s="62"/>
      <c r="AH871" s="62"/>
      <c r="AN871" s="62"/>
      <c r="AT871" s="62"/>
      <c r="AZ871" s="62"/>
      <c r="BF871" s="62"/>
      <c r="BL871" s="62"/>
    </row>
    <row r="872" spans="4:64">
      <c r="D872" s="62"/>
      <c r="J872" s="62"/>
      <c r="P872" s="62"/>
      <c r="V872" s="62"/>
      <c r="AB872" s="62"/>
      <c r="AH872" s="62"/>
      <c r="AN872" s="62"/>
      <c r="AT872" s="62"/>
      <c r="AZ872" s="62"/>
      <c r="BF872" s="62"/>
      <c r="BL872" s="62"/>
    </row>
    <row r="873" spans="4:64">
      <c r="D873" s="62"/>
      <c r="J873" s="62"/>
      <c r="P873" s="62"/>
      <c r="V873" s="62"/>
      <c r="AB873" s="62"/>
      <c r="AH873" s="62"/>
      <c r="AN873" s="62"/>
      <c r="AT873" s="62"/>
      <c r="AZ873" s="62"/>
      <c r="BF873" s="62"/>
      <c r="BL873" s="62"/>
    </row>
    <row r="874" spans="4:64">
      <c r="D874" s="62"/>
      <c r="J874" s="62"/>
      <c r="P874" s="62"/>
      <c r="V874" s="62"/>
      <c r="AB874" s="62"/>
      <c r="AH874" s="62"/>
      <c r="AN874" s="62"/>
      <c r="AT874" s="62"/>
      <c r="AZ874" s="62"/>
      <c r="BF874" s="62"/>
      <c r="BL874" s="62"/>
    </row>
    <row r="875" spans="4:64">
      <c r="D875" s="62"/>
      <c r="J875" s="62"/>
      <c r="P875" s="62"/>
      <c r="V875" s="62"/>
      <c r="AB875" s="62"/>
      <c r="AH875" s="62"/>
      <c r="AN875" s="62"/>
      <c r="AT875" s="62"/>
      <c r="AZ875" s="62"/>
      <c r="BF875" s="62"/>
      <c r="BL875" s="62"/>
    </row>
    <row r="876" spans="4:64">
      <c r="D876" s="62"/>
      <c r="J876" s="62"/>
      <c r="P876" s="62"/>
      <c r="V876" s="62"/>
      <c r="AB876" s="62"/>
      <c r="AH876" s="62"/>
      <c r="AN876" s="62"/>
      <c r="AT876" s="62"/>
      <c r="AZ876" s="62"/>
      <c r="BF876" s="62"/>
      <c r="BL876" s="62"/>
    </row>
    <row r="877" spans="4:64">
      <c r="D877" s="62"/>
      <c r="J877" s="62"/>
      <c r="P877" s="62"/>
      <c r="V877" s="62"/>
      <c r="AB877" s="62"/>
      <c r="AH877" s="62"/>
      <c r="AN877" s="62"/>
      <c r="AT877" s="62"/>
      <c r="AZ877" s="62"/>
      <c r="BF877" s="62"/>
      <c r="BL877" s="62"/>
    </row>
    <row r="878" spans="4:64">
      <c r="D878" s="62"/>
      <c r="J878" s="62"/>
      <c r="P878" s="62"/>
      <c r="V878" s="62"/>
      <c r="AB878" s="62"/>
      <c r="AH878" s="62"/>
      <c r="AN878" s="62"/>
      <c r="AT878" s="62"/>
      <c r="AZ878" s="62"/>
      <c r="BF878" s="62"/>
      <c r="BL878" s="62"/>
    </row>
    <row r="879" spans="4:64">
      <c r="D879" s="62"/>
      <c r="J879" s="62"/>
      <c r="P879" s="62"/>
      <c r="V879" s="62"/>
      <c r="AB879" s="62"/>
      <c r="AH879" s="62"/>
      <c r="AN879" s="62"/>
      <c r="AT879" s="62"/>
      <c r="AZ879" s="62"/>
      <c r="BF879" s="62"/>
      <c r="BL879" s="62"/>
    </row>
    <row r="880" spans="4:64">
      <c r="D880" s="62"/>
      <c r="J880" s="62"/>
      <c r="P880" s="62"/>
      <c r="V880" s="62"/>
      <c r="AB880" s="62"/>
      <c r="AH880" s="62"/>
      <c r="AN880" s="62"/>
      <c r="AT880" s="62"/>
      <c r="AZ880" s="62"/>
      <c r="BF880" s="62"/>
      <c r="BL880" s="62"/>
    </row>
    <row r="881" spans="4:64">
      <c r="D881" s="62"/>
      <c r="J881" s="62"/>
      <c r="P881" s="62"/>
      <c r="V881" s="62"/>
      <c r="AB881" s="62"/>
      <c r="AH881" s="62"/>
      <c r="AN881" s="62"/>
      <c r="AT881" s="62"/>
      <c r="AZ881" s="62"/>
      <c r="BF881" s="62"/>
      <c r="BL881" s="62"/>
    </row>
    <row r="882" spans="4:64">
      <c r="D882" s="62"/>
      <c r="J882" s="62"/>
      <c r="P882" s="62"/>
      <c r="V882" s="62"/>
      <c r="AB882" s="62"/>
      <c r="AH882" s="62"/>
      <c r="AN882" s="62"/>
      <c r="AT882" s="62"/>
      <c r="AZ882" s="62"/>
      <c r="BF882" s="62"/>
      <c r="BL882" s="62"/>
    </row>
    <row r="883" spans="4:64">
      <c r="D883" s="62"/>
      <c r="J883" s="62"/>
      <c r="P883" s="62"/>
      <c r="V883" s="62"/>
      <c r="AB883" s="62"/>
      <c r="AH883" s="62"/>
      <c r="AN883" s="62"/>
      <c r="AT883" s="62"/>
      <c r="AZ883" s="62"/>
      <c r="BF883" s="62"/>
      <c r="BL883" s="62"/>
    </row>
    <row r="884" spans="4:64">
      <c r="D884" s="62"/>
      <c r="J884" s="62"/>
      <c r="P884" s="62"/>
      <c r="V884" s="62"/>
      <c r="AB884" s="62"/>
      <c r="AH884" s="62"/>
      <c r="AN884" s="62"/>
      <c r="AT884" s="62"/>
      <c r="AZ884" s="62"/>
      <c r="BF884" s="62"/>
      <c r="BL884" s="62"/>
    </row>
    <row r="885" spans="4:64">
      <c r="D885" s="62"/>
      <c r="J885" s="62"/>
      <c r="P885" s="62"/>
      <c r="V885" s="62"/>
      <c r="AB885" s="62"/>
      <c r="AH885" s="62"/>
      <c r="AN885" s="62"/>
      <c r="AT885" s="62"/>
      <c r="AZ885" s="62"/>
      <c r="BF885" s="62"/>
      <c r="BL885" s="62"/>
    </row>
    <row r="886" spans="4:64">
      <c r="D886" s="62"/>
      <c r="J886" s="62"/>
      <c r="P886" s="62"/>
      <c r="V886" s="62"/>
      <c r="AB886" s="62"/>
      <c r="AH886" s="62"/>
      <c r="AN886" s="62"/>
      <c r="AT886" s="62"/>
      <c r="AZ886" s="62"/>
      <c r="BF886" s="62"/>
      <c r="BL886" s="62"/>
    </row>
    <row r="887" spans="4:64">
      <c r="D887" s="62"/>
      <c r="J887" s="62"/>
      <c r="P887" s="62"/>
      <c r="V887" s="62"/>
      <c r="AB887" s="62"/>
      <c r="AH887" s="62"/>
      <c r="AN887" s="62"/>
      <c r="AT887" s="62"/>
      <c r="AZ887" s="62"/>
      <c r="BF887" s="62"/>
      <c r="BL887" s="62"/>
    </row>
    <row r="888" spans="4:64">
      <c r="D888" s="62"/>
      <c r="J888" s="62"/>
      <c r="P888" s="62"/>
      <c r="V888" s="62"/>
      <c r="AB888" s="62"/>
      <c r="AH888" s="62"/>
      <c r="AN888" s="62"/>
      <c r="AT888" s="62"/>
      <c r="AZ888" s="62"/>
      <c r="BF888" s="62"/>
      <c r="BL888" s="62"/>
    </row>
    <row r="889" spans="4:64">
      <c r="D889" s="62"/>
      <c r="J889" s="62"/>
      <c r="P889" s="62"/>
      <c r="V889" s="62"/>
      <c r="AB889" s="62"/>
      <c r="AH889" s="62"/>
      <c r="AN889" s="62"/>
      <c r="AT889" s="62"/>
      <c r="AZ889" s="62"/>
      <c r="BF889" s="62"/>
      <c r="BL889" s="62"/>
    </row>
    <row r="890" spans="4:64">
      <c r="D890" s="62"/>
      <c r="J890" s="62"/>
      <c r="P890" s="62"/>
      <c r="V890" s="62"/>
      <c r="AB890" s="62"/>
      <c r="AH890" s="62"/>
      <c r="AN890" s="62"/>
      <c r="AT890" s="62"/>
      <c r="AZ890" s="62"/>
      <c r="BF890" s="62"/>
      <c r="BL890" s="62"/>
    </row>
    <row r="891" spans="4:64">
      <c r="D891" s="62"/>
      <c r="J891" s="62"/>
      <c r="P891" s="62"/>
      <c r="V891" s="62"/>
      <c r="AB891" s="62"/>
      <c r="AH891" s="62"/>
      <c r="AN891" s="62"/>
      <c r="AT891" s="62"/>
      <c r="AZ891" s="62"/>
      <c r="BF891" s="62"/>
      <c r="BL891" s="62"/>
    </row>
    <row r="892" spans="4:64">
      <c r="D892" s="62"/>
      <c r="J892" s="62"/>
      <c r="P892" s="62"/>
      <c r="V892" s="62"/>
      <c r="AB892" s="62"/>
      <c r="AH892" s="62"/>
      <c r="AN892" s="62"/>
      <c r="AT892" s="62"/>
      <c r="AZ892" s="62"/>
      <c r="BF892" s="62"/>
      <c r="BL892" s="62"/>
    </row>
    <row r="893" spans="4:64">
      <c r="D893" s="62"/>
      <c r="J893" s="62"/>
      <c r="P893" s="62"/>
      <c r="V893" s="62"/>
      <c r="AB893" s="62"/>
      <c r="AH893" s="62"/>
      <c r="AN893" s="62"/>
      <c r="AT893" s="62"/>
      <c r="AZ893" s="62"/>
      <c r="BF893" s="62"/>
      <c r="BL893" s="62"/>
    </row>
    <row r="894" spans="4:64">
      <c r="D894" s="62"/>
      <c r="J894" s="62"/>
      <c r="P894" s="62"/>
      <c r="V894" s="62"/>
      <c r="AB894" s="62"/>
      <c r="AH894" s="62"/>
      <c r="AN894" s="62"/>
      <c r="AT894" s="62"/>
      <c r="AZ894" s="62"/>
      <c r="BF894" s="62"/>
      <c r="BL894" s="62"/>
    </row>
    <row r="895" spans="4:64">
      <c r="D895" s="62"/>
      <c r="J895" s="62"/>
      <c r="P895" s="62"/>
      <c r="V895" s="62"/>
      <c r="AB895" s="62"/>
      <c r="AH895" s="62"/>
      <c r="AN895" s="62"/>
      <c r="AT895" s="62"/>
      <c r="AZ895" s="62"/>
      <c r="BF895" s="62"/>
      <c r="BL895" s="62"/>
    </row>
    <row r="896" spans="4:64">
      <c r="D896" s="62"/>
      <c r="J896" s="62"/>
      <c r="P896" s="62"/>
      <c r="V896" s="62"/>
      <c r="AB896" s="62"/>
      <c r="AH896" s="62"/>
      <c r="AN896" s="62"/>
      <c r="AT896" s="62"/>
      <c r="AZ896" s="62"/>
      <c r="BF896" s="62"/>
      <c r="BL896" s="62"/>
    </row>
    <row r="897" spans="4:64">
      <c r="D897" s="62"/>
      <c r="J897" s="62"/>
      <c r="P897" s="62"/>
      <c r="V897" s="62"/>
      <c r="AB897" s="62"/>
      <c r="AH897" s="62"/>
      <c r="AN897" s="62"/>
      <c r="AT897" s="62"/>
      <c r="AZ897" s="62"/>
      <c r="BF897" s="62"/>
      <c r="BL897" s="62"/>
    </row>
    <row r="898" spans="4:64">
      <c r="D898" s="62"/>
      <c r="J898" s="62"/>
      <c r="P898" s="62"/>
      <c r="V898" s="62"/>
      <c r="AB898" s="62"/>
      <c r="AH898" s="62"/>
      <c r="AN898" s="62"/>
      <c r="AT898" s="62"/>
      <c r="AZ898" s="62"/>
      <c r="BF898" s="62"/>
      <c r="BL898" s="62"/>
    </row>
    <row r="899" spans="4:64">
      <c r="D899" s="62"/>
      <c r="J899" s="62"/>
      <c r="P899" s="62"/>
      <c r="V899" s="62"/>
      <c r="AB899" s="62"/>
      <c r="AH899" s="62"/>
      <c r="AN899" s="62"/>
      <c r="AT899" s="62"/>
      <c r="AZ899" s="62"/>
      <c r="BF899" s="62"/>
      <c r="BL899" s="62"/>
    </row>
    <row r="900" spans="4:64">
      <c r="D900" s="62"/>
      <c r="J900" s="62"/>
      <c r="P900" s="62"/>
      <c r="V900" s="62"/>
      <c r="AB900" s="62"/>
      <c r="AH900" s="62"/>
      <c r="AN900" s="62"/>
      <c r="AT900" s="62"/>
      <c r="AZ900" s="62"/>
      <c r="BF900" s="62"/>
      <c r="BL900" s="62"/>
    </row>
    <row r="901" spans="4:64">
      <c r="D901" s="62"/>
      <c r="J901" s="62"/>
      <c r="P901" s="62"/>
      <c r="V901" s="62"/>
      <c r="AB901" s="62"/>
      <c r="AH901" s="62"/>
      <c r="AN901" s="62"/>
      <c r="AT901" s="62"/>
      <c r="AZ901" s="62"/>
      <c r="BF901" s="62"/>
      <c r="BL901" s="62"/>
    </row>
    <row r="902" spans="4:64">
      <c r="D902" s="62"/>
      <c r="J902" s="62"/>
      <c r="P902" s="62"/>
      <c r="V902" s="62"/>
      <c r="AB902" s="62"/>
      <c r="AH902" s="62"/>
      <c r="AN902" s="62"/>
      <c r="AT902" s="62"/>
      <c r="AZ902" s="62"/>
      <c r="BF902" s="62"/>
      <c r="BL902" s="62"/>
    </row>
    <row r="903" spans="4:64">
      <c r="D903" s="62"/>
      <c r="J903" s="62"/>
      <c r="P903" s="62"/>
      <c r="V903" s="62"/>
      <c r="AB903" s="62"/>
      <c r="AH903" s="62"/>
      <c r="AN903" s="62"/>
      <c r="AT903" s="62"/>
      <c r="AZ903" s="62"/>
      <c r="BF903" s="62"/>
      <c r="BL903" s="62"/>
    </row>
    <row r="904" spans="4:64">
      <c r="D904" s="62"/>
      <c r="J904" s="62"/>
      <c r="P904" s="62"/>
      <c r="V904" s="62"/>
      <c r="AB904" s="62"/>
      <c r="AH904" s="62"/>
      <c r="AN904" s="62"/>
      <c r="AT904" s="62"/>
      <c r="AZ904" s="62"/>
      <c r="BF904" s="62"/>
      <c r="BL904" s="62"/>
    </row>
    <row r="905" spans="4:64">
      <c r="D905" s="62"/>
      <c r="J905" s="62"/>
      <c r="P905" s="62"/>
      <c r="V905" s="62"/>
      <c r="AB905" s="62"/>
      <c r="AH905" s="62"/>
      <c r="AN905" s="62"/>
      <c r="AT905" s="62"/>
      <c r="AZ905" s="62"/>
      <c r="BF905" s="62"/>
      <c r="BL905" s="62"/>
    </row>
    <row r="906" spans="4:64">
      <c r="D906" s="62"/>
      <c r="J906" s="62"/>
      <c r="P906" s="62"/>
      <c r="V906" s="62"/>
      <c r="AB906" s="62"/>
      <c r="AH906" s="62"/>
      <c r="AN906" s="62"/>
      <c r="AT906" s="62"/>
      <c r="AZ906" s="62"/>
      <c r="BF906" s="62"/>
      <c r="BL906" s="62"/>
    </row>
    <row r="907" spans="4:64">
      <c r="D907" s="62"/>
      <c r="J907" s="62"/>
      <c r="P907" s="62"/>
      <c r="V907" s="62"/>
      <c r="AB907" s="62"/>
      <c r="AH907" s="62"/>
      <c r="AN907" s="62"/>
      <c r="AT907" s="62"/>
      <c r="AZ907" s="62"/>
      <c r="BF907" s="62"/>
      <c r="BL907" s="62"/>
    </row>
    <row r="908" spans="4:64">
      <c r="D908" s="62"/>
      <c r="J908" s="62"/>
      <c r="P908" s="62"/>
      <c r="V908" s="62"/>
      <c r="AB908" s="62"/>
      <c r="AH908" s="62"/>
      <c r="AN908" s="62"/>
      <c r="AT908" s="62"/>
      <c r="AZ908" s="62"/>
      <c r="BF908" s="62"/>
      <c r="BL908" s="62"/>
    </row>
    <row r="909" spans="4:64">
      <c r="D909" s="62"/>
      <c r="J909" s="62"/>
      <c r="P909" s="62"/>
      <c r="V909" s="62"/>
      <c r="AB909" s="62"/>
      <c r="AH909" s="62"/>
      <c r="AN909" s="62"/>
      <c r="AT909" s="62"/>
      <c r="AZ909" s="62"/>
      <c r="BF909" s="62"/>
      <c r="BL909" s="62"/>
    </row>
    <row r="910" spans="4:64">
      <c r="D910" s="62"/>
      <c r="J910" s="62"/>
      <c r="P910" s="62"/>
      <c r="V910" s="62"/>
      <c r="AB910" s="62"/>
      <c r="AH910" s="62"/>
      <c r="AN910" s="62"/>
      <c r="AT910" s="62"/>
      <c r="AZ910" s="62"/>
      <c r="BF910" s="62"/>
      <c r="BL910" s="62"/>
    </row>
    <row r="911" spans="4:64">
      <c r="D911" s="62"/>
      <c r="J911" s="62"/>
      <c r="P911" s="62"/>
      <c r="V911" s="62"/>
      <c r="AB911" s="62"/>
      <c r="AH911" s="62"/>
      <c r="AN911" s="62"/>
      <c r="AT911" s="62"/>
      <c r="AZ911" s="62"/>
      <c r="BF911" s="62"/>
      <c r="BL911" s="62"/>
    </row>
    <row r="912" spans="4:64">
      <c r="D912" s="62"/>
      <c r="J912" s="62"/>
      <c r="P912" s="62"/>
      <c r="V912" s="62"/>
      <c r="AB912" s="62"/>
      <c r="AH912" s="62"/>
      <c r="AN912" s="62"/>
      <c r="AT912" s="62"/>
      <c r="AZ912" s="62"/>
      <c r="BF912" s="62"/>
      <c r="BL912" s="62"/>
    </row>
    <row r="913" spans="4:64">
      <c r="D913" s="62"/>
      <c r="J913" s="62"/>
      <c r="P913" s="62"/>
      <c r="V913" s="62"/>
      <c r="AB913" s="62"/>
      <c r="AH913" s="62"/>
      <c r="AN913" s="62"/>
      <c r="AT913" s="62"/>
      <c r="AZ913" s="62"/>
      <c r="BF913" s="62"/>
      <c r="BL913" s="62"/>
    </row>
    <row r="914" spans="4:64">
      <c r="D914" s="62"/>
      <c r="J914" s="62"/>
      <c r="P914" s="62"/>
      <c r="V914" s="62"/>
      <c r="AB914" s="62"/>
      <c r="AH914" s="62"/>
      <c r="AN914" s="62"/>
      <c r="AT914" s="62"/>
      <c r="AZ914" s="62"/>
      <c r="BF914" s="62"/>
      <c r="BL914" s="62"/>
    </row>
    <row r="915" spans="4:64">
      <c r="D915" s="62"/>
      <c r="J915" s="62"/>
      <c r="P915" s="62"/>
      <c r="V915" s="62"/>
      <c r="AB915" s="62"/>
      <c r="AH915" s="62"/>
      <c r="AN915" s="62"/>
      <c r="AT915" s="62"/>
      <c r="AZ915" s="62"/>
      <c r="BF915" s="62"/>
      <c r="BL915" s="62"/>
    </row>
    <row r="916" spans="4:64">
      <c r="D916" s="62"/>
      <c r="J916" s="62"/>
      <c r="P916" s="62"/>
      <c r="V916" s="62"/>
      <c r="AB916" s="62"/>
      <c r="AH916" s="62"/>
      <c r="AN916" s="62"/>
      <c r="AT916" s="62"/>
      <c r="AZ916" s="62"/>
      <c r="BF916" s="62"/>
      <c r="BL916" s="62"/>
    </row>
    <row r="917" spans="4:64">
      <c r="D917" s="62"/>
      <c r="J917" s="62"/>
      <c r="P917" s="62"/>
      <c r="V917" s="62"/>
      <c r="AB917" s="62"/>
      <c r="AH917" s="62"/>
      <c r="AN917" s="62"/>
      <c r="AT917" s="62"/>
      <c r="AZ917" s="62"/>
      <c r="BF917" s="62"/>
      <c r="BL917" s="62"/>
    </row>
    <row r="918" spans="4:64">
      <c r="D918" s="62"/>
      <c r="J918" s="62"/>
      <c r="P918" s="62"/>
      <c r="V918" s="62"/>
      <c r="AB918" s="62"/>
      <c r="AH918" s="62"/>
      <c r="AN918" s="62"/>
      <c r="AT918" s="62"/>
      <c r="AZ918" s="62"/>
      <c r="BF918" s="62"/>
      <c r="BL918" s="62"/>
    </row>
    <row r="919" spans="4:64">
      <c r="D919" s="62"/>
      <c r="J919" s="62"/>
      <c r="P919" s="62"/>
      <c r="V919" s="62"/>
      <c r="AB919" s="62"/>
      <c r="AH919" s="62"/>
      <c r="AN919" s="62"/>
      <c r="AT919" s="62"/>
      <c r="AZ919" s="62"/>
      <c r="BF919" s="62"/>
      <c r="BL919" s="62"/>
    </row>
    <row r="920" spans="4:64">
      <c r="D920" s="62"/>
      <c r="J920" s="62"/>
      <c r="P920" s="62"/>
      <c r="V920" s="62"/>
      <c r="AB920" s="62"/>
      <c r="AH920" s="62"/>
      <c r="AN920" s="62"/>
      <c r="AT920" s="62"/>
      <c r="AZ920" s="62"/>
      <c r="BF920" s="62"/>
      <c r="BL920" s="62"/>
    </row>
    <row r="921" spans="4:64">
      <c r="D921" s="62"/>
      <c r="J921" s="62"/>
      <c r="P921" s="62"/>
      <c r="V921" s="62"/>
      <c r="AB921" s="62"/>
      <c r="AH921" s="62"/>
      <c r="AN921" s="62"/>
      <c r="AT921" s="62"/>
      <c r="AZ921" s="62"/>
      <c r="BF921" s="62"/>
      <c r="BL921" s="62"/>
    </row>
    <row r="922" spans="4:64">
      <c r="D922" s="62"/>
      <c r="J922" s="62"/>
      <c r="P922" s="62"/>
      <c r="V922" s="62"/>
      <c r="AB922" s="62"/>
      <c r="AH922" s="62"/>
      <c r="AN922" s="62"/>
      <c r="AT922" s="62"/>
      <c r="AZ922" s="62"/>
      <c r="BF922" s="62"/>
      <c r="BL922" s="62"/>
    </row>
    <row r="923" spans="4:64">
      <c r="D923" s="62"/>
      <c r="J923" s="62"/>
      <c r="P923" s="62"/>
      <c r="V923" s="62"/>
      <c r="AB923" s="62"/>
      <c r="AH923" s="62"/>
      <c r="AN923" s="62"/>
      <c r="AT923" s="62"/>
      <c r="AZ923" s="62"/>
      <c r="BF923" s="62"/>
      <c r="BL923" s="62"/>
    </row>
    <row r="924" spans="4:64">
      <c r="D924" s="62"/>
      <c r="J924" s="62"/>
      <c r="P924" s="62"/>
      <c r="V924" s="62"/>
      <c r="AB924" s="62"/>
      <c r="AH924" s="62"/>
      <c r="AN924" s="62"/>
      <c r="AT924" s="62"/>
      <c r="AZ924" s="62"/>
      <c r="BF924" s="62"/>
      <c r="BL924" s="62"/>
    </row>
    <row r="925" spans="4:64">
      <c r="D925" s="62"/>
      <c r="J925" s="62"/>
      <c r="P925" s="62"/>
      <c r="V925" s="62"/>
      <c r="AB925" s="62"/>
      <c r="AH925" s="62"/>
      <c r="AN925" s="62"/>
      <c r="AT925" s="62"/>
      <c r="AZ925" s="62"/>
      <c r="BF925" s="62"/>
      <c r="BL925" s="62"/>
    </row>
    <row r="926" spans="4:64">
      <c r="D926" s="62"/>
      <c r="J926" s="62"/>
      <c r="P926" s="62"/>
      <c r="V926" s="62"/>
      <c r="AB926" s="62"/>
      <c r="AH926" s="62"/>
      <c r="AN926" s="62"/>
      <c r="AT926" s="62"/>
      <c r="AZ926" s="62"/>
      <c r="BF926" s="62"/>
      <c r="BL926" s="62"/>
    </row>
    <row r="927" spans="4:64">
      <c r="D927" s="62"/>
      <c r="J927" s="62"/>
      <c r="P927" s="62"/>
      <c r="V927" s="62"/>
      <c r="AB927" s="62"/>
      <c r="AH927" s="62"/>
      <c r="AN927" s="62"/>
      <c r="AT927" s="62"/>
      <c r="AZ927" s="62"/>
      <c r="BF927" s="62"/>
      <c r="BL927" s="62"/>
    </row>
    <row r="928" spans="4:64">
      <c r="D928" s="62"/>
      <c r="J928" s="62"/>
      <c r="P928" s="62"/>
      <c r="V928" s="62"/>
      <c r="AB928" s="62"/>
      <c r="AH928" s="62"/>
      <c r="AN928" s="62"/>
      <c r="AT928" s="62"/>
      <c r="AZ928" s="62"/>
      <c r="BF928" s="62"/>
      <c r="BL928" s="62"/>
    </row>
    <row r="929" spans="3:64">
      <c r="D929" s="62"/>
      <c r="J929" s="62"/>
      <c r="P929" s="62"/>
      <c r="V929" s="62"/>
      <c r="AB929" s="62"/>
      <c r="AH929" s="62"/>
      <c r="AN929" s="62"/>
      <c r="AT929" s="62"/>
      <c r="AZ929" s="62"/>
      <c r="BF929" s="62"/>
      <c r="BL929" s="62"/>
    </row>
    <row r="930" spans="3:64">
      <c r="D930" s="62"/>
      <c r="J930" s="62"/>
      <c r="P930" s="62"/>
      <c r="V930" s="62"/>
      <c r="AB930" s="62"/>
      <c r="AH930" s="62"/>
      <c r="AN930" s="62"/>
      <c r="AT930" s="62"/>
      <c r="AZ930" s="62"/>
      <c r="BF930" s="62"/>
      <c r="BL930" s="62"/>
    </row>
    <row r="931" spans="3:64">
      <c r="D931" s="62"/>
      <c r="J931" s="62"/>
      <c r="P931" s="62"/>
      <c r="V931" s="62"/>
      <c r="AB931" s="62"/>
      <c r="AH931" s="62"/>
      <c r="AN931" s="62"/>
      <c r="AT931" s="62"/>
      <c r="AZ931" s="62"/>
      <c r="BF931" s="62"/>
      <c r="BL931" s="62"/>
    </row>
    <row r="932" spans="3:64">
      <c r="D932" s="62"/>
      <c r="J932" s="62"/>
      <c r="P932" s="62"/>
      <c r="V932" s="62"/>
      <c r="AB932" s="62"/>
      <c r="AH932" s="62"/>
      <c r="AN932" s="62"/>
      <c r="AT932" s="62"/>
      <c r="AZ932" s="62"/>
      <c r="BF932" s="62"/>
      <c r="BL932" s="62"/>
    </row>
    <row r="933" spans="3:64">
      <c r="C933">
        <f>277/10</f>
        <v>27.7</v>
      </c>
      <c r="D933" s="62"/>
      <c r="J933" s="62"/>
      <c r="P933" s="62"/>
      <c r="V933" s="62"/>
      <c r="AB933" s="62"/>
      <c r="AH933" s="62"/>
      <c r="AN933" s="62"/>
      <c r="AT933" s="62"/>
      <c r="AZ933" s="62"/>
      <c r="BF933" s="62"/>
      <c r="BL933" s="62"/>
    </row>
    <row r="934" spans="3:64">
      <c r="D934" s="62"/>
      <c r="J934" s="62"/>
      <c r="P934" s="62"/>
      <c r="V934" s="62"/>
      <c r="AB934" s="62"/>
      <c r="AH934" s="62"/>
      <c r="AN934" s="62"/>
      <c r="AT934" s="62"/>
      <c r="AZ934" s="62"/>
      <c r="BF934" s="62"/>
      <c r="BL934" s="62"/>
    </row>
    <row r="935" spans="3:64">
      <c r="D935" s="62"/>
      <c r="J935" s="62"/>
      <c r="P935" s="62"/>
      <c r="V935" s="62"/>
      <c r="AB935" s="62"/>
      <c r="AH935" s="62"/>
      <c r="AN935" s="62"/>
      <c r="AT935" s="62"/>
      <c r="AZ935" s="62"/>
      <c r="BF935" s="62"/>
      <c r="BL935" s="62"/>
    </row>
    <row r="936" spans="3:64">
      <c r="D936" s="62"/>
      <c r="J936" s="62"/>
      <c r="P936" s="62"/>
      <c r="V936" s="62"/>
      <c r="AB936" s="62"/>
      <c r="AH936" s="62"/>
      <c r="AN936" s="62"/>
      <c r="AT936" s="62"/>
      <c r="AZ936" s="62"/>
      <c r="BF936" s="62"/>
      <c r="BL936" s="62"/>
    </row>
    <row r="937" spans="3:64">
      <c r="D937" s="62"/>
      <c r="J937" s="62"/>
      <c r="P937" s="62"/>
      <c r="V937" s="62"/>
      <c r="AB937" s="62"/>
      <c r="AH937" s="62"/>
      <c r="AN937" s="62"/>
      <c r="AT937" s="62"/>
      <c r="AZ937" s="62"/>
      <c r="BF937" s="62"/>
      <c r="BL937" s="62"/>
    </row>
    <row r="938" spans="3:64">
      <c r="D938" s="62"/>
      <c r="J938" s="62"/>
      <c r="P938" s="62"/>
      <c r="V938" s="62"/>
      <c r="AB938" s="62"/>
      <c r="AH938" s="62"/>
      <c r="AN938" s="62"/>
      <c r="AT938" s="62"/>
      <c r="AZ938" s="62"/>
      <c r="BF938" s="62"/>
      <c r="BL938" s="62"/>
    </row>
    <row r="939" spans="3:64">
      <c r="D939" s="62"/>
      <c r="J939" s="62"/>
      <c r="P939" s="62"/>
      <c r="V939" s="62"/>
      <c r="AB939" s="62"/>
      <c r="AH939" s="62"/>
      <c r="AN939" s="62"/>
      <c r="AT939" s="62"/>
      <c r="AZ939" s="62"/>
      <c r="BF939" s="62"/>
      <c r="BL939" s="62"/>
    </row>
    <row r="940" spans="3:64">
      <c r="D940" s="62"/>
      <c r="J940" s="62"/>
      <c r="P940" s="62"/>
      <c r="V940" s="62"/>
      <c r="AB940" s="62"/>
      <c r="AH940" s="62"/>
      <c r="AN940" s="62"/>
      <c r="AT940" s="62"/>
      <c r="AZ940" s="62"/>
      <c r="BF940" s="62"/>
      <c r="BL940" s="62"/>
    </row>
    <row r="941" spans="3:64">
      <c r="D941" s="62"/>
      <c r="J941" s="62"/>
      <c r="P941" s="62"/>
      <c r="V941" s="62"/>
      <c r="AB941" s="62"/>
      <c r="AH941" s="62"/>
      <c r="AN941" s="62"/>
      <c r="AT941" s="62"/>
      <c r="AZ941" s="62"/>
      <c r="BF941" s="62"/>
      <c r="BL941" s="62"/>
    </row>
    <row r="942" spans="3:64">
      <c r="D942" s="62"/>
      <c r="J942" s="62"/>
      <c r="P942" s="62"/>
      <c r="V942" s="62"/>
      <c r="AB942" s="62"/>
      <c r="AH942" s="62"/>
      <c r="AN942" s="62"/>
      <c r="AT942" s="62"/>
      <c r="AZ942" s="62"/>
      <c r="BF942" s="62"/>
      <c r="BL942" s="62"/>
    </row>
    <row r="943" spans="3:64">
      <c r="D943" s="62"/>
      <c r="J943" s="62"/>
      <c r="P943" s="62"/>
      <c r="V943" s="62"/>
      <c r="AB943" s="62"/>
      <c r="AH943" s="62"/>
      <c r="AN943" s="62"/>
      <c r="AT943" s="62"/>
      <c r="AZ943" s="62"/>
      <c r="BF943" s="62"/>
      <c r="BL943" s="62"/>
    </row>
    <row r="944" spans="3:64">
      <c r="D944" s="62"/>
      <c r="J944" s="62"/>
      <c r="P944" s="62"/>
      <c r="V944" s="62"/>
      <c r="AB944" s="62"/>
      <c r="AH944" s="62"/>
      <c r="AN944" s="62"/>
      <c r="AT944" s="62"/>
      <c r="AZ944" s="62"/>
      <c r="BF944" s="62"/>
      <c r="BL944" s="62"/>
    </row>
    <row r="945" spans="4:64">
      <c r="D945" s="62"/>
      <c r="J945" s="62"/>
      <c r="P945" s="62"/>
      <c r="V945" s="62"/>
      <c r="AB945" s="62"/>
      <c r="AH945" s="62"/>
      <c r="AN945" s="62"/>
      <c r="AT945" s="62"/>
      <c r="AZ945" s="62"/>
      <c r="BF945" s="62"/>
      <c r="BL945" s="62"/>
    </row>
    <row r="946" spans="4:64">
      <c r="D946" s="62"/>
      <c r="J946" s="62"/>
      <c r="P946" s="62"/>
      <c r="V946" s="62"/>
      <c r="AB946" s="62"/>
      <c r="AH946" s="62"/>
      <c r="AN946" s="62"/>
      <c r="AT946" s="62"/>
      <c r="AZ946" s="62"/>
      <c r="BF946" s="62"/>
      <c r="BL946" s="62"/>
    </row>
    <row r="947" spans="4:64">
      <c r="D947" s="62"/>
      <c r="J947" s="62"/>
      <c r="P947" s="62"/>
      <c r="V947" s="62"/>
      <c r="AB947" s="62"/>
      <c r="AH947" s="62"/>
      <c r="AN947" s="62"/>
      <c r="AT947" s="62"/>
      <c r="AZ947" s="62"/>
      <c r="BF947" s="62"/>
      <c r="BL947" s="62"/>
    </row>
    <row r="948" spans="4:64">
      <c r="D948" s="62"/>
      <c r="J948" s="62"/>
      <c r="P948" s="62"/>
      <c r="V948" s="62"/>
      <c r="AB948" s="62"/>
      <c r="AH948" s="62"/>
      <c r="AN948" s="62"/>
      <c r="AT948" s="62"/>
      <c r="AZ948" s="62"/>
      <c r="BF948" s="62"/>
      <c r="BL948" s="62"/>
    </row>
    <row r="949" spans="4:64">
      <c r="D949" s="62"/>
      <c r="J949" s="62"/>
      <c r="P949" s="62"/>
      <c r="V949" s="62"/>
      <c r="AB949" s="62"/>
      <c r="AH949" s="62"/>
      <c r="AN949" s="62"/>
      <c r="AT949" s="62"/>
      <c r="AZ949" s="62"/>
      <c r="BF949" s="62"/>
      <c r="BL949" s="62"/>
    </row>
    <row r="950" spans="4:64">
      <c r="D950" s="62"/>
      <c r="J950" s="62"/>
      <c r="P950" s="62"/>
      <c r="V950" s="62"/>
      <c r="AB950" s="62"/>
      <c r="AH950" s="62"/>
      <c r="AN950" s="62"/>
      <c r="AT950" s="62"/>
      <c r="AZ950" s="62"/>
      <c r="BF950" s="62"/>
      <c r="BL950" s="62"/>
    </row>
    <row r="951" spans="4:64">
      <c r="D951" s="62"/>
      <c r="J951" s="62"/>
      <c r="P951" s="62"/>
      <c r="V951" s="62"/>
      <c r="AB951" s="62"/>
      <c r="AH951" s="62"/>
      <c r="AN951" s="62"/>
      <c r="AT951" s="62"/>
      <c r="AZ951" s="62"/>
      <c r="BF951" s="62"/>
      <c r="BL951" s="62"/>
    </row>
    <row r="952" spans="4:64">
      <c r="D952" s="62"/>
      <c r="J952" s="62"/>
      <c r="P952" s="62"/>
      <c r="V952" s="62"/>
      <c r="AB952" s="62"/>
      <c r="AH952" s="62"/>
      <c r="AN952" s="62"/>
      <c r="AT952" s="62"/>
      <c r="AZ952" s="62"/>
      <c r="BF952" s="62"/>
      <c r="BL952" s="62"/>
    </row>
    <row r="953" spans="4:64">
      <c r="D953" s="62"/>
      <c r="J953" s="62"/>
      <c r="P953" s="62"/>
      <c r="V953" s="62"/>
      <c r="AB953" s="62"/>
      <c r="AH953" s="62"/>
      <c r="AN953" s="62"/>
      <c r="AT953" s="62"/>
      <c r="AZ953" s="62"/>
      <c r="BF953" s="62"/>
      <c r="BL953" s="62"/>
    </row>
    <row r="954" spans="4:64">
      <c r="D954" s="62"/>
      <c r="J954" s="62"/>
      <c r="P954" s="62"/>
      <c r="V954" s="62"/>
      <c r="AB954" s="62"/>
      <c r="AH954" s="62"/>
      <c r="AN954" s="62"/>
      <c r="AT954" s="62"/>
      <c r="AZ954" s="62"/>
      <c r="BF954" s="62"/>
      <c r="BL954" s="62"/>
    </row>
    <row r="955" spans="4:64">
      <c r="D955" s="62"/>
      <c r="J955" s="62"/>
      <c r="P955" s="62"/>
      <c r="V955" s="62"/>
      <c r="AB955" s="62"/>
      <c r="AH955" s="62"/>
      <c r="AN955" s="62"/>
      <c r="AT955" s="62"/>
      <c r="AZ955" s="62"/>
      <c r="BF955" s="62"/>
      <c r="BL955" s="62"/>
    </row>
    <row r="956" spans="4:64">
      <c r="D956" s="62"/>
      <c r="J956" s="62"/>
      <c r="P956" s="62"/>
      <c r="V956" s="62"/>
      <c r="AB956" s="62"/>
      <c r="AH956" s="62"/>
      <c r="AN956" s="62"/>
      <c r="AT956" s="62"/>
      <c r="AZ956" s="62"/>
      <c r="BF956" s="62"/>
      <c r="BL956" s="62"/>
    </row>
    <row r="957" spans="4:64">
      <c r="D957" s="62"/>
      <c r="J957" s="62"/>
      <c r="P957" s="62"/>
      <c r="V957" s="62"/>
      <c r="AB957" s="62"/>
      <c r="AH957" s="62"/>
      <c r="AN957" s="62"/>
      <c r="AT957" s="62"/>
      <c r="AZ957" s="62"/>
      <c r="BF957" s="62"/>
      <c r="BL957" s="62"/>
    </row>
    <row r="958" spans="4:64">
      <c r="D958" s="62"/>
      <c r="J958" s="62"/>
      <c r="P958" s="62"/>
      <c r="V958" s="62"/>
      <c r="AB958" s="62"/>
      <c r="AH958" s="62"/>
      <c r="AN958" s="62"/>
      <c r="AT958" s="62"/>
      <c r="AZ958" s="62"/>
      <c r="BF958" s="62"/>
      <c r="BL958" s="62"/>
    </row>
    <row r="959" spans="4:64">
      <c r="D959" s="62"/>
      <c r="J959" s="62"/>
      <c r="P959" s="62"/>
      <c r="V959" s="62"/>
      <c r="AB959" s="62"/>
      <c r="AH959" s="62"/>
      <c r="AN959" s="62"/>
      <c r="AT959" s="62"/>
      <c r="AZ959" s="62"/>
      <c r="BF959" s="62"/>
      <c r="BL959" s="62"/>
    </row>
    <row r="960" spans="4:64">
      <c r="D960" s="62"/>
      <c r="J960" s="62"/>
      <c r="P960" s="62"/>
      <c r="V960" s="62"/>
      <c r="AB960" s="62"/>
      <c r="AH960" s="62"/>
      <c r="AN960" s="62"/>
      <c r="AT960" s="62"/>
      <c r="AZ960" s="62"/>
      <c r="BF960" s="62"/>
      <c r="BL960" s="62"/>
    </row>
    <row r="961" spans="4:64">
      <c r="D961" s="62"/>
      <c r="J961" s="62"/>
      <c r="P961" s="62"/>
      <c r="V961" s="62"/>
      <c r="AB961" s="62"/>
      <c r="AH961" s="62"/>
      <c r="AN961" s="62"/>
      <c r="AT961" s="62"/>
      <c r="AZ961" s="62"/>
      <c r="BF961" s="62"/>
      <c r="BL961" s="62"/>
    </row>
    <row r="962" spans="4:64">
      <c r="D962" s="62"/>
      <c r="J962" s="62"/>
      <c r="P962" s="62"/>
      <c r="V962" s="62"/>
      <c r="AB962" s="62"/>
      <c r="AH962" s="62"/>
      <c r="AN962" s="62"/>
      <c r="AT962" s="62"/>
      <c r="AZ962" s="62"/>
      <c r="BF962" s="62"/>
      <c r="BL962" s="62"/>
    </row>
    <row r="963" spans="4:64">
      <c r="D963" s="62"/>
      <c r="J963" s="62"/>
      <c r="P963" s="62"/>
      <c r="V963" s="62"/>
      <c r="AB963" s="62"/>
      <c r="AH963" s="62"/>
      <c r="AN963" s="62"/>
      <c r="AT963" s="62"/>
      <c r="AZ963" s="62"/>
      <c r="BF963" s="62"/>
      <c r="BL963" s="62"/>
    </row>
    <row r="964" spans="4:64">
      <c r="D964" s="62"/>
      <c r="J964" s="62"/>
      <c r="P964" s="62"/>
      <c r="V964" s="62"/>
      <c r="AB964" s="62"/>
      <c r="AH964" s="62"/>
      <c r="AN964" s="62"/>
      <c r="AT964" s="62"/>
      <c r="AZ964" s="62"/>
      <c r="BF964" s="62"/>
      <c r="BL964" s="62"/>
    </row>
    <row r="965" spans="4:64">
      <c r="D965" s="62"/>
      <c r="J965" s="62"/>
      <c r="P965" s="62"/>
      <c r="V965" s="62"/>
      <c r="AB965" s="62"/>
      <c r="AH965" s="62"/>
      <c r="AN965" s="62"/>
      <c r="AT965" s="62"/>
      <c r="AZ965" s="62"/>
      <c r="BF965" s="62"/>
      <c r="BL965" s="62"/>
    </row>
    <row r="966" spans="4:64">
      <c r="D966" s="62"/>
      <c r="J966" s="62"/>
      <c r="P966" s="62"/>
      <c r="V966" s="62"/>
      <c r="AB966" s="62"/>
      <c r="AH966" s="62"/>
      <c r="AN966" s="62"/>
      <c r="AT966" s="62"/>
      <c r="AZ966" s="62"/>
      <c r="BF966" s="62"/>
      <c r="BL966" s="62"/>
    </row>
    <row r="967" spans="4:64">
      <c r="D967" s="62"/>
      <c r="J967" s="62"/>
      <c r="P967" s="62"/>
      <c r="V967" s="62"/>
      <c r="AB967" s="62"/>
      <c r="AH967" s="62"/>
      <c r="AN967" s="62"/>
      <c r="AT967" s="62"/>
      <c r="AZ967" s="62"/>
      <c r="BF967" s="62"/>
      <c r="BL967" s="62"/>
    </row>
    <row r="968" spans="4:64">
      <c r="D968" s="62"/>
      <c r="J968" s="62"/>
      <c r="P968" s="62"/>
      <c r="V968" s="62"/>
      <c r="AB968" s="62"/>
      <c r="AH968" s="62"/>
      <c r="AN968" s="62"/>
      <c r="AT968" s="62"/>
      <c r="AZ968" s="62"/>
      <c r="BF968" s="62"/>
      <c r="BL968" s="62"/>
    </row>
    <row r="969" spans="4:64">
      <c r="D969" s="62"/>
      <c r="J969" s="62"/>
      <c r="P969" s="62"/>
      <c r="V969" s="62"/>
      <c r="AB969" s="62"/>
      <c r="AH969" s="62"/>
      <c r="AN969" s="62"/>
      <c r="AT969" s="62"/>
      <c r="AZ969" s="62"/>
      <c r="BF969" s="62"/>
      <c r="BL969" s="62"/>
    </row>
    <row r="970" spans="4:64">
      <c r="D970" s="62"/>
      <c r="J970" s="62"/>
      <c r="P970" s="62"/>
      <c r="V970" s="62"/>
      <c r="AB970" s="62"/>
      <c r="AH970" s="62"/>
      <c r="AN970" s="62"/>
      <c r="AT970" s="62"/>
      <c r="AZ970" s="62"/>
      <c r="BF970" s="62"/>
      <c r="BL970" s="62"/>
    </row>
    <row r="971" spans="4:64">
      <c r="D971" s="62"/>
      <c r="J971" s="62"/>
      <c r="P971" s="62"/>
      <c r="V971" s="62"/>
      <c r="AB971" s="62"/>
      <c r="AH971" s="62"/>
      <c r="AN971" s="62"/>
      <c r="AT971" s="62"/>
      <c r="AZ971" s="62"/>
      <c r="BF971" s="62"/>
      <c r="BL971" s="62"/>
    </row>
    <row r="972" spans="4:64">
      <c r="D972" s="62"/>
      <c r="J972" s="62"/>
      <c r="P972" s="62"/>
      <c r="V972" s="62"/>
      <c r="AB972" s="62"/>
      <c r="AH972" s="62"/>
      <c r="AN972" s="62"/>
      <c r="AT972" s="62"/>
      <c r="AZ972" s="62"/>
      <c r="BF972" s="62"/>
      <c r="BL972" s="62"/>
    </row>
    <row r="973" spans="4:64">
      <c r="D973" s="62"/>
      <c r="J973" s="62"/>
      <c r="P973" s="62"/>
      <c r="V973" s="62"/>
      <c r="AB973" s="62"/>
      <c r="AH973" s="62"/>
      <c r="AN973" s="62"/>
      <c r="AT973" s="62"/>
      <c r="AZ973" s="62"/>
      <c r="BF973" s="62"/>
      <c r="BL973" s="62"/>
    </row>
    <row r="974" spans="4:64">
      <c r="D974" s="62"/>
      <c r="J974" s="62"/>
      <c r="P974" s="62"/>
      <c r="V974" s="62"/>
      <c r="AB974" s="62"/>
      <c r="AH974" s="62"/>
      <c r="AN974" s="62"/>
      <c r="AT974" s="62"/>
      <c r="AZ974" s="62"/>
      <c r="BF974" s="62"/>
      <c r="BL974" s="62"/>
    </row>
    <row r="975" spans="4:64">
      <c r="D975" s="62"/>
      <c r="J975" s="62"/>
      <c r="P975" s="62"/>
      <c r="V975" s="62"/>
      <c r="AB975" s="62"/>
      <c r="AH975" s="62"/>
      <c r="AN975" s="62"/>
      <c r="AT975" s="62"/>
      <c r="AZ975" s="62"/>
      <c r="BF975" s="62"/>
      <c r="BL975" s="62"/>
    </row>
    <row r="976" spans="4:64">
      <c r="D976" s="62"/>
      <c r="J976" s="62"/>
      <c r="P976" s="62"/>
      <c r="V976" s="62"/>
      <c r="AB976" s="62"/>
      <c r="AH976" s="62"/>
      <c r="AN976" s="62"/>
      <c r="AT976" s="62"/>
      <c r="AZ976" s="62"/>
      <c r="BF976" s="62"/>
      <c r="BL976" s="62"/>
    </row>
    <row r="977" spans="4:64">
      <c r="D977" s="62"/>
      <c r="J977" s="62"/>
      <c r="P977" s="62"/>
      <c r="V977" s="62"/>
      <c r="AB977" s="62"/>
      <c r="AH977" s="62"/>
      <c r="AN977" s="62"/>
      <c r="AT977" s="62"/>
      <c r="AZ977" s="62"/>
      <c r="BF977" s="62"/>
      <c r="BL977" s="62"/>
    </row>
    <row r="978" spans="4:64">
      <c r="D978" s="62"/>
      <c r="J978" s="62"/>
      <c r="P978" s="62"/>
      <c r="V978" s="62"/>
      <c r="AB978" s="62"/>
      <c r="AH978" s="62"/>
      <c r="AN978" s="62"/>
      <c r="AT978" s="62"/>
      <c r="AZ978" s="62"/>
      <c r="BF978" s="62"/>
      <c r="BL978" s="62"/>
    </row>
    <row r="979" spans="4:64">
      <c r="D979" s="62"/>
      <c r="J979" s="62"/>
      <c r="P979" s="62"/>
      <c r="V979" s="62"/>
      <c r="AB979" s="62"/>
      <c r="AH979" s="62"/>
      <c r="AN979" s="62"/>
      <c r="AT979" s="62"/>
      <c r="AZ979" s="62"/>
      <c r="BF979" s="62"/>
      <c r="BL979" s="62"/>
    </row>
    <row r="980" spans="4:64">
      <c r="D980" s="62"/>
      <c r="J980" s="62"/>
      <c r="P980" s="62"/>
      <c r="V980" s="62"/>
      <c r="AB980" s="62"/>
      <c r="AH980" s="62"/>
      <c r="AN980" s="62"/>
      <c r="AT980" s="62"/>
      <c r="AZ980" s="62"/>
      <c r="BF980" s="62"/>
      <c r="BL980" s="62"/>
    </row>
    <row r="981" spans="4:64">
      <c r="D981" s="62"/>
      <c r="J981" s="62"/>
      <c r="P981" s="62"/>
      <c r="V981" s="62"/>
      <c r="AB981" s="62"/>
      <c r="AH981" s="62"/>
      <c r="AN981" s="62"/>
      <c r="AT981" s="62"/>
      <c r="AZ981" s="62"/>
      <c r="BF981" s="62"/>
      <c r="BL981" s="62"/>
    </row>
    <row r="982" spans="4:64">
      <c r="D982" s="62"/>
      <c r="J982" s="62"/>
      <c r="P982" s="62"/>
      <c r="V982" s="62"/>
      <c r="AB982" s="62"/>
      <c r="AH982" s="62"/>
      <c r="AN982" s="62"/>
      <c r="AT982" s="62"/>
      <c r="AZ982" s="62"/>
      <c r="BF982" s="62"/>
      <c r="BL982" s="62"/>
    </row>
    <row r="983" spans="4:64">
      <c r="D983" s="62"/>
      <c r="J983" s="62"/>
      <c r="P983" s="62"/>
      <c r="V983" s="62"/>
      <c r="AB983" s="62"/>
      <c r="AH983" s="62"/>
      <c r="AN983" s="62"/>
      <c r="AT983" s="62"/>
      <c r="AZ983" s="62"/>
      <c r="BF983" s="62"/>
      <c r="BL983" s="62"/>
    </row>
    <row r="984" spans="4:64">
      <c r="D984" s="62"/>
      <c r="J984" s="62"/>
      <c r="P984" s="62"/>
      <c r="V984" s="62"/>
      <c r="AB984" s="62"/>
      <c r="AH984" s="62"/>
      <c r="AN984" s="62"/>
      <c r="AT984" s="62"/>
      <c r="AZ984" s="62"/>
      <c r="BF984" s="62"/>
      <c r="BL984" s="62"/>
    </row>
    <row r="985" spans="4:64">
      <c r="D985" s="62"/>
      <c r="J985" s="62"/>
      <c r="P985" s="62"/>
      <c r="V985" s="62"/>
      <c r="AB985" s="62"/>
      <c r="AH985" s="62"/>
      <c r="AN985" s="62"/>
      <c r="AT985" s="62"/>
      <c r="AZ985" s="62"/>
      <c r="BF985" s="62"/>
      <c r="BL985" s="62"/>
    </row>
    <row r="986" spans="4:64">
      <c r="D986" s="62"/>
      <c r="J986" s="62"/>
      <c r="P986" s="62"/>
      <c r="V986" s="62"/>
      <c r="AB986" s="62"/>
      <c r="AH986" s="62"/>
      <c r="AN986" s="62"/>
      <c r="AT986" s="62"/>
      <c r="AZ986" s="62"/>
      <c r="BF986" s="62"/>
      <c r="BL986" s="62"/>
    </row>
    <row r="987" spans="4:64">
      <c r="D987" s="62"/>
      <c r="J987" s="62"/>
      <c r="P987" s="62"/>
      <c r="V987" s="62"/>
      <c r="AB987" s="62"/>
      <c r="AH987" s="62"/>
      <c r="AN987" s="62"/>
      <c r="AT987" s="62"/>
      <c r="AZ987" s="62"/>
      <c r="BF987" s="62"/>
      <c r="BL987" s="62"/>
    </row>
    <row r="988" spans="4:64">
      <c r="D988" s="62"/>
      <c r="J988" s="62"/>
      <c r="P988" s="62"/>
      <c r="V988" s="62"/>
      <c r="AB988" s="62"/>
      <c r="AH988" s="62"/>
      <c r="AN988" s="62"/>
      <c r="AT988" s="62"/>
      <c r="AZ988" s="62"/>
      <c r="BF988" s="62"/>
      <c r="BL988" s="62"/>
    </row>
    <row r="989" spans="4:64">
      <c r="D989" s="62"/>
      <c r="J989" s="62"/>
      <c r="P989" s="62"/>
      <c r="V989" s="62"/>
      <c r="AB989" s="62"/>
      <c r="AH989" s="62"/>
      <c r="AN989" s="62"/>
      <c r="AT989" s="62"/>
      <c r="AZ989" s="62"/>
      <c r="BF989" s="62"/>
      <c r="BL989" s="62"/>
    </row>
    <row r="990" spans="4:64">
      <c r="D990" s="62"/>
      <c r="J990" s="62"/>
      <c r="P990" s="62"/>
      <c r="V990" s="62"/>
      <c r="AB990" s="62"/>
      <c r="AH990" s="62"/>
      <c r="AN990" s="62"/>
      <c r="AT990" s="62"/>
      <c r="AZ990" s="62"/>
      <c r="BF990" s="62"/>
      <c r="BL990" s="62"/>
    </row>
    <row r="991" spans="4:64">
      <c r="D991" s="62"/>
      <c r="J991" s="62"/>
      <c r="P991" s="62"/>
      <c r="V991" s="62"/>
      <c r="AB991" s="62"/>
      <c r="AH991" s="62"/>
      <c r="AN991" s="62"/>
      <c r="AT991" s="62"/>
      <c r="AZ991" s="62"/>
      <c r="BF991" s="62"/>
      <c r="BL991" s="62"/>
    </row>
    <row r="992" spans="4:64">
      <c r="D992" s="62"/>
      <c r="J992" s="62"/>
      <c r="P992" s="62"/>
      <c r="V992" s="62"/>
      <c r="AB992" s="62"/>
      <c r="AH992" s="62"/>
      <c r="AN992" s="62"/>
      <c r="AT992" s="62"/>
      <c r="AZ992" s="62"/>
      <c r="BF992" s="62"/>
      <c r="BL992" s="62"/>
    </row>
    <row r="993" spans="4:64">
      <c r="D993" s="62"/>
      <c r="J993" s="62"/>
      <c r="P993" s="62"/>
      <c r="V993" s="62"/>
      <c r="AB993" s="62"/>
      <c r="AH993" s="62"/>
      <c r="AN993" s="62"/>
      <c r="AT993" s="62"/>
      <c r="AZ993" s="62"/>
      <c r="BF993" s="62"/>
      <c r="BL993" s="62"/>
    </row>
    <row r="994" spans="4:64">
      <c r="D994" s="62"/>
      <c r="J994" s="62"/>
      <c r="P994" s="62"/>
      <c r="V994" s="62"/>
      <c r="AB994" s="62"/>
      <c r="AH994" s="62"/>
      <c r="AN994" s="62"/>
      <c r="AT994" s="62"/>
      <c r="AZ994" s="62"/>
      <c r="BF994" s="62"/>
      <c r="BL994" s="62"/>
    </row>
    <row r="995" spans="4:64">
      <c r="D995" s="62"/>
      <c r="J995" s="62"/>
      <c r="P995" s="62"/>
      <c r="V995" s="62"/>
      <c r="AB995" s="62"/>
      <c r="AH995" s="62"/>
      <c r="AN995" s="62"/>
      <c r="AT995" s="62"/>
      <c r="AZ995" s="62"/>
      <c r="BF995" s="62"/>
      <c r="BL995" s="62"/>
    </row>
    <row r="996" spans="4:64">
      <c r="D996" s="62"/>
      <c r="J996" s="62"/>
      <c r="P996" s="62"/>
      <c r="V996" s="62"/>
      <c r="AB996" s="62"/>
      <c r="AH996" s="62"/>
      <c r="AN996" s="62"/>
      <c r="AT996" s="62"/>
      <c r="AZ996" s="62"/>
      <c r="BF996" s="62"/>
      <c r="BL996" s="62"/>
    </row>
    <row r="997" spans="4:64">
      <c r="D997" s="62"/>
      <c r="J997" s="62"/>
      <c r="P997" s="62"/>
      <c r="V997" s="62"/>
      <c r="AB997" s="62"/>
      <c r="AH997" s="62"/>
      <c r="AN997" s="62"/>
      <c r="AT997" s="62"/>
      <c r="AZ997" s="62"/>
      <c r="BF997" s="62"/>
      <c r="BL997" s="62"/>
    </row>
    <row r="998" spans="4:64">
      <c r="D998" s="62"/>
      <c r="J998" s="62"/>
      <c r="P998" s="62"/>
      <c r="V998" s="62"/>
      <c r="AB998" s="62"/>
      <c r="AH998" s="62"/>
      <c r="AN998" s="62"/>
      <c r="AT998" s="62"/>
      <c r="AZ998" s="62"/>
      <c r="BF998" s="62"/>
      <c r="BL998" s="62"/>
    </row>
    <row r="999" spans="4:64">
      <c r="D999" s="62"/>
      <c r="J999" s="62"/>
      <c r="P999" s="62"/>
      <c r="V999" s="62"/>
      <c r="AB999" s="62"/>
      <c r="AH999" s="62"/>
      <c r="AN999" s="62"/>
      <c r="AT999" s="62"/>
      <c r="AZ999" s="62"/>
      <c r="BF999" s="62"/>
      <c r="BL999" s="62"/>
    </row>
    <row r="1000" spans="4:64">
      <c r="D1000" s="62"/>
      <c r="J1000" s="62"/>
      <c r="P1000" s="62"/>
      <c r="V1000" s="62"/>
      <c r="AB1000" s="62"/>
      <c r="AH1000" s="62"/>
      <c r="AN1000" s="62"/>
      <c r="AT1000" s="62"/>
      <c r="AZ1000" s="62"/>
      <c r="BF1000" s="62"/>
      <c r="BL1000" s="62"/>
    </row>
    <row r="1001" spans="4:64">
      <c r="D1001" s="62"/>
      <c r="J1001" s="62"/>
      <c r="P1001" s="62"/>
      <c r="V1001" s="62"/>
      <c r="AB1001" s="62"/>
      <c r="AH1001" s="62"/>
      <c r="AN1001" s="62"/>
      <c r="AT1001" s="62"/>
      <c r="AZ1001" s="62"/>
      <c r="BF1001" s="62"/>
      <c r="BL1001" s="62"/>
    </row>
    <row r="1002" spans="4:64">
      <c r="D1002" s="62"/>
      <c r="J1002" s="62"/>
      <c r="P1002" s="62"/>
      <c r="V1002" s="62"/>
      <c r="AB1002" s="62"/>
      <c r="AH1002" s="62"/>
      <c r="AN1002" s="62"/>
      <c r="AT1002" s="62"/>
      <c r="AZ1002" s="62"/>
      <c r="BF1002" s="62"/>
      <c r="BL1002" s="62"/>
    </row>
    <row r="1003" spans="4:64">
      <c r="D1003" s="62"/>
      <c r="J1003" s="62"/>
      <c r="P1003" s="62"/>
      <c r="V1003" s="62"/>
      <c r="AB1003" s="62"/>
      <c r="AH1003" s="62"/>
      <c r="AN1003" s="62"/>
      <c r="AT1003" s="62"/>
      <c r="AZ1003" s="62"/>
      <c r="BF1003" s="62"/>
      <c r="BL1003" s="62"/>
    </row>
    <row r="1004" spans="4:64">
      <c r="D1004" s="62"/>
      <c r="J1004" s="62"/>
      <c r="P1004" s="62"/>
      <c r="V1004" s="62"/>
      <c r="AB1004" s="62"/>
      <c r="AH1004" s="62"/>
      <c r="AN1004" s="62"/>
      <c r="AT1004" s="62"/>
      <c r="AZ1004" s="62"/>
      <c r="BF1004" s="62"/>
      <c r="BL1004" s="62"/>
    </row>
    <row r="1005" spans="4:64">
      <c r="D1005" s="62"/>
      <c r="J1005" s="62"/>
      <c r="P1005" s="62"/>
      <c r="V1005" s="62"/>
      <c r="AB1005" s="62"/>
      <c r="AH1005" s="62"/>
      <c r="AN1005" s="62"/>
      <c r="AT1005" s="62"/>
      <c r="AZ1005" s="62"/>
      <c r="BF1005" s="62"/>
      <c r="BL1005" s="62"/>
    </row>
    <row r="1006" spans="4:64">
      <c r="D1006" s="62"/>
      <c r="J1006" s="62"/>
      <c r="P1006" s="62"/>
      <c r="V1006" s="62"/>
      <c r="AB1006" s="62"/>
      <c r="AH1006" s="62"/>
      <c r="AN1006" s="62"/>
      <c r="AT1006" s="62"/>
      <c r="AZ1006" s="62"/>
      <c r="BF1006" s="62"/>
      <c r="BL1006" s="62"/>
    </row>
    <row r="1007" spans="4:64">
      <c r="D1007" s="62"/>
      <c r="J1007" s="62"/>
      <c r="P1007" s="62"/>
      <c r="V1007" s="62"/>
      <c r="AB1007" s="62"/>
      <c r="AH1007" s="62"/>
      <c r="AN1007" s="62"/>
      <c r="AT1007" s="62"/>
      <c r="AZ1007" s="62"/>
      <c r="BF1007" s="62"/>
      <c r="BL1007" s="62"/>
    </row>
    <row r="1008" spans="4:64">
      <c r="D1008" s="62"/>
      <c r="J1008" s="62"/>
      <c r="P1008" s="62"/>
      <c r="V1008" s="62"/>
      <c r="AB1008" s="62"/>
      <c r="AH1008" s="62"/>
      <c r="AN1008" s="62"/>
      <c r="AT1008" s="62"/>
      <c r="AZ1008" s="62"/>
      <c r="BF1008" s="62"/>
      <c r="BL1008" s="62"/>
    </row>
    <row r="1009" spans="4:64">
      <c r="D1009" s="62"/>
      <c r="J1009" s="62"/>
      <c r="P1009" s="62"/>
      <c r="V1009" s="62"/>
      <c r="AB1009" s="62"/>
      <c r="AH1009" s="62"/>
      <c r="AN1009" s="62"/>
      <c r="AT1009" s="62"/>
      <c r="AZ1009" s="62"/>
      <c r="BF1009" s="62"/>
      <c r="BL1009" s="62"/>
    </row>
    <row r="1010" spans="4:64">
      <c r="D1010" s="62"/>
      <c r="J1010" s="62"/>
      <c r="P1010" s="62"/>
      <c r="V1010" s="62"/>
      <c r="AB1010" s="62"/>
      <c r="AH1010" s="62"/>
      <c r="AN1010" s="62"/>
      <c r="AT1010" s="62"/>
      <c r="AZ1010" s="62"/>
      <c r="BF1010" s="62"/>
      <c r="BL1010" s="62"/>
    </row>
    <row r="1011" spans="4:64">
      <c r="D1011" s="62"/>
      <c r="J1011" s="62"/>
      <c r="P1011" s="62"/>
      <c r="V1011" s="62"/>
      <c r="AB1011" s="62"/>
      <c r="AH1011" s="62"/>
      <c r="AN1011" s="62"/>
      <c r="AT1011" s="62"/>
      <c r="AZ1011" s="62"/>
      <c r="BF1011" s="62"/>
      <c r="BL1011" s="62"/>
    </row>
    <row r="1012" spans="4:64">
      <c r="D1012" s="62"/>
      <c r="J1012" s="62"/>
      <c r="P1012" s="62"/>
      <c r="V1012" s="62"/>
      <c r="AB1012" s="62"/>
      <c r="AH1012" s="62"/>
      <c r="AN1012" s="62"/>
      <c r="AT1012" s="62"/>
      <c r="AZ1012" s="62"/>
      <c r="BF1012" s="62"/>
      <c r="BL1012" s="62"/>
    </row>
    <row r="1013" spans="4:64">
      <c r="D1013" s="62"/>
      <c r="J1013" s="62"/>
      <c r="P1013" s="62"/>
      <c r="V1013" s="62"/>
      <c r="AB1013" s="62"/>
      <c r="AH1013" s="62"/>
      <c r="AN1013" s="62"/>
      <c r="AT1013" s="62"/>
      <c r="AZ1013" s="62"/>
      <c r="BF1013" s="62"/>
      <c r="BL1013" s="62"/>
    </row>
    <row r="1014" spans="4:64">
      <c r="D1014" s="62"/>
      <c r="J1014" s="62"/>
      <c r="P1014" s="62"/>
      <c r="V1014" s="62"/>
      <c r="AB1014" s="62"/>
      <c r="AH1014" s="62"/>
      <c r="AN1014" s="62"/>
      <c r="AT1014" s="62"/>
      <c r="AZ1014" s="62"/>
      <c r="BF1014" s="62"/>
      <c r="BL1014" s="62"/>
    </row>
    <row r="1015" spans="4:64">
      <c r="D1015" s="62"/>
      <c r="J1015" s="62"/>
      <c r="P1015" s="62"/>
      <c r="V1015" s="62"/>
      <c r="AB1015" s="62"/>
      <c r="AH1015" s="62"/>
      <c r="AN1015" s="62"/>
      <c r="AT1015" s="62"/>
      <c r="AZ1015" s="62"/>
      <c r="BF1015" s="62"/>
      <c r="BL1015" s="62"/>
    </row>
    <row r="1016" spans="4:64">
      <c r="D1016" s="62"/>
      <c r="J1016" s="62"/>
      <c r="P1016" s="62"/>
      <c r="V1016" s="62"/>
      <c r="AB1016" s="62"/>
      <c r="AH1016" s="62"/>
      <c r="AN1016" s="62"/>
      <c r="AT1016" s="62"/>
      <c r="AZ1016" s="62"/>
      <c r="BF1016" s="62"/>
      <c r="BL1016" s="62"/>
    </row>
    <row r="1017" spans="4:64">
      <c r="D1017" s="62"/>
      <c r="J1017" s="62"/>
      <c r="P1017" s="62"/>
      <c r="V1017" s="62"/>
      <c r="AB1017" s="62"/>
      <c r="AH1017" s="62"/>
      <c r="AN1017" s="62"/>
      <c r="AT1017" s="62"/>
      <c r="AZ1017" s="62"/>
      <c r="BF1017" s="62"/>
      <c r="BL1017" s="62"/>
    </row>
    <row r="1018" spans="4:64">
      <c r="D1018" s="62"/>
      <c r="J1018" s="62"/>
      <c r="P1018" s="62"/>
      <c r="V1018" s="62"/>
      <c r="AB1018" s="62"/>
      <c r="AH1018" s="62"/>
      <c r="AN1018" s="62"/>
      <c r="AT1018" s="62"/>
      <c r="AZ1018" s="62"/>
      <c r="BF1018" s="62"/>
      <c r="BL1018" s="62"/>
    </row>
    <row r="1019" spans="4:64">
      <c r="D1019" s="62"/>
      <c r="J1019" s="62"/>
      <c r="P1019" s="62"/>
      <c r="V1019" s="62"/>
      <c r="AB1019" s="62"/>
      <c r="AH1019" s="62"/>
      <c r="AN1019" s="62"/>
      <c r="AT1019" s="62"/>
      <c r="AZ1019" s="62"/>
      <c r="BF1019" s="62"/>
      <c r="BL1019" s="62"/>
    </row>
    <row r="1020" spans="4:64">
      <c r="D1020" s="62"/>
      <c r="J1020" s="62"/>
      <c r="P1020" s="62"/>
      <c r="V1020" s="62"/>
      <c r="AB1020" s="62"/>
      <c r="AH1020" s="62"/>
      <c r="AN1020" s="62"/>
      <c r="AT1020" s="62"/>
      <c r="AZ1020" s="62"/>
      <c r="BF1020" s="62"/>
      <c r="BL1020" s="62"/>
    </row>
    <row r="1021" spans="4:64">
      <c r="D1021" s="62"/>
      <c r="J1021" s="62"/>
      <c r="P1021" s="62"/>
      <c r="V1021" s="62"/>
      <c r="AB1021" s="62"/>
      <c r="AH1021" s="62"/>
      <c r="AN1021" s="62"/>
      <c r="AT1021" s="62"/>
      <c r="AZ1021" s="62"/>
      <c r="BF1021" s="62"/>
      <c r="BL1021" s="62"/>
    </row>
    <row r="1022" spans="4:64">
      <c r="D1022" s="62"/>
      <c r="J1022" s="62"/>
      <c r="P1022" s="62"/>
      <c r="V1022" s="62"/>
      <c r="AB1022" s="62"/>
      <c r="AH1022" s="62"/>
      <c r="AN1022" s="62"/>
      <c r="AT1022" s="62"/>
      <c r="AZ1022" s="62"/>
      <c r="BF1022" s="62"/>
      <c r="BL1022" s="62"/>
    </row>
    <row r="1023" spans="4:64">
      <c r="D1023" s="62"/>
      <c r="J1023" s="62"/>
      <c r="P1023" s="62"/>
      <c r="V1023" s="62"/>
      <c r="AB1023" s="62"/>
      <c r="AH1023" s="62"/>
      <c r="AN1023" s="62"/>
      <c r="AT1023" s="62"/>
      <c r="AZ1023" s="62"/>
      <c r="BF1023" s="62"/>
      <c r="BL1023" s="62"/>
    </row>
    <row r="1024" spans="4:64">
      <c r="D1024" s="62"/>
      <c r="J1024" s="62"/>
      <c r="P1024" s="62"/>
      <c r="V1024" s="62"/>
      <c r="AB1024" s="62"/>
      <c r="AH1024" s="62"/>
      <c r="AN1024" s="62"/>
      <c r="AT1024" s="62"/>
      <c r="AZ1024" s="62"/>
      <c r="BF1024" s="62"/>
      <c r="BL1024" s="62"/>
    </row>
    <row r="1025" spans="4:64">
      <c r="D1025" s="62"/>
      <c r="J1025" s="62"/>
      <c r="P1025" s="62"/>
      <c r="V1025" s="62"/>
      <c r="AB1025" s="62"/>
      <c r="AH1025" s="62"/>
      <c r="AN1025" s="62"/>
      <c r="AT1025" s="62"/>
      <c r="AZ1025" s="62"/>
      <c r="BF1025" s="62"/>
      <c r="BL1025" s="62"/>
    </row>
    <row r="1026" spans="4:64">
      <c r="D1026" s="62"/>
      <c r="J1026" s="62"/>
      <c r="P1026" s="62"/>
      <c r="V1026" s="62"/>
      <c r="AB1026" s="62"/>
      <c r="AH1026" s="62"/>
      <c r="AN1026" s="62"/>
      <c r="AT1026" s="62"/>
      <c r="AZ1026" s="62"/>
      <c r="BF1026" s="62"/>
      <c r="BL1026" s="62"/>
    </row>
    <row r="1027" spans="4:64">
      <c r="D1027" s="62"/>
      <c r="J1027" s="62"/>
      <c r="P1027" s="62"/>
      <c r="V1027" s="62"/>
      <c r="AB1027" s="62"/>
      <c r="AH1027" s="62"/>
      <c r="AN1027" s="62"/>
      <c r="AT1027" s="62"/>
      <c r="AZ1027" s="62"/>
      <c r="BF1027" s="62"/>
      <c r="BL1027" s="62"/>
    </row>
    <row r="1028" spans="4:64">
      <c r="D1028" s="62"/>
      <c r="J1028" s="62"/>
      <c r="P1028" s="62"/>
      <c r="V1028" s="62"/>
      <c r="AB1028" s="62"/>
      <c r="AH1028" s="62"/>
      <c r="AN1028" s="62"/>
      <c r="AT1028" s="62"/>
      <c r="AZ1028" s="62"/>
      <c r="BF1028" s="62"/>
      <c r="BL1028" s="62"/>
    </row>
    <row r="1029" spans="4:64">
      <c r="D1029" s="62"/>
      <c r="J1029" s="62"/>
      <c r="P1029" s="62"/>
      <c r="V1029" s="62"/>
      <c r="AB1029" s="62"/>
      <c r="AH1029" s="62"/>
      <c r="AN1029" s="62"/>
      <c r="AT1029" s="62"/>
      <c r="AZ1029" s="62"/>
      <c r="BF1029" s="62"/>
      <c r="BL1029" s="62"/>
    </row>
    <row r="1030" spans="4:64">
      <c r="D1030" s="62"/>
      <c r="J1030" s="62"/>
      <c r="P1030" s="62"/>
      <c r="V1030" s="62"/>
      <c r="AB1030" s="62"/>
      <c r="AH1030" s="62"/>
      <c r="AN1030" s="62"/>
      <c r="AT1030" s="62"/>
      <c r="AZ1030" s="62"/>
      <c r="BF1030" s="62"/>
      <c r="BL1030" s="62"/>
    </row>
    <row r="1031" spans="4:64">
      <c r="D1031" s="62"/>
      <c r="J1031" s="62"/>
      <c r="P1031" s="62"/>
      <c r="V1031" s="62"/>
      <c r="AB1031" s="62"/>
      <c r="AH1031" s="62"/>
      <c r="AN1031" s="62"/>
      <c r="AT1031" s="62"/>
      <c r="AZ1031" s="62"/>
      <c r="BF1031" s="62"/>
      <c r="BL1031" s="62"/>
    </row>
    <row r="1032" spans="4:64">
      <c r="D1032" s="62"/>
      <c r="J1032" s="62"/>
      <c r="P1032" s="62"/>
      <c r="V1032" s="62"/>
      <c r="AB1032" s="62"/>
      <c r="AH1032" s="62"/>
      <c r="AN1032" s="62"/>
      <c r="AT1032" s="62"/>
      <c r="AZ1032" s="62"/>
      <c r="BF1032" s="62"/>
      <c r="BL1032" s="62"/>
    </row>
    <row r="1033" spans="4:64">
      <c r="D1033" s="62"/>
      <c r="J1033" s="62"/>
      <c r="P1033" s="62"/>
      <c r="V1033" s="62"/>
      <c r="AB1033" s="62"/>
      <c r="AH1033" s="62"/>
      <c r="AN1033" s="62"/>
      <c r="AT1033" s="62"/>
      <c r="AZ1033" s="62"/>
      <c r="BF1033" s="62"/>
      <c r="BL1033" s="62"/>
    </row>
    <row r="1034" spans="4:64">
      <c r="D1034" s="62"/>
      <c r="J1034" s="62"/>
      <c r="P1034" s="62"/>
      <c r="V1034" s="62"/>
      <c r="AB1034" s="62"/>
      <c r="AH1034" s="62"/>
      <c r="AN1034" s="62"/>
      <c r="AT1034" s="62"/>
      <c r="AZ1034" s="62"/>
      <c r="BF1034" s="62"/>
      <c r="BL1034" s="62"/>
    </row>
    <row r="1035" spans="4:64">
      <c r="D1035" s="62"/>
      <c r="J1035" s="62"/>
      <c r="P1035" s="62"/>
      <c r="V1035" s="62"/>
      <c r="AB1035" s="62"/>
      <c r="AH1035" s="62"/>
      <c r="AN1035" s="62"/>
      <c r="AT1035" s="62"/>
      <c r="AZ1035" s="62"/>
      <c r="BF1035" s="62"/>
      <c r="BL1035" s="62"/>
    </row>
    <row r="1036" spans="4:64">
      <c r="D1036" s="62"/>
      <c r="J1036" s="62"/>
      <c r="P1036" s="62"/>
      <c r="V1036" s="62"/>
      <c r="AB1036" s="62"/>
      <c r="AH1036" s="62"/>
      <c r="AN1036" s="62"/>
      <c r="AT1036" s="62"/>
      <c r="AZ1036" s="62"/>
      <c r="BF1036" s="62"/>
      <c r="BL1036" s="62"/>
    </row>
    <row r="1037" spans="4:64">
      <c r="D1037" s="62"/>
      <c r="J1037" s="62"/>
      <c r="P1037" s="62"/>
      <c r="V1037" s="62"/>
      <c r="AB1037" s="62"/>
      <c r="AH1037" s="62"/>
      <c r="AN1037" s="62"/>
      <c r="AT1037" s="62"/>
      <c r="AZ1037" s="62"/>
      <c r="BF1037" s="62"/>
      <c r="BL1037" s="62"/>
    </row>
    <row r="1038" spans="4:64">
      <c r="D1038" s="62"/>
      <c r="J1038" s="62"/>
      <c r="P1038" s="62"/>
      <c r="V1038" s="62"/>
      <c r="AB1038" s="62"/>
      <c r="AH1038" s="62"/>
      <c r="AN1038" s="62"/>
      <c r="AT1038" s="62"/>
      <c r="AZ1038" s="62"/>
      <c r="BF1038" s="62"/>
      <c r="BL1038" s="62"/>
    </row>
    <row r="1039" spans="4:64">
      <c r="D1039" s="62"/>
      <c r="J1039" s="62"/>
      <c r="P1039" s="62"/>
      <c r="V1039" s="62"/>
      <c r="AB1039" s="62"/>
      <c r="AH1039" s="62"/>
      <c r="AN1039" s="62"/>
      <c r="AT1039" s="62"/>
      <c r="AZ1039" s="62"/>
      <c r="BF1039" s="62"/>
      <c r="BL1039" s="62"/>
    </row>
    <row r="1040" spans="4:64">
      <c r="D1040" s="62"/>
      <c r="J1040" s="62"/>
      <c r="P1040" s="62"/>
      <c r="V1040" s="62"/>
      <c r="AB1040" s="62"/>
      <c r="AH1040" s="62"/>
      <c r="AN1040" s="62"/>
      <c r="AT1040" s="62"/>
      <c r="AZ1040" s="62"/>
      <c r="BF1040" s="62"/>
      <c r="BL1040" s="62"/>
    </row>
    <row r="1041" spans="4:64">
      <c r="D1041" s="62"/>
      <c r="J1041" s="62"/>
      <c r="P1041" s="62"/>
      <c r="V1041" s="62"/>
      <c r="AB1041" s="62"/>
      <c r="AH1041" s="62"/>
      <c r="AN1041" s="62"/>
      <c r="AT1041" s="62"/>
      <c r="AZ1041" s="62"/>
      <c r="BF1041" s="62"/>
      <c r="BL1041" s="62"/>
    </row>
    <row r="1042" spans="4:64">
      <c r="D1042" s="62"/>
      <c r="J1042" s="62"/>
      <c r="P1042" s="62"/>
      <c r="V1042" s="62"/>
      <c r="AB1042" s="62"/>
      <c r="AH1042" s="62"/>
      <c r="AN1042" s="62"/>
      <c r="AT1042" s="62"/>
      <c r="AZ1042" s="62"/>
      <c r="BF1042" s="62"/>
      <c r="BL1042" s="62"/>
    </row>
    <row r="1043" spans="4:64">
      <c r="D1043" s="62"/>
      <c r="J1043" s="62"/>
      <c r="P1043" s="62"/>
      <c r="V1043" s="62"/>
      <c r="AB1043" s="62"/>
      <c r="AH1043" s="62"/>
      <c r="AN1043" s="62"/>
      <c r="AT1043" s="62"/>
      <c r="AZ1043" s="62"/>
      <c r="BF1043" s="62"/>
      <c r="BL1043" s="62"/>
    </row>
    <row r="1044" spans="4:64">
      <c r="D1044" s="62"/>
      <c r="J1044" s="62"/>
      <c r="P1044" s="62"/>
      <c r="V1044" s="62"/>
      <c r="AB1044" s="62"/>
      <c r="AH1044" s="62"/>
      <c r="AN1044" s="62"/>
      <c r="AT1044" s="62"/>
      <c r="AZ1044" s="62"/>
      <c r="BF1044" s="62"/>
      <c r="BL1044" s="62"/>
    </row>
    <row r="1045" spans="4:64">
      <c r="D1045" s="62"/>
      <c r="J1045" s="62"/>
      <c r="P1045" s="62"/>
      <c r="V1045" s="62"/>
      <c r="AB1045" s="62"/>
      <c r="AH1045" s="62"/>
      <c r="AN1045" s="62"/>
      <c r="AT1045" s="62"/>
      <c r="AZ1045" s="62"/>
      <c r="BF1045" s="62"/>
      <c r="BL1045" s="62"/>
    </row>
    <row r="1046" spans="4:64">
      <c r="D1046" s="62"/>
      <c r="J1046" s="62"/>
      <c r="P1046" s="62"/>
      <c r="V1046" s="62"/>
      <c r="AB1046" s="62"/>
      <c r="AH1046" s="62"/>
      <c r="AN1046" s="62"/>
      <c r="AT1046" s="62"/>
      <c r="AZ1046" s="62"/>
      <c r="BF1046" s="62"/>
      <c r="BL1046" s="62"/>
    </row>
    <row r="1047" spans="4:64">
      <c r="D1047" s="62"/>
      <c r="J1047" s="62"/>
      <c r="P1047" s="62"/>
      <c r="V1047" s="62"/>
      <c r="AB1047" s="62"/>
      <c r="AH1047" s="62"/>
      <c r="AN1047" s="62"/>
      <c r="AT1047" s="62"/>
      <c r="AZ1047" s="62"/>
      <c r="BF1047" s="62"/>
      <c r="BL1047" s="62"/>
    </row>
    <row r="1048" spans="4:64">
      <c r="D1048" s="62"/>
      <c r="J1048" s="62"/>
      <c r="P1048" s="62"/>
      <c r="V1048" s="62"/>
      <c r="AB1048" s="62"/>
      <c r="AH1048" s="62"/>
      <c r="AN1048" s="62"/>
      <c r="AT1048" s="62"/>
      <c r="AZ1048" s="62"/>
      <c r="BF1048" s="62"/>
      <c r="BL1048" s="62"/>
    </row>
    <row r="1049" spans="4:64">
      <c r="D1049" s="62"/>
      <c r="J1049" s="62"/>
      <c r="P1049" s="62"/>
      <c r="V1049" s="62"/>
      <c r="AB1049" s="62"/>
      <c r="AH1049" s="62"/>
      <c r="AN1049" s="62"/>
      <c r="AT1049" s="62"/>
      <c r="AZ1049" s="62"/>
      <c r="BF1049" s="62"/>
      <c r="BL1049" s="62"/>
    </row>
    <row r="1050" spans="4:64">
      <c r="D1050" s="62"/>
      <c r="J1050" s="62"/>
      <c r="P1050" s="62"/>
      <c r="V1050" s="62"/>
      <c r="AB1050" s="62"/>
      <c r="AH1050" s="62"/>
      <c r="AN1050" s="62"/>
      <c r="AT1050" s="62"/>
      <c r="AZ1050" s="62"/>
      <c r="BF1050" s="62"/>
      <c r="BL1050" s="62"/>
    </row>
    <row r="1051" spans="4:64">
      <c r="D1051" s="62"/>
      <c r="J1051" s="62"/>
      <c r="P1051" s="62"/>
      <c r="V1051" s="62"/>
      <c r="AB1051" s="62"/>
      <c r="AH1051" s="62"/>
      <c r="AN1051" s="62"/>
      <c r="AT1051" s="62"/>
      <c r="AZ1051" s="62"/>
      <c r="BF1051" s="62"/>
      <c r="BL1051" s="62"/>
    </row>
    <row r="1052" spans="4:64">
      <c r="D1052" s="62"/>
      <c r="J1052" s="62"/>
      <c r="P1052" s="62"/>
      <c r="V1052" s="62"/>
      <c r="AB1052" s="62"/>
      <c r="AH1052" s="62"/>
      <c r="AN1052" s="62"/>
      <c r="AT1052" s="62"/>
      <c r="AZ1052" s="62"/>
      <c r="BF1052" s="62"/>
      <c r="BL1052" s="62"/>
    </row>
    <row r="1053" spans="4:64">
      <c r="D1053" s="62"/>
      <c r="J1053" s="62"/>
      <c r="P1053" s="62"/>
      <c r="V1053" s="62"/>
      <c r="AB1053" s="62"/>
      <c r="AH1053" s="62"/>
      <c r="AN1053" s="62"/>
      <c r="AT1053" s="62"/>
      <c r="AZ1053" s="62"/>
      <c r="BF1053" s="62"/>
      <c r="BL1053" s="62"/>
    </row>
    <row r="1054" spans="4:64">
      <c r="D1054" s="62"/>
      <c r="J1054" s="62"/>
      <c r="P1054" s="62"/>
      <c r="V1054" s="62"/>
      <c r="AB1054" s="62"/>
      <c r="AH1054" s="62"/>
      <c r="AN1054" s="62"/>
      <c r="AT1054" s="62"/>
      <c r="AZ1054" s="62"/>
      <c r="BF1054" s="62"/>
      <c r="BL1054" s="62"/>
    </row>
    <row r="1055" spans="4:64">
      <c r="D1055" s="62"/>
      <c r="J1055" s="62"/>
      <c r="P1055" s="62"/>
      <c r="V1055" s="62"/>
      <c r="AB1055" s="62"/>
      <c r="AH1055" s="62"/>
      <c r="AN1055" s="62"/>
      <c r="AT1055" s="62"/>
      <c r="AZ1055" s="62"/>
      <c r="BF1055" s="62"/>
      <c r="BL1055" s="62"/>
    </row>
    <row r="1056" spans="4:64">
      <c r="D1056" s="62"/>
      <c r="J1056" s="62"/>
      <c r="P1056" s="62"/>
      <c r="V1056" s="62"/>
      <c r="AB1056" s="62"/>
      <c r="AH1056" s="62"/>
      <c r="AN1056" s="62"/>
      <c r="AT1056" s="62"/>
      <c r="AZ1056" s="62"/>
      <c r="BF1056" s="62"/>
      <c r="BL1056" s="62"/>
    </row>
    <row r="1057" spans="4:64">
      <c r="D1057" s="62"/>
      <c r="J1057" s="62"/>
      <c r="P1057" s="62"/>
      <c r="V1057" s="62"/>
      <c r="AB1057" s="62"/>
      <c r="AH1057" s="62"/>
      <c r="AN1057" s="62"/>
      <c r="AT1057" s="62"/>
      <c r="AZ1057" s="62"/>
      <c r="BF1057" s="62"/>
      <c r="BL1057" s="62"/>
    </row>
    <row r="1058" spans="4:64">
      <c r="D1058" s="62"/>
      <c r="J1058" s="62"/>
      <c r="P1058" s="62"/>
      <c r="V1058" s="62"/>
      <c r="AB1058" s="62"/>
      <c r="AH1058" s="62"/>
      <c r="AN1058" s="62"/>
      <c r="AT1058" s="62"/>
      <c r="AZ1058" s="62"/>
      <c r="BF1058" s="62"/>
      <c r="BL1058" s="62"/>
    </row>
    <row r="1059" spans="4:64">
      <c r="D1059" s="62"/>
      <c r="J1059" s="62"/>
      <c r="P1059" s="62"/>
      <c r="V1059" s="62"/>
      <c r="AB1059" s="62"/>
      <c r="AH1059" s="62"/>
      <c r="AN1059" s="62"/>
      <c r="AT1059" s="62"/>
      <c r="AZ1059" s="62"/>
      <c r="BF1059" s="62"/>
      <c r="BL1059" s="62"/>
    </row>
    <row r="1060" spans="4:64">
      <c r="D1060" s="62"/>
      <c r="J1060" s="62"/>
      <c r="P1060" s="62"/>
      <c r="V1060" s="62"/>
      <c r="AB1060" s="62"/>
      <c r="AH1060" s="62"/>
      <c r="AN1060" s="62"/>
      <c r="AT1060" s="62"/>
      <c r="AZ1060" s="62"/>
      <c r="BF1060" s="62"/>
      <c r="BL1060" s="62"/>
    </row>
    <row r="1061" spans="4:64">
      <c r="D1061" s="62"/>
      <c r="J1061" s="62"/>
      <c r="P1061" s="62"/>
      <c r="V1061" s="62"/>
      <c r="AB1061" s="62"/>
      <c r="AH1061" s="62"/>
      <c r="AN1061" s="62"/>
      <c r="AT1061" s="62"/>
      <c r="AZ1061" s="62"/>
      <c r="BF1061" s="62"/>
      <c r="BL1061" s="62"/>
    </row>
    <row r="1062" spans="4:64">
      <c r="D1062" s="62"/>
      <c r="J1062" s="62"/>
      <c r="P1062" s="62"/>
      <c r="V1062" s="62"/>
      <c r="AB1062" s="62"/>
      <c r="AH1062" s="62"/>
      <c r="AN1062" s="62"/>
      <c r="AT1062" s="62"/>
      <c r="AZ1062" s="62"/>
      <c r="BF1062" s="62"/>
      <c r="BL1062" s="62"/>
    </row>
    <row r="1063" spans="4:64">
      <c r="D1063" s="62"/>
      <c r="J1063" s="62"/>
      <c r="P1063" s="62"/>
      <c r="V1063" s="62"/>
      <c r="AB1063" s="62"/>
      <c r="AH1063" s="62"/>
      <c r="AN1063" s="62"/>
      <c r="AT1063" s="62"/>
      <c r="AZ1063" s="62"/>
      <c r="BF1063" s="62"/>
      <c r="BL1063" s="62"/>
    </row>
    <row r="1064" spans="4:64">
      <c r="D1064" s="62"/>
      <c r="J1064" s="62"/>
      <c r="P1064" s="62"/>
      <c r="V1064" s="62"/>
      <c r="AB1064" s="62"/>
      <c r="AH1064" s="62"/>
      <c r="AN1064" s="62"/>
      <c r="AT1064" s="62"/>
      <c r="AZ1064" s="62"/>
      <c r="BF1064" s="62"/>
      <c r="BL1064" s="62"/>
    </row>
    <row r="1065" spans="4:64">
      <c r="D1065" s="62"/>
      <c r="J1065" s="62"/>
      <c r="P1065" s="62"/>
      <c r="V1065" s="62"/>
      <c r="AB1065" s="62"/>
      <c r="AH1065" s="62"/>
      <c r="AN1065" s="62"/>
      <c r="AT1065" s="62"/>
      <c r="AZ1065" s="62"/>
      <c r="BF1065" s="62"/>
      <c r="BL1065" s="62"/>
    </row>
    <row r="1066" spans="4:64">
      <c r="D1066" s="62"/>
      <c r="J1066" s="62"/>
      <c r="P1066" s="62"/>
      <c r="V1066" s="62"/>
      <c r="AB1066" s="62"/>
      <c r="AH1066" s="62"/>
      <c r="AN1066" s="62"/>
      <c r="AT1066" s="62"/>
      <c r="AZ1066" s="62"/>
      <c r="BF1066" s="62"/>
      <c r="BL1066" s="62"/>
    </row>
    <row r="1067" spans="4:64">
      <c r="D1067" s="62"/>
      <c r="J1067" s="62"/>
      <c r="P1067" s="62"/>
      <c r="V1067" s="62"/>
      <c r="AB1067" s="62"/>
      <c r="AH1067" s="62"/>
      <c r="AN1067" s="62"/>
      <c r="AT1067" s="62"/>
      <c r="AZ1067" s="62"/>
      <c r="BF1067" s="62"/>
      <c r="BL1067" s="62"/>
    </row>
    <row r="1068" spans="4:64">
      <c r="D1068" s="62"/>
      <c r="J1068" s="62"/>
      <c r="P1068" s="62"/>
      <c r="V1068" s="62"/>
      <c r="AB1068" s="62"/>
      <c r="AH1068" s="62"/>
      <c r="AN1068" s="62"/>
      <c r="AT1068" s="62"/>
      <c r="AZ1068" s="62"/>
      <c r="BF1068" s="62"/>
      <c r="BL1068" s="62"/>
    </row>
    <row r="1069" spans="4:64">
      <c r="D1069" s="62"/>
      <c r="J1069" s="62"/>
      <c r="P1069" s="62"/>
      <c r="V1069" s="62"/>
      <c r="AB1069" s="62"/>
      <c r="AH1069" s="62"/>
      <c r="AN1069" s="62"/>
      <c r="AT1069" s="62"/>
      <c r="AZ1069" s="62"/>
      <c r="BF1069" s="62"/>
      <c r="BL1069" s="62"/>
    </row>
    <row r="1070" spans="4:64">
      <c r="D1070" s="62"/>
      <c r="J1070" s="62"/>
      <c r="P1070" s="62"/>
      <c r="V1070" s="62"/>
      <c r="AB1070" s="62"/>
      <c r="AH1070" s="62"/>
      <c r="AN1070" s="62"/>
      <c r="AT1070" s="62"/>
      <c r="AZ1070" s="62"/>
      <c r="BF1070" s="62"/>
      <c r="BL1070" s="62"/>
    </row>
    <row r="1071" spans="4:64">
      <c r="D1071" s="62"/>
      <c r="J1071" s="62"/>
      <c r="P1071" s="62"/>
      <c r="V1071" s="62"/>
      <c r="AB1071" s="62"/>
      <c r="AH1071" s="62"/>
      <c r="AN1071" s="62"/>
      <c r="AT1071" s="62"/>
      <c r="AZ1071" s="62"/>
      <c r="BF1071" s="62"/>
      <c r="BL1071" s="62"/>
    </row>
    <row r="1072" spans="4:64">
      <c r="D1072" s="62"/>
      <c r="J1072" s="62"/>
      <c r="P1072" s="62"/>
      <c r="V1072" s="62"/>
      <c r="AB1072" s="62"/>
      <c r="AH1072" s="62"/>
      <c r="AN1072" s="62"/>
      <c r="AT1072" s="62"/>
      <c r="AZ1072" s="62"/>
      <c r="BF1072" s="62"/>
      <c r="BL1072" s="62"/>
    </row>
    <row r="1073" spans="4:64">
      <c r="D1073" s="62"/>
      <c r="J1073" s="62"/>
      <c r="P1073" s="62"/>
      <c r="V1073" s="62"/>
      <c r="AB1073" s="62"/>
      <c r="AH1073" s="62"/>
      <c r="AN1073" s="62"/>
      <c r="AT1073" s="62"/>
      <c r="AZ1073" s="62"/>
      <c r="BF1073" s="62"/>
      <c r="BL1073" s="62"/>
    </row>
  </sheetData>
  <sheetProtection formatCells="0" formatColumns="0" formatRows="0" autoFilter="0" pivotTables="0"/>
  <mergeCells count="1">
    <mergeCell ref="DJ2:DS2"/>
  </mergeCells>
  <phoneticPr fontId="5" type="noConversion"/>
  <pageMargins left="0.7" right="0.7" top="0.75" bottom="0.75" header="0.3" footer="0.3"/>
  <pageSetup paperSize="9" orientation="portrait" horizontalDpi="0" verticalDpi="0"/>
  <drawing r:id="rId1"/>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D0509-3B68-AF49-ABC3-09D8C523EA37}">
  <sheetPr codeName="Лист21">
    <tabColor theme="7" tint="0.79998168889431442"/>
  </sheetPr>
  <dimension ref="A1:D29"/>
  <sheetViews>
    <sheetView zoomScale="113" workbookViewId="0">
      <selection activeCell="C5" sqref="C5"/>
    </sheetView>
  </sheetViews>
  <sheetFormatPr baseColWidth="10" defaultRowHeight="16"/>
  <cols>
    <col min="1" max="1" width="9.5" customWidth="1"/>
    <col min="2" max="2" width="46" customWidth="1"/>
    <col min="3" max="3" width="91.6640625" customWidth="1"/>
    <col min="4" max="4" width="87" customWidth="1"/>
    <col min="5" max="5" width="15.83203125" customWidth="1"/>
  </cols>
  <sheetData>
    <row r="1" spans="1:4" ht="15" customHeight="1">
      <c r="A1" s="111" t="s">
        <v>883</v>
      </c>
    </row>
    <row r="2" spans="1:4" ht="15" customHeight="1">
      <c r="A2" s="111"/>
    </row>
    <row r="3" spans="1:4" ht="17" thickBot="1">
      <c r="A3" s="87"/>
      <c r="B3" t="s">
        <v>865</v>
      </c>
      <c r="C3" t="s">
        <v>870</v>
      </c>
    </row>
    <row r="4" spans="1:4">
      <c r="A4" s="112"/>
      <c r="B4" s="774" t="s">
        <v>1114</v>
      </c>
      <c r="C4" s="113" t="str">
        <f>'Pipe calculation'!C4</f>
        <v>Исходные данные для определения электрических характеристик трубопровода</v>
      </c>
      <c r="D4" t="s">
        <v>637</v>
      </c>
    </row>
    <row r="5" spans="1:4">
      <c r="A5" s="112"/>
      <c r="B5" s="775"/>
      <c r="C5" s="110" t="str">
        <f>'Pipe calculation'!C16</f>
        <v>Определение электрических характеристик трубопровода</v>
      </c>
      <c r="D5" t="s">
        <v>636</v>
      </c>
    </row>
    <row r="6" spans="1:4" ht="17" thickBot="1">
      <c r="A6" s="87"/>
      <c r="B6" s="776"/>
      <c r="C6" s="114" t="str">
        <f>'Pipe calculation'!C29</f>
        <v>Входное сопротивление трубопровода прогноз изменения за срок эксплуатации t (Zвт(t), Ом)</v>
      </c>
      <c r="D6" t="s">
        <v>634</v>
      </c>
    </row>
    <row r="7" spans="1:4">
      <c r="C7" s="104"/>
    </row>
    <row r="8" spans="1:4" ht="17" thickBot="1">
      <c r="A8" s="87"/>
      <c r="B8" t="s">
        <v>866</v>
      </c>
      <c r="C8" t="s">
        <v>871</v>
      </c>
    </row>
    <row r="9" spans="1:4">
      <c r="A9" s="87"/>
      <c r="B9" s="777" t="s">
        <v>638</v>
      </c>
      <c r="C9" s="113" t="s">
        <v>1115</v>
      </c>
      <c r="D9" t="s">
        <v>635</v>
      </c>
    </row>
    <row r="10" spans="1:4">
      <c r="A10" s="87"/>
      <c r="B10" s="778"/>
      <c r="C10" s="110" t="s">
        <v>127</v>
      </c>
      <c r="D10" t="s">
        <v>636</v>
      </c>
    </row>
    <row r="11" spans="1:4" ht="17" thickBot="1">
      <c r="A11" s="87"/>
      <c r="B11" s="779"/>
      <c r="C11" s="114" t="s">
        <v>1116</v>
      </c>
      <c r="D11" t="s">
        <v>634</v>
      </c>
    </row>
    <row r="12" spans="1:4">
      <c r="B12" s="104"/>
      <c r="C12" s="104"/>
    </row>
    <row r="13" spans="1:4" ht="20" customHeight="1" thickBot="1">
      <c r="A13" s="109"/>
      <c r="B13" t="s">
        <v>867</v>
      </c>
      <c r="C13" t="s">
        <v>872</v>
      </c>
    </row>
    <row r="14" spans="1:4">
      <c r="B14" s="768" t="s">
        <v>862</v>
      </c>
      <c r="C14" s="289" t="s">
        <v>580</v>
      </c>
      <c r="D14" t="s">
        <v>1117</v>
      </c>
    </row>
    <row r="15" spans="1:4">
      <c r="B15" s="769"/>
      <c r="C15" s="554" t="s">
        <v>607</v>
      </c>
      <c r="D15" t="s">
        <v>1118</v>
      </c>
    </row>
    <row r="16" spans="1:4">
      <c r="B16" s="769"/>
      <c r="C16" s="290" t="str">
        <f>'Anod calculation'!C36</f>
        <v>Способ монтажа</v>
      </c>
      <c r="D16" t="s">
        <v>1119</v>
      </c>
    </row>
    <row r="17" spans="2:4" ht="15" customHeight="1">
      <c r="B17" s="769"/>
      <c r="C17" s="290" t="str">
        <f>'Anod calculation'!C37</f>
        <v>Комплектация</v>
      </c>
      <c r="D17" s="1" t="s">
        <v>1120</v>
      </c>
    </row>
    <row r="18" spans="2:4" ht="15" customHeight="1" thickBot="1">
      <c r="B18" s="770"/>
      <c r="C18" s="291" t="str">
        <f>'Anod calculation'!C38</f>
        <v>Модель</v>
      </c>
      <c r="D18" s="1" t="s">
        <v>1121</v>
      </c>
    </row>
    <row r="19" spans="2:4" ht="16" customHeight="1">
      <c r="B19" s="553"/>
      <c r="C19" s="323"/>
    </row>
    <row r="20" spans="2:4" ht="16" customHeight="1" thickBot="1">
      <c r="B20" t="s">
        <v>868</v>
      </c>
      <c r="C20" s="323"/>
    </row>
    <row r="21" spans="2:4">
      <c r="B21" s="771" t="s">
        <v>610</v>
      </c>
      <c r="C21" s="555" t="s">
        <v>873</v>
      </c>
      <c r="D21" t="s">
        <v>875</v>
      </c>
    </row>
    <row r="22" spans="2:4">
      <c r="B22" s="772"/>
      <c r="C22" s="556" t="s">
        <v>874</v>
      </c>
      <c r="D22" t="s">
        <v>1122</v>
      </c>
    </row>
    <row r="23" spans="2:4" ht="17" thickBot="1">
      <c r="B23" s="773"/>
      <c r="C23" s="557" t="s">
        <v>876</v>
      </c>
      <c r="D23" t="s">
        <v>1123</v>
      </c>
    </row>
    <row r="24" spans="2:4">
      <c r="B24" s="324"/>
      <c r="C24" s="325"/>
    </row>
    <row r="25" spans="2:4" ht="15" customHeight="1" thickBot="1">
      <c r="B25" s="319" t="s">
        <v>869</v>
      </c>
      <c r="C25" s="326"/>
      <c r="D25" s="1"/>
    </row>
    <row r="26" spans="2:4" ht="14" customHeight="1">
      <c r="B26" s="780" t="s">
        <v>863</v>
      </c>
      <c r="C26" s="320" t="s">
        <v>879</v>
      </c>
      <c r="D26" t="s">
        <v>880</v>
      </c>
    </row>
    <row r="27" spans="2:4" ht="17">
      <c r="B27" s="781"/>
      <c r="C27" s="321" t="s">
        <v>877</v>
      </c>
      <c r="D27" t="s">
        <v>882</v>
      </c>
    </row>
    <row r="28" spans="2:4" ht="17" thickBot="1">
      <c r="B28" s="782"/>
      <c r="C28" s="322" t="s">
        <v>878</v>
      </c>
      <c r="D28" t="s">
        <v>639</v>
      </c>
    </row>
    <row r="29" spans="2:4">
      <c r="C29" s="104"/>
    </row>
  </sheetData>
  <sheetProtection formatCells="0" formatColumns="0" formatRows="0" autoFilter="0" pivotTables="0"/>
  <dataConsolidate/>
  <mergeCells count="5">
    <mergeCell ref="B14:B18"/>
    <mergeCell ref="B21:B23"/>
    <mergeCell ref="B4:B6"/>
    <mergeCell ref="B9:B11"/>
    <mergeCell ref="B26:B28"/>
  </mergeCells>
  <phoneticPr fontId="5" type="noConversion"/>
  <hyperlinks>
    <hyperlink ref="C4" location="'Pipe calculation'!R4C3" display="'Pipe calculation'!R4C3" xr:uid="{A4029497-ABF3-5E45-96C2-D52BE51D8DB4}"/>
    <hyperlink ref="C5" location="'Pipe calculation'!R16C3" display="'Pipe calculation'!R16C3" xr:uid="{F6921BAE-3960-1C4C-AEAB-3AB59E65A7E2}"/>
    <hyperlink ref="C6" location="'Pipe calculation'!R30C3" display="'Pipe calculation'!R30C3" xr:uid="{BDED5135-9D14-5744-9DC5-4CD87987A58F}"/>
    <hyperlink ref="C9" location="'Anod calculation'!R3C3" display="Исходные данные для определения параметров установок катодной защиты " xr:uid="{44461A52-4F87-004D-A3EC-23E7BABDC344}"/>
    <hyperlink ref="C11" location="'Anod calculation'!R26C3" display="Выберите установку катодной защиты" xr:uid="{783C7502-038D-8A4F-A3E8-AF9720B7D64E}"/>
    <hyperlink ref="C16" location="'Anod calculation'!R36C3" display="'Anod calculation'!R36C3" xr:uid="{F19DB285-6FFA-C04C-823A-E139596B29B9}"/>
    <hyperlink ref="C18" location="'Anod calculation'!R38C3" display="'Anod calculation'!R38C3" xr:uid="{7F4BE442-CE79-1046-AC31-9C3FCCCDFD20}"/>
    <hyperlink ref="B4:B6" location="'Pipe calculation'!R2C3" display="Расчет электрических характеристик трубопровода " xr:uid="{A7D00DE4-38AD-194D-A0F1-77C6B453715A}"/>
    <hyperlink ref="C17" location="'Anod calculation'!R37C3" display="'Anod calculation'!R37C3" xr:uid="{167927E2-E188-FF4F-B3CE-CB082354B901}"/>
    <hyperlink ref="B21:B23" location="'Anod calculation'!R32C3" display="Исходные данные для определения сопротивления растеканию тока заземлителя" xr:uid="{6B04EABC-3C9E-C146-8487-351D7769E712}"/>
    <hyperlink ref="C27" location="'Anod calculation'!R70C3:R78C3" display="Вычислить или ввести вручную требуемое количество электродов" xr:uid="{582C9E93-904E-3B41-987D-A8B59C2C7206}"/>
    <hyperlink ref="C26" location="'Anod calculation'!R57C3" display="Нажать кнопку: Рассчитать параметры анодных заземлителей" xr:uid="{310D321C-164C-A64E-9F2F-D4433C3C8DBD}"/>
    <hyperlink ref="C28" location="'Anod calculation'!R110C3:R118C3" display="Результат: Сопротивление растеканию тока одного АЗ с откорректированным количеством электродов" xr:uid="{65D2F38F-B1C3-F343-95A8-5756398A3868}"/>
    <hyperlink ref="B9:B11" location="'Anod calculation'!R2C3" display=" Расчет параметров установок катодной защиты " xr:uid="{F7144912-B423-EB48-84CD-F6D946365F39}"/>
    <hyperlink ref="C10" location="'Anod calculation'!R14C3" display="Определение параметров установок катодной защиты " xr:uid="{B878D856-7294-7047-9656-A26862271E9B}"/>
    <hyperlink ref="B14:B18" location="'Anod calculation'!R33C3" display="Выбор параметров анодных заземлителей" xr:uid="{B593CA7F-0BE0-D147-809B-F2FEB829296B}"/>
    <hyperlink ref="C14" location="'Anod calculation'!R34C3" display="Материал анода" xr:uid="{9A164B86-D92D-894F-95D4-1216703D2553}"/>
    <hyperlink ref="C15" location="'Anod calculation'!R35C3" display="Тип монтажа" xr:uid="{144B7D92-5970-9B45-9C7B-4A770347DD9F}"/>
    <hyperlink ref="B26:B28" location="'Anod calculation'!R157C3" display="Рассчет параметров анодных заземлителей" xr:uid="{D069CDBC-255E-724A-B8A8-E6DC28316BB6}"/>
  </hyperlink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B0545-D393-F842-96B7-A83500066625}">
  <sheetPr codeName="Лист27">
    <tabColor theme="9" tint="0.79998168889431442"/>
  </sheetPr>
  <dimension ref="A1:CL36"/>
  <sheetViews>
    <sheetView topLeftCell="C24" zoomScale="150" zoomScaleNormal="132" workbookViewId="0">
      <selection activeCell="N25" sqref="N25"/>
    </sheetView>
  </sheetViews>
  <sheetFormatPr baseColWidth="10" defaultRowHeight="16"/>
  <cols>
    <col min="1" max="1" width="8" style="2" customWidth="1"/>
    <col min="2" max="2" width="27.6640625" style="417" customWidth="1"/>
    <col min="3" max="3" width="84.1640625" style="71" customWidth="1"/>
    <col min="4" max="4" width="10.33203125" style="33" customWidth="1"/>
    <col min="5" max="13" width="10.33203125" style="33" hidden="1" customWidth="1"/>
    <col min="14" max="14" width="36.83203125" style="33" customWidth="1"/>
    <col min="15" max="15" width="10.1640625" style="33" customWidth="1"/>
    <col min="16" max="17" width="5.33203125" style="33" customWidth="1"/>
    <col min="18" max="18" width="4.5" style="33" customWidth="1"/>
    <col min="19" max="19" width="2.83203125" style="33" customWidth="1"/>
    <col min="20" max="22" width="4.5" style="33" customWidth="1"/>
    <col min="23" max="23" width="2.83203125" style="33" customWidth="1"/>
    <col min="24" max="24" width="4.5" style="33" customWidth="1"/>
    <col min="25" max="25" width="2.83203125" style="33" customWidth="1"/>
    <col min="26" max="27" width="4.5" style="33" customWidth="1"/>
    <col min="28" max="28" width="2.83203125" style="33" customWidth="1"/>
    <col min="29" max="30" width="4.5" style="33" customWidth="1"/>
    <col min="31" max="31" width="2.83203125" style="33" customWidth="1"/>
    <col min="32" max="32" width="8.6640625" style="33" customWidth="1"/>
    <col min="33" max="33" width="4.5" style="33" customWidth="1"/>
    <col min="34" max="35" width="2.83203125" style="33" customWidth="1"/>
    <col min="36" max="38" width="4.5" style="33" customWidth="1"/>
    <col min="39" max="39" width="2.83203125" style="33" customWidth="1"/>
    <col min="40" max="40" width="4.5" style="33" customWidth="1"/>
    <col min="41" max="41" width="2.83203125" style="33" customWidth="1"/>
    <col min="42" max="42" width="4.5" style="33" customWidth="1"/>
    <col min="43" max="43" width="2.83203125" style="33" customWidth="1"/>
    <col min="44" max="46" width="4.5" style="33" customWidth="1"/>
    <col min="47" max="47" width="2.83203125" style="33" customWidth="1"/>
    <col min="48" max="48" width="4.5" style="33" customWidth="1"/>
    <col min="49" max="51" width="2.83203125" style="33" customWidth="1"/>
    <col min="52" max="53" width="4.5" style="33" customWidth="1"/>
    <col min="54" max="54" width="2.83203125" style="33" customWidth="1"/>
    <col min="55" max="56" width="4.5" style="33" customWidth="1"/>
    <col min="57" max="57" width="2.83203125" style="33" customWidth="1"/>
    <col min="58" max="60" width="4.5" style="33" customWidth="1"/>
    <col min="61" max="61" width="2.83203125" style="33" customWidth="1"/>
    <col min="62" max="62" width="4.5" style="33" customWidth="1"/>
    <col min="63" max="64" width="2.83203125" style="33" customWidth="1"/>
    <col min="65" max="65" width="4.5" style="33" customWidth="1"/>
    <col min="66" max="66" width="2.83203125" style="33" customWidth="1"/>
    <col min="67" max="67" width="4.5" style="33" customWidth="1"/>
    <col min="68" max="68" width="2.83203125" style="33" customWidth="1"/>
    <col min="69" max="69" width="4.5" style="33" customWidth="1"/>
    <col min="70" max="70" width="2.83203125" style="33" customWidth="1"/>
    <col min="71" max="71" width="4.5" style="33" customWidth="1"/>
    <col min="72" max="75" width="2.83203125" style="33" customWidth="1"/>
    <col min="76" max="76" width="4.5" style="33" customWidth="1"/>
    <col min="77" max="82" width="2.83203125" style="33" customWidth="1"/>
    <col min="83" max="88" width="10.83203125" style="33"/>
    <col min="89" max="90" width="10.83203125" style="72"/>
    <col min="91" max="16384" width="10.83203125" style="2"/>
  </cols>
  <sheetData>
    <row r="1" spans="1:90" ht="81" customHeight="1">
      <c r="A1" s="116"/>
      <c r="D1" s="365"/>
      <c r="N1" s="736" t="s">
        <v>1036</v>
      </c>
    </row>
    <row r="2" spans="1:90" ht="17" thickBot="1">
      <c r="A2" s="2">
        <v>6.1</v>
      </c>
      <c r="C2" s="552" t="s">
        <v>1114</v>
      </c>
      <c r="D2" s="783" t="s">
        <v>1194</v>
      </c>
      <c r="E2" s="784"/>
      <c r="F2" s="784"/>
      <c r="G2" s="784"/>
      <c r="H2" s="784"/>
      <c r="I2" s="784"/>
      <c r="J2" s="784"/>
      <c r="K2" s="784"/>
      <c r="L2" s="784"/>
      <c r="M2" s="784"/>
      <c r="CK2" s="2"/>
      <c r="CL2" s="2"/>
    </row>
    <row r="3" spans="1:90" ht="17" thickBot="1">
      <c r="A3" s="117" t="s">
        <v>111</v>
      </c>
      <c r="C3" s="481" t="s">
        <v>1166</v>
      </c>
      <c r="D3" s="172">
        <v>1</v>
      </c>
      <c r="E3" s="169"/>
      <c r="F3" s="105"/>
      <c r="G3" s="105"/>
      <c r="H3" s="105"/>
      <c r="I3" s="105"/>
      <c r="J3" s="105"/>
      <c r="K3" s="105"/>
      <c r="L3" s="105"/>
      <c r="M3" s="105"/>
      <c r="CK3" s="2"/>
      <c r="CL3" s="2"/>
    </row>
    <row r="4" spans="1:90" s="151" customFormat="1" ht="19" customHeight="1" thickBot="1">
      <c r="A4" s="152"/>
      <c r="B4" s="418" t="s">
        <v>143</v>
      </c>
      <c r="C4" s="374" t="s">
        <v>501</v>
      </c>
      <c r="D4" s="168" t="s">
        <v>1081</v>
      </c>
      <c r="E4" s="154" t="s">
        <v>1082</v>
      </c>
      <c r="F4" s="168" t="s">
        <v>1124</v>
      </c>
      <c r="G4" s="154" t="s">
        <v>1125</v>
      </c>
      <c r="H4" s="168" t="s">
        <v>1126</v>
      </c>
      <c r="I4" s="154" t="s">
        <v>1127</v>
      </c>
      <c r="J4" s="168" t="s">
        <v>1128</v>
      </c>
      <c r="K4" s="154" t="s">
        <v>1129</v>
      </c>
      <c r="L4" s="168" t="s">
        <v>1130</v>
      </c>
      <c r="M4" s="154" t="s">
        <v>1131</v>
      </c>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row>
    <row r="5" spans="1:90" ht="45">
      <c r="A5" s="42"/>
      <c r="B5" s="419" t="s">
        <v>887</v>
      </c>
      <c r="C5" s="711" t="s">
        <v>931</v>
      </c>
      <c r="D5" s="448" t="s">
        <v>13</v>
      </c>
      <c r="E5" s="580" t="s">
        <v>13</v>
      </c>
      <c r="F5" s="580" t="s">
        <v>13</v>
      </c>
      <c r="G5" s="580" t="s">
        <v>13</v>
      </c>
      <c r="H5" s="580" t="s">
        <v>13</v>
      </c>
      <c r="I5" s="580" t="s">
        <v>13</v>
      </c>
      <c r="J5" s="580" t="s">
        <v>13</v>
      </c>
      <c r="K5" s="580" t="s">
        <v>13</v>
      </c>
      <c r="L5" s="580" t="s">
        <v>13</v>
      </c>
      <c r="M5" s="580" t="s">
        <v>13</v>
      </c>
      <c r="N5" s="581" t="s">
        <v>1158</v>
      </c>
      <c r="CK5" s="2"/>
      <c r="CL5" s="2"/>
    </row>
    <row r="6" spans="1:90">
      <c r="A6" s="42"/>
      <c r="B6" s="419" t="s">
        <v>888</v>
      </c>
      <c r="C6" s="715" t="s">
        <v>932</v>
      </c>
      <c r="D6" s="716">
        <f>IFERROR(_xlfn.XLOOKUP(INDEX(steelGradePipe,1,1),Таблица6.2[Марка трубной стали],Таблица6.2[Удельное электрическое сопротивление трубной стали, Ом·м]),0.000000245)</f>
        <v>2.4499999999999998E-7</v>
      </c>
      <c r="E6" s="717">
        <f>IFERROR(_xlfn.XLOOKUP(INDEX(steelGradePipe,1,2),Таблица6.2[Марка трубной стали],Таблица6.2[Удельное электрическое сопротивление трубной стали, Ом·м]),0.000000245)</f>
        <v>2.4499999999999998E-7</v>
      </c>
      <c r="F6" s="717">
        <f>IFERROR(_xlfn.XLOOKUP(INDEX(steelGradePipe,1,3),Таблица6.2[Удельное электрическое сопротивление трубной стали, Ом·м],Таблица6.2[Марка трубной стали]),0.000000245)</f>
        <v>2.4499999999999998E-7</v>
      </c>
      <c r="G6" s="717">
        <f>IFERROR(_xlfn.XLOOKUP(INDEX(steelGradePipe,1,4),Таблица6.2[Марка трубной стали],Таблица6.2[Удельное электрическое сопротивление трубной стали, Ом·м]),0.000000245)</f>
        <v>2.4499999999999998E-7</v>
      </c>
      <c r="H6" s="717">
        <f>IFERROR(_xlfn.XLOOKUP(INDEX(steelGradePipe,1,5),Таблица6.2[Удельное электрическое сопротивление трубной стали, Ом·м],Таблица6.2[Марка трубной стали]),0.000000245)</f>
        <v>2.4499999999999998E-7</v>
      </c>
      <c r="I6" s="717">
        <f>IFERROR(_xlfn.XLOOKUP(INDEX(steelGradePipe,1,6),Таблица6.2[Марка трубной стали],Таблица6.2[Удельное электрическое сопротивление трубной стали, Ом·м]),0.000000245)</f>
        <v>2.4499999999999998E-7</v>
      </c>
      <c r="J6" s="717">
        <f>IFERROR(_xlfn.XLOOKUP(INDEX(steelGradePipe,1,7),Таблица6.2[Удельное электрическое сопротивление трубной стали, Ом·м],Таблица6.2[Марка трубной стали]),0.000000245)</f>
        <v>2.4499999999999998E-7</v>
      </c>
      <c r="K6" s="717">
        <f>IFERROR(_xlfn.XLOOKUP(INDEX(steelGradePipe,1,8),Таблица6.2[Марка трубной стали],Таблица6.2[Удельное электрическое сопротивление трубной стали, Ом·м]),0.000000245)</f>
        <v>2.4499999999999998E-7</v>
      </c>
      <c r="L6" s="717">
        <f>IFERROR(_xlfn.XLOOKUP(INDEX(steelGradePipe,1,9),Таблица6.2[Удельное электрическое сопротивление трубной стали, Ом·м],Таблица6.2[Марка трубной стали]),0.000000245)</f>
        <v>2.4499999999999998E-7</v>
      </c>
      <c r="M6" s="717">
        <f>IFERROR(_xlfn.XLOOKUP(INDEX(steelGradePipe,1,10),Таблица6.2[Марка трубной стали],Таблица6.2[Удельное электрическое сопротивление трубной стали, Ом·м]),0.000000245)</f>
        <v>2.4499999999999998E-7</v>
      </c>
      <c r="N6" s="708" t="s">
        <v>1161</v>
      </c>
      <c r="CK6" s="2"/>
      <c r="CL6" s="2"/>
    </row>
    <row r="7" spans="1:90">
      <c r="A7" s="42"/>
      <c r="B7" s="419" t="s">
        <v>889</v>
      </c>
      <c r="C7" s="712" t="s">
        <v>933</v>
      </c>
      <c r="D7" s="582">
        <v>0.32500000000000001</v>
      </c>
      <c r="E7" s="582">
        <v>1.22</v>
      </c>
      <c r="F7" s="582">
        <v>1.22</v>
      </c>
      <c r="G7" s="582">
        <v>1.22</v>
      </c>
      <c r="H7" s="582">
        <v>1.22</v>
      </c>
      <c r="I7" s="582">
        <v>1.22</v>
      </c>
      <c r="J7" s="582">
        <v>1.22</v>
      </c>
      <c r="K7" s="582">
        <v>1.22</v>
      </c>
      <c r="L7" s="582">
        <v>1.22</v>
      </c>
      <c r="M7" s="582">
        <v>1.22</v>
      </c>
      <c r="N7" s="581" t="s">
        <v>1159</v>
      </c>
      <c r="CK7" s="2"/>
      <c r="CL7" s="2"/>
    </row>
    <row r="8" spans="1:90">
      <c r="A8" s="42"/>
      <c r="B8" s="419" t="s">
        <v>890</v>
      </c>
      <c r="C8" s="713" t="s">
        <v>926</v>
      </c>
      <c r="D8" s="583">
        <v>6.0000000000000001E-3</v>
      </c>
      <c r="E8" s="583">
        <v>1.7000000000000001E-2</v>
      </c>
      <c r="F8" s="583">
        <v>1.7000000000000001E-2</v>
      </c>
      <c r="G8" s="583">
        <v>1.7000000000000001E-2</v>
      </c>
      <c r="H8" s="583">
        <v>1.7000000000000001E-2</v>
      </c>
      <c r="I8" s="583">
        <v>1.7000000000000001E-2</v>
      </c>
      <c r="J8" s="583">
        <v>1.7000000000000001E-2</v>
      </c>
      <c r="K8" s="583">
        <v>1.7000000000000001E-2</v>
      </c>
      <c r="L8" s="583">
        <v>1.7000000000000001E-2</v>
      </c>
      <c r="M8" s="583">
        <v>1.7000000000000001E-2</v>
      </c>
      <c r="N8" s="581" t="s">
        <v>1162</v>
      </c>
      <c r="CK8" s="2"/>
      <c r="CL8" s="2"/>
    </row>
    <row r="9" spans="1:90">
      <c r="A9" s="42"/>
      <c r="B9" s="419" t="s">
        <v>892</v>
      </c>
      <c r="C9" s="714" t="s">
        <v>1073</v>
      </c>
      <c r="D9" s="806">
        <v>3000</v>
      </c>
      <c r="E9" s="709">
        <v>50000</v>
      </c>
      <c r="F9" s="709">
        <v>50000</v>
      </c>
      <c r="G9" s="709">
        <v>50000</v>
      </c>
      <c r="H9" s="709">
        <v>50000</v>
      </c>
      <c r="I9" s="709">
        <v>50000</v>
      </c>
      <c r="J9" s="709">
        <v>50000</v>
      </c>
      <c r="K9" s="709">
        <v>50000</v>
      </c>
      <c r="L9" s="709">
        <v>50000</v>
      </c>
      <c r="M9" s="709">
        <v>50000</v>
      </c>
      <c r="N9" s="710" t="s">
        <v>1160</v>
      </c>
      <c r="CK9" s="2"/>
      <c r="CL9" s="2"/>
    </row>
    <row r="10" spans="1:90">
      <c r="A10" s="42"/>
      <c r="B10" s="419"/>
      <c r="C10" s="712" t="s">
        <v>934</v>
      </c>
      <c r="D10" s="718">
        <v>1.5</v>
      </c>
      <c r="E10" s="718">
        <v>1.6</v>
      </c>
      <c r="F10" s="719">
        <v>1.5</v>
      </c>
      <c r="G10" s="719">
        <v>1.5</v>
      </c>
      <c r="H10" s="719">
        <v>1.5</v>
      </c>
      <c r="I10" s="719">
        <v>1.5</v>
      </c>
      <c r="J10" s="719">
        <v>1.5</v>
      </c>
      <c r="K10" s="719">
        <v>1.5</v>
      </c>
      <c r="L10" s="719">
        <v>1.5</v>
      </c>
      <c r="M10" s="719">
        <v>1.5</v>
      </c>
      <c r="N10" s="581" t="s">
        <v>1025</v>
      </c>
      <c r="CK10" s="2"/>
      <c r="CL10" s="2"/>
    </row>
    <row r="11" spans="1:90" ht="30">
      <c r="A11" s="42"/>
      <c r="B11" s="419" t="s">
        <v>891</v>
      </c>
      <c r="C11" s="712" t="s">
        <v>1169</v>
      </c>
      <c r="D11" s="582">
        <v>42</v>
      </c>
      <c r="E11" s="582">
        <v>56.464963555652218</v>
      </c>
      <c r="F11" s="582">
        <v>54.885903197209117</v>
      </c>
      <c r="G11" s="582">
        <v>61.533827331690013</v>
      </c>
      <c r="H11" s="582">
        <v>50.538434697648007</v>
      </c>
      <c r="I11" s="582">
        <v>46.857974530453646</v>
      </c>
      <c r="J11" s="582">
        <v>30.540229871921333</v>
      </c>
      <c r="K11" s="582">
        <v>96.671326192859411</v>
      </c>
      <c r="L11" s="582">
        <v>121.51849959851226</v>
      </c>
      <c r="M11" s="582">
        <v>40.731451366126258</v>
      </c>
      <c r="N11" s="581" t="s">
        <v>1185</v>
      </c>
      <c r="CK11" s="2"/>
      <c r="CL11" s="2"/>
    </row>
    <row r="12" spans="1:90">
      <c r="A12" s="42"/>
      <c r="C12" s="712" t="s">
        <v>935</v>
      </c>
      <c r="D12" s="582">
        <v>35</v>
      </c>
      <c r="E12" s="719">
        <v>30</v>
      </c>
      <c r="F12" s="106">
        <v>30</v>
      </c>
      <c r="G12" s="106">
        <v>30</v>
      </c>
      <c r="H12" s="106">
        <v>30</v>
      </c>
      <c r="I12" s="106">
        <v>30</v>
      </c>
      <c r="J12" s="106">
        <v>30</v>
      </c>
      <c r="K12" s="106">
        <v>30</v>
      </c>
      <c r="L12" s="106">
        <v>30</v>
      </c>
      <c r="M12" s="106">
        <v>30</v>
      </c>
      <c r="N12" s="581" t="s">
        <v>1025</v>
      </c>
      <c r="CK12" s="2"/>
      <c r="CL12" s="2"/>
    </row>
    <row r="13" spans="1:90" ht="17" thickBot="1">
      <c r="A13" s="42"/>
      <c r="B13" s="417" t="s">
        <v>1188</v>
      </c>
      <c r="C13" s="720" t="s">
        <v>936</v>
      </c>
      <c r="D13" s="721">
        <v>0.05</v>
      </c>
      <c r="E13" s="721">
        <v>0.11</v>
      </c>
      <c r="F13" s="108">
        <v>0.08</v>
      </c>
      <c r="G13" s="108">
        <v>0.08</v>
      </c>
      <c r="H13" s="108">
        <v>0.08</v>
      </c>
      <c r="I13" s="108">
        <v>0.08</v>
      </c>
      <c r="J13" s="108">
        <v>0.08</v>
      </c>
      <c r="K13" s="108">
        <v>0.08</v>
      </c>
      <c r="L13" s="108">
        <v>0.08</v>
      </c>
      <c r="M13" s="108">
        <v>0.08</v>
      </c>
      <c r="N13" s="581" t="s">
        <v>1162</v>
      </c>
      <c r="CK13" s="2"/>
      <c r="CL13" s="2"/>
    </row>
    <row r="14" spans="1:90">
      <c r="A14" s="42"/>
      <c r="N14" s="567"/>
      <c r="CK14" s="2"/>
      <c r="CL14" s="2"/>
    </row>
    <row r="15" spans="1:90" ht="20" customHeight="1" thickBot="1">
      <c r="A15" s="42" t="s">
        <v>621</v>
      </c>
      <c r="C15" s="416"/>
      <c r="CK15" s="2"/>
      <c r="CL15" s="2"/>
    </row>
    <row r="16" spans="1:90" ht="18" thickBot="1">
      <c r="A16" s="42"/>
      <c r="B16" s="420" t="s">
        <v>0</v>
      </c>
      <c r="C16" s="162" t="s">
        <v>653</v>
      </c>
      <c r="D16" s="568" t="s">
        <v>1081</v>
      </c>
      <c r="E16" s="569" t="s">
        <v>1082</v>
      </c>
      <c r="F16" s="568" t="s">
        <v>1124</v>
      </c>
      <c r="G16" s="569" t="s">
        <v>1125</v>
      </c>
      <c r="H16" s="568" t="s">
        <v>1126</v>
      </c>
      <c r="I16" s="569" t="s">
        <v>1127</v>
      </c>
      <c r="J16" s="568" t="s">
        <v>1128</v>
      </c>
      <c r="K16" s="569" t="s">
        <v>1129</v>
      </c>
      <c r="L16" s="568" t="s">
        <v>1130</v>
      </c>
      <c r="M16" s="569" t="s">
        <v>1131</v>
      </c>
      <c r="CK16" s="2"/>
      <c r="CL16" s="2"/>
    </row>
    <row r="17" spans="1:90">
      <c r="A17" s="41" t="s">
        <v>104</v>
      </c>
      <c r="B17" s="417" t="s">
        <v>893</v>
      </c>
      <c r="C17" s="565" t="s">
        <v>937</v>
      </c>
      <c r="D17" s="483">
        <f>IFERROR(INDEX(pipeSteelResistivity,1,1)/((PI()*(INDEX(pipeDiameter,1,1)-INDEX(pipeWallThickness,1,1))*INDEX(pipeWallThickness,1,1))),0.00000243)</f>
        <v>4.0744995880370277E-5</v>
      </c>
      <c r="E17" s="570">
        <f>IFERROR(INDEX(pipeSteelResistivity,1,2)/((PI()*(INDEX(pipeDiameter,1,2)-INDEX(pipeWallThickness,1,2))*INDEX(pipeWallThickness,1,2))),0.00000243)</f>
        <v>3.8133060542285804E-6</v>
      </c>
      <c r="F17" s="570">
        <f>IFERROR(INDEX(pipeSteelResistivity,1,3)/((PI()*(INDEX(pipeDiameter,1,3)-INDEX(pipeWallThickness,1,3))*INDEX(pipeWallThickness,1,3))),0.00000243)</f>
        <v>3.8133060542285804E-6</v>
      </c>
      <c r="G17" s="570">
        <f>IFERROR(INDEX(pipeSteelResistivity,1,4)/((PI()*(INDEX(pipeDiameter,1,4)-INDEX(pipeWallThickness,1,4))*INDEX(pipeWallThickness,1,4))),0.00000243)</f>
        <v>3.8133060542285804E-6</v>
      </c>
      <c r="H17" s="570">
        <f>IFERROR(INDEX(pipeSteelResistivity,1,5)/((PI()*(INDEX(pipeDiameter,1,5)-INDEX(pipeWallThickness,1,5))*INDEX(pipeWallThickness,1,5))),0.00000243)</f>
        <v>3.8133060542285804E-6</v>
      </c>
      <c r="I17" s="570">
        <f>IFERROR(INDEX(pipeSteelResistivity,1,6)/((PI()*(INDEX(pipeDiameter,1,6)-INDEX(pipeWallThickness,1,6))*INDEX(pipeWallThickness,1,6))),0.00000243)</f>
        <v>3.8133060542285804E-6</v>
      </c>
      <c r="J17" s="570">
        <f>IFERROR(INDEX(pipeSteelResistivity,1,7)/((PI()*(INDEX(pipeDiameter,1,7)-INDEX(pipeWallThickness,1,7))*INDEX(pipeWallThickness,1,7))),0.00000243)</f>
        <v>3.8133060542285804E-6</v>
      </c>
      <c r="K17" s="570">
        <f>IFERROR(INDEX(pipeSteelResistivity,1,8)/((PI()*(INDEX(pipeDiameter,1,8)-INDEX(pipeWallThickness,1,8))*INDEX(pipeWallThickness,1,8))),0.00000243)</f>
        <v>3.8133060542285804E-6</v>
      </c>
      <c r="L17" s="570">
        <f>IFERROR(INDEX(pipeSteelResistivity,1,9)/((PI()*(INDEX(pipeDiameter,1,9)-INDEX(pipeWallThickness,1,9))*INDEX(pipeWallThickness,1,9))),0.00000243)</f>
        <v>3.8133060542285804E-6</v>
      </c>
      <c r="M17" s="170">
        <f>IFERROR(INDEX(pipeSteelResistivity,1,10)/((PI()*(INDEX(pipeDiameter,1,10)-INDEX(pipeWallThickness,1,10))*INDEX(pipeWallThickness,1,10))),0.00000243)</f>
        <v>3.8133060542285804E-6</v>
      </c>
      <c r="N17" s="562"/>
      <c r="CK17" s="2"/>
      <c r="CL17" s="2"/>
    </row>
    <row r="18" spans="1:90">
      <c r="A18" s="41" t="s">
        <v>105</v>
      </c>
      <c r="B18" s="417" t="s">
        <v>894</v>
      </c>
      <c r="C18" s="563" t="s">
        <v>938</v>
      </c>
      <c r="D18" s="171">
        <f ca="1">IF(INDEX(soilResistanceAroundPipe,1,1)=0,500,INDEX(soilResistivityAvg,1,1)*INDEX(pipeDiameter,1,1)/2*LN(0.4*INDEX(soilResistanceAroundPipe,1,1)/(INDEX(pipeDiameter,1,1)^2*INDEX(pipeLayingDepth,1,1)*INDEX(pipeAlongResistance,1,1))))</f>
        <v>107.2147123374308</v>
      </c>
      <c r="E18" s="106">
        <f ca="1">IF(INDEX(soilResistanceAroundPipe,1,2)=0,500,INDEX(soilResistivityAvg,1,2)*INDEX(pipeDiameter,1,2)/2*LN(0.4*INDEX(soilResistanceAroundPipe,1,2)/(INDEX(pipeDiameter,1,2)^2*INDEX(pipeLayingDepth,1,2)*INDEX(pipeAlongResistance,1,2))))</f>
        <v>587.94045043466849</v>
      </c>
      <c r="F18" s="106">
        <f ca="1">IF(INDEX(soilResistanceAroundPipe,1,3)=0,500,INDEX(soilResistivityAvg,1,3)*INDEX(pipeDiameter,1,3)/2*LN(0.4*INDEX(soilResistanceAroundPipe,1,3)/(INDEX(pipeDiameter,1,3)^2*INDEX(pipeLayingDepth,1,3)*INDEX(pipeAlongResistance,1,3))))</f>
        <v>572.78493499453691</v>
      </c>
      <c r="G18" s="106">
        <f ca="1">IF(INDEX(soilResistanceAroundPipe,1,4)=0,500,INDEX(soilResistivityAvg,1,4)*INDEX(pipeDiameter,1,4)/2*LN(0.4*INDEX(soilResistanceAroundPipe,1,4)/(INDEX(pipeDiameter,1,4)^2*INDEX(pipeLayingDepth,1,4)*INDEX(pipeAlongResistance,1,4))))</f>
        <v>646.71903119953492</v>
      </c>
      <c r="H18" s="106">
        <f ca="1">IF(INDEX(soilResistanceAroundPipe,1,5)=0,500,INDEX(soilResistivityAvg,1,5)*INDEX(pipeDiameter,1,5)/2*LN(0.4*INDEX(soilResistanceAroundPipe,1,5)/(INDEX(pipeDiameter,1,5)^2*INDEX(pipeLayingDepth,1,5)*INDEX(pipeAlongResistance,1,5))))</f>
        <v>524.71269374907638</v>
      </c>
      <c r="I18" s="106">
        <f ca="1">IF(INDEX(soilResistanceAroundPipe,1,6)=0,500,INDEX(soilResistivityAvg,1,6)*INDEX(pipeDiameter,1,6)/2*LN(0.4*INDEX(soilResistanceAroundPipe,1,6)/(INDEX(pipeDiameter,1,6)^2*INDEX(pipeLayingDepth,1,6)*INDEX(pipeAlongResistance,1,6))))</f>
        <v>484.20398721797142</v>
      </c>
      <c r="J18" s="106">
        <f ca="1">IF(INDEX(soilResistanceAroundPipe,1,7)=0,500,INDEX(soilResistivityAvg,1,7)*INDEX(pipeDiameter,1,7)/2*LN(0.4*INDEX(soilResistanceAroundPipe,1,7)/(INDEX(pipeDiameter,1,7)^2*INDEX(pipeLayingDepth,1,7)*INDEX(pipeAlongResistance,1,7))))</f>
        <v>307.10312818984085</v>
      </c>
      <c r="K18" s="106">
        <f ca="1">IF(INDEX(soilResistanceAroundPipe,1,8)=0,500,INDEX(soilResistivityAvg,1,8)*INDEX(pipeDiameter,1,8)/2*LN(0.4*INDEX(soilResistanceAroundPipe,1,8)/(INDEX(pipeDiameter,1,8)^2*INDEX(pipeLayingDepth,1,8)*INDEX(pipeAlongResistance,1,8))))</f>
        <v>1044.2691571150012</v>
      </c>
      <c r="L18" s="106">
        <f ca="1">IF(INDEX(soilResistanceAroundPipe,1,9)=0,500,INDEX(soilResistivityAvg,1,9)*INDEX(pipeDiameter,1,9)/2*LN(0.4*INDEX(soilResistanceAroundPipe,1,9)/(INDEX(pipeDiameter,1,9)^2*INDEX(pipeLayingDepth,1,9)*INDEX(pipeAlongResistance,1,9))))</f>
        <v>1330.6387765523534</v>
      </c>
      <c r="M18" s="107">
        <f ca="1">IF(INDEX(soilResistanceAroundPipe,1,10)=0,500,INDEX(soilResistivityAvg,1,10)*INDEX(pipeDiameter,1,10)/2*LN(0.4*INDEX(soilResistanceAroundPipe,1,10)/(INDEX(pipeDiameter,1,10)^2*INDEX(pipeLayingDepth,1,10)*INDEX(pipeAlongResistance,1,10))))</f>
        <v>417.19503813453809</v>
      </c>
      <c r="CK18" s="2"/>
      <c r="CL18" s="2"/>
    </row>
    <row r="19" spans="1:90">
      <c r="A19" s="41" t="s">
        <v>106</v>
      </c>
      <c r="B19" s="417" t="s">
        <v>1074</v>
      </c>
      <c r="C19" s="563" t="s">
        <v>939</v>
      </c>
      <c r="D19" s="171">
        <f ca="1">INDEX(pipeInsulationResistivityStartLife,1,1)+INDEX(soilResistanceAroundPipe,1,1)</f>
        <v>3107.2147123374307</v>
      </c>
      <c r="E19" s="106">
        <f ca="1">INDEX(pipeInsulationResistivityStartLife,1,2)+INDEX(soilResistanceAroundPipe,1,2)</f>
        <v>50587.940450434668</v>
      </c>
      <c r="F19" s="106">
        <f ca="1">INDEX(pipeInsulationResistivityStartLife,1,3)+INDEX(soilResistanceAroundPipe,1,3)</f>
        <v>50572.784934994539</v>
      </c>
      <c r="G19" s="106">
        <f ca="1">INDEX(pipeInsulationResistivityStartLife,1,4)+INDEX(soilResistanceAroundPipe,1,4)</f>
        <v>50646.719031199536</v>
      </c>
      <c r="H19" s="106">
        <f ca="1">INDEX(pipeInsulationResistivityStartLife,1,5)+INDEX(soilResistanceAroundPipe,1,5)</f>
        <v>50524.712693749076</v>
      </c>
      <c r="I19" s="106">
        <f ca="1">INDEX(pipeInsulationResistivityStartLife,1,6)+INDEX(soilResistanceAroundPipe,1,6)</f>
        <v>50484.203987217974</v>
      </c>
      <c r="J19" s="106">
        <f ca="1">INDEX(pipeInsulationResistivityStartLife,1,7)+INDEX(soilResistanceAroundPipe,1,7)</f>
        <v>50307.103128189839</v>
      </c>
      <c r="K19" s="106">
        <f ca="1">INDEX(pipeInsulationResistivityStartLife,1,8)+INDEX(soilResistanceAroundPipe,1,8)</f>
        <v>51044.269157114999</v>
      </c>
      <c r="L19" s="106">
        <f ca="1">INDEX(pipeInsulationResistivityStartLife,1,9)+INDEX(soilResistanceAroundPipe,1,9)</f>
        <v>51330.638776552354</v>
      </c>
      <c r="M19" s="107">
        <f ca="1">INDEX(pipeInsulationResistivityStartLife,1,10)+INDEX(soilResistanceAroundPipe,1,10)</f>
        <v>50417.195038134538</v>
      </c>
      <c r="CK19" s="2"/>
      <c r="CL19" s="2"/>
    </row>
    <row r="20" spans="1:90">
      <c r="A20" s="41" t="s">
        <v>107</v>
      </c>
      <c r="B20" s="417" t="s">
        <v>895</v>
      </c>
      <c r="C20" s="563" t="s">
        <v>1084</v>
      </c>
      <c r="D20" s="171">
        <f ca="1">INDEX(soilResistanceAroundPipe,1,1)/(PI()*INDEX(pipeDiameter,1,1))</f>
        <v>105.0077011734014</v>
      </c>
      <c r="E20" s="106">
        <f ca="1">INDEX(soilResistanceAroundPipe,1,2)/(PI()*INDEX(pipeDiameter,1,2))</f>
        <v>153.39939168910323</v>
      </c>
      <c r="F20" s="106">
        <f ca="1">INDEX(soilResistanceAroundPipe,1,3)/(PI()*INDEX(pipeDiameter,1,3))</f>
        <v>149.44517005401721</v>
      </c>
      <c r="G20" s="106">
        <f ca="1">INDEX(soilResistanceAroundPipe,1,4)/(PI()*INDEX(pipeDiameter,1,4))</f>
        <v>168.73529607706175</v>
      </c>
      <c r="H20" s="106">
        <f ca="1">INDEX(soilResistanceAroundPipe,1,5)/(PI()*INDEX(pipeDiameter,1,5))</f>
        <v>136.90265395611371</v>
      </c>
      <c r="I20" s="106">
        <f ca="1">INDEX(soilResistanceAroundPipe,1,6)/(PI()*INDEX(pipeDiameter,1,6))</f>
        <v>126.33353775499189</v>
      </c>
      <c r="J20" s="106">
        <f ca="1">INDEX(soilResistanceAroundPipe,1,7)/(PI()*INDEX(pipeDiameter,1,7))</f>
        <v>80.126198180978946</v>
      </c>
      <c r="K20" s="106">
        <f ca="1">INDEX(soilResistanceAroundPipe,1,8)/(PI()*INDEX(pipeDiameter,1,8))</f>
        <v>272.45999716927793</v>
      </c>
      <c r="L20" s="106">
        <f ca="1">INDEX(soilResistanceAroundPipe,1,9)/(PI()*INDEX(pipeDiameter,1,9))</f>
        <v>347.1766209148509</v>
      </c>
      <c r="M20" s="107">
        <f ca="1">INDEX(soilResistanceAroundPipe,1,10)/(PI()*INDEX(pipeDiameter,1,10))</f>
        <v>108.85025008610413</v>
      </c>
      <c r="CK20" s="2"/>
      <c r="CL20" s="2"/>
    </row>
    <row r="21" spans="1:90">
      <c r="A21" s="41"/>
      <c r="B21" s="417" t="s">
        <v>896</v>
      </c>
      <c r="C21" s="563" t="s">
        <v>945</v>
      </c>
      <c r="D21" s="171">
        <f>INDEX(pipeInsulationResistivityStartLife,1,1)/(PI()*INDEX(pipeDiameter,1,1))</f>
        <v>2938.2451032349909</v>
      </c>
      <c r="E21" s="106">
        <f>INDEX(pipeInsulationResistivityStartLife,1,2)/(PI()*INDEX(pipeDiameter,1,2))</f>
        <v>13045.487138679946</v>
      </c>
      <c r="F21" s="106">
        <f>INDEX(pipeInsulationResistivityStartLife,1,3)/((PI()*INDEX(pipeDiameter,1,3)))</f>
        <v>13045.487138679946</v>
      </c>
      <c r="G21" s="106">
        <f>INDEX(pipeInsulationResistivityStartLife,1,4)/((PI()*INDEX(pipeDiameter,1,4)))</f>
        <v>13045.487138679946</v>
      </c>
      <c r="H21" s="106">
        <f>INDEX(pipeInsulationResistivityStartLife,1,5)/((PI()*INDEX(pipeDiameter,1,5)))</f>
        <v>13045.487138679946</v>
      </c>
      <c r="I21" s="106">
        <f>INDEX(pipeInsulationResistivityStartLife,1,6)/((PI()*INDEX(pipeDiameter,1,6)))</f>
        <v>13045.487138679946</v>
      </c>
      <c r="J21" s="106">
        <f>INDEX(pipeInsulationResistivityStartLife,1,7)/((PI()*INDEX(pipeDiameter,1,7)))</f>
        <v>13045.487138679946</v>
      </c>
      <c r="K21" s="106">
        <f>INDEX(pipeInsulationResistivityStartLife,1,8)/((PI()*INDEX(pipeDiameter,1,8)))</f>
        <v>13045.487138679946</v>
      </c>
      <c r="L21" s="106">
        <f>INDEX(pipeInsulationResistivityStartLife,1,9)/((PI()*INDEX(pipeDiameter,1,9)))</f>
        <v>13045.487138679946</v>
      </c>
      <c r="M21" s="107">
        <f>INDEX(pipeInsulationResistivityStartLife,1,10)/((PI()*INDEX(pipeDiameter,1,10)))</f>
        <v>13045.487138679946</v>
      </c>
      <c r="CK21" s="2"/>
      <c r="CL21" s="2"/>
    </row>
    <row r="22" spans="1:90">
      <c r="A22" s="41" t="s">
        <v>108</v>
      </c>
      <c r="B22" s="417" t="s">
        <v>1085</v>
      </c>
      <c r="C22" s="563" t="s">
        <v>927</v>
      </c>
      <c r="D22" s="171">
        <f ca="1">INDEX(soilResistivityAroundPipe,1,1)+INDEX(pipeInsulationResistanceStartLife,1,1)</f>
        <v>3043.2528044083924</v>
      </c>
      <c r="E22" s="106">
        <f ca="1">INDEX(soilResistivityAroundPipe,1,2)+INDEX(pipeInsulationResistanceStartLife,1,2)</f>
        <v>13198.886530369049</v>
      </c>
      <c r="F22" s="106">
        <f ca="1">INDEX(soilResistivityAroundPipe,1,3)+INDEX(pipeInsulationResistanceStartLife,1,3)</f>
        <v>13194.932308733964</v>
      </c>
      <c r="G22" s="106">
        <f ca="1">INDEX(soilResistivityAroundPipe,1,4)+INDEX(pipeInsulationResistanceStartLife,1,4)</f>
        <v>13214.222434757008</v>
      </c>
      <c r="H22" s="106">
        <f ca="1">INDEX(soilResistivityAroundPipe,1,5)+INDEX(pipeInsulationResistanceStartLife,1,5)</f>
        <v>13182.389792636061</v>
      </c>
      <c r="I22" s="106">
        <f ca="1">INDEX(soilResistivityAroundPipe,1,6)+INDEX(pipeInsulationResistanceStartLife,1,6)</f>
        <v>13171.820676434938</v>
      </c>
      <c r="J22" s="106">
        <f ca="1">INDEX(soilResistivityAroundPipe,1,7)+INDEX(pipeInsulationResistanceStartLife,1,7)</f>
        <v>13125.613336860924</v>
      </c>
      <c r="K22" s="106">
        <f ca="1">INDEX(soilResistivityAroundPipe,1,8)+INDEX(pipeInsulationResistanceStartLife,1,8)</f>
        <v>13317.947135849225</v>
      </c>
      <c r="L22" s="106">
        <f ca="1">INDEX(soilResistivityAroundPipe,1,9)+INDEX(pipeInsulationResistanceStartLife,1,9)</f>
        <v>13392.663759594798</v>
      </c>
      <c r="M22" s="107">
        <f ca="1">INDEX(soilResistivityAroundPipe,1,10)+INDEX(pipeInsulationResistanceStartLife,1,10)</f>
        <v>13154.337388766051</v>
      </c>
      <c r="CK22" s="2"/>
      <c r="CL22" s="2"/>
    </row>
    <row r="23" spans="1:90" ht="18" customHeight="1" thickBot="1">
      <c r="A23" s="41" t="s">
        <v>108</v>
      </c>
      <c r="B23" s="417" t="s">
        <v>900</v>
      </c>
      <c r="C23" s="563" t="s">
        <v>928</v>
      </c>
      <c r="D23" s="572">
        <f ca="1">INDEX(soilResistivityAroundPipe,1,1)+INDEX(pipeInsulationResistanceStartLife,1,1)*EXP((-INDEX(pipeResistivityChangeFactor,1,1))*INDEX(serviceLifeDesigned,1,1))</f>
        <v>615.59813958650602</v>
      </c>
      <c r="E23" s="573">
        <f ca="1">INDEX(soilResistivityAroundPipe,1,2)+INDEX(pipeInsulationResistanceStartLife,1,2)*EXP((-INDEX(pipeResistivityChangeFactor,1,2))*INDEX(serviceLifeDesigned,1,2))</f>
        <v>634.5582776557593</v>
      </c>
      <c r="F23" s="573">
        <f ca="1">INDEX(soilResistivityAroundPipe,1,3)+INDEX(pipeInsulationResistanceStartLife,1,3)*EXP((-INDEX(pipeResistivityChangeFactor,1,3))*INDEX(serviceLifeDesigned,1,3))</f>
        <v>1332.9050629384162</v>
      </c>
      <c r="G23" s="573">
        <f ca="1">INDEX(soilResistivityAroundPipe,1,4)+INDEX(pipeInsulationResistanceStartLife,1,4)*EXP((-INDEX(pipeResistivityChangeFactor,1,1))*INDEX(serviceLifeDesigned,1,4))</f>
        <v>3079.5769305449994</v>
      </c>
      <c r="H23" s="573">
        <f ca="1">INDEX(soilResistivityAroundPipe,1,5)+INDEX(pipeInsulationResistanceStartLife,1,5)*EXP((-INDEX(pipeResistivityChangeFactor,1,1))*INDEX(serviceLifeDesigned,1,5))</f>
        <v>3047.7442884240513</v>
      </c>
      <c r="I23" s="573">
        <f ca="1">INDEX(soilResistivityAroundPipe,1,6)+INDEX(pipeInsulationResistanceStartLife,1,6)*EXP((-INDEX(pipeResistivityChangeFactor,1,1))*INDEX(serviceLifeDesigned,1,6))</f>
        <v>3037.1751722229296</v>
      </c>
      <c r="J23" s="573">
        <f ca="1">INDEX(soilResistivityAroundPipe,1,7)+INDEX(pipeInsulationResistanceStartLife,1,7)*EXP((-INDEX(pipeResistivityChangeFactor,1,1))*INDEX(serviceLifeDesigned,1,7))</f>
        <v>2990.9678326489166</v>
      </c>
      <c r="K23" s="573">
        <f ca="1">INDEX(soilResistivityAroundPipe,1,8)+INDEX(pipeInsulationResistanceStartLife,1,8)*EXP((-INDEX(pipeResistivityChangeFactor,1,1))*INDEX(serviceLifeDesigned,1,8))</f>
        <v>3183.3016316372155</v>
      </c>
      <c r="L23" s="573">
        <f ca="1">INDEX(soilResistivityAroundPipe,1,9)+INDEX(pipeInsulationResistanceStartLife,1,9)*EXP((-INDEX(pipeResistivityChangeFactor,1,1))*INDEX(serviceLifeDesigned,1,9))</f>
        <v>3258.0182553827885</v>
      </c>
      <c r="M23" s="574">
        <f ca="1">INDEX(soilResistivityAroundPipe,1,10)+INDEX(pipeInsulationResistanceStartLife,1,10)*EXP((-INDEX(pipeResistivityChangeFactor,1,1))*INDEX(serviceLifeDesigned,1,10))</f>
        <v>3019.6918845540417</v>
      </c>
      <c r="CK23" s="2"/>
      <c r="CL23" s="2"/>
    </row>
    <row r="24" spans="1:90">
      <c r="A24" s="41" t="s">
        <v>109</v>
      </c>
      <c r="B24" s="417" t="s">
        <v>897</v>
      </c>
      <c r="C24" s="743" t="s">
        <v>940</v>
      </c>
      <c r="D24" s="738">
        <f ca="1">SQRT(INDEX(pipeAlongResistance,1,1)/INDEX(pipeTransientResistance,1,1))</f>
        <v>1.1570926200660466E-4</v>
      </c>
      <c r="E24" s="739">
        <f ca="1">SQRT(INDEX(pipeAlongResistance,1,2)/INDEX(pipeTransientResistance,1,2))</f>
        <v>1.6997387829765478E-5</v>
      </c>
      <c r="F24" s="570">
        <f ca="1">SQRT(INDEX(pipeAlongResistance,1,3)/INDEX(pipeTransientResistance,1,3))</f>
        <v>1.6999934504596493E-5</v>
      </c>
      <c r="G24" s="570">
        <f ca="1">SQRT(INDEX(pipeAlongResistance,1,4)/INDEX(pipeTransientResistance,1,4))</f>
        <v>1.6987521718054201E-5</v>
      </c>
      <c r="H24" s="570">
        <f ca="1">SQRT(INDEX(pipeAlongResistance,1,5)/INDEX(pipeTransientResistance,1,5))</f>
        <v>1.7008019960330112E-5</v>
      </c>
      <c r="I24" s="570">
        <f ca="1">SQRT(INDEX(pipeAlongResistance,1,6)/INDEX(pipeTransientResistance,1,6))</f>
        <v>1.7014842240188823E-5</v>
      </c>
      <c r="J24" s="570">
        <f ca="1">SQRT(INDEX(pipeAlongResistance,1,7)/INDEX(pipeTransientResistance,1,7))</f>
        <v>1.7044765408173929E-5</v>
      </c>
      <c r="K24" s="570">
        <f ca="1">SQRT(INDEX(pipeAlongResistance,1,8)/INDEX(pipeTransientResistance,1,8))</f>
        <v>1.6921240111973374E-5</v>
      </c>
      <c r="L24" s="570">
        <f ca="1">SQRT(INDEX(pipeAlongResistance,1,9)/INDEX(pipeTransientResistance,1,9))</f>
        <v>1.687397295719635E-5</v>
      </c>
      <c r="M24" s="170">
        <f ca="1">SQRT(INDEX(pipeAlongResistance,1,10)/INDEX(pipeTransientResistance,1,10))</f>
        <v>1.7026145607114096E-5</v>
      </c>
      <c r="CK24" s="2"/>
      <c r="CL24" s="2"/>
    </row>
    <row r="25" spans="1:90" ht="28" customHeight="1" thickBot="1">
      <c r="A25" s="41" t="s">
        <v>109</v>
      </c>
      <c r="B25" s="417" t="s">
        <v>898</v>
      </c>
      <c r="C25" s="744" t="s">
        <v>929</v>
      </c>
      <c r="D25" s="572">
        <f ca="1">SQRT(INDEX(pipeAlongResistance,1,1)/INDEX(pipeTransientResistanceEndLife,1,1))</f>
        <v>2.5726961096056807E-4</v>
      </c>
      <c r="E25" s="573">
        <f ca="1">SQRT(INDEX(pipeAlongResistance,1,2)/INDEX(pipeTransientResistanceEndLife,1,2))</f>
        <v>7.7520233930594069E-5</v>
      </c>
      <c r="F25" s="573">
        <f ca="1">SQRT(INDEX(pipeAlongResistance,1,3)/INDEX(pipeTransientResistanceEndLife,1,3))</f>
        <v>5.3487367380152211E-5</v>
      </c>
      <c r="G25" s="573">
        <f ca="1">SQRT(INDEX(pipeAlongResistance,1,4)/INDEX(pipeTransientResistanceEndLife,1,4))</f>
        <v>3.5188868529904134E-5</v>
      </c>
      <c r="H25" s="573">
        <f ca="1">SQRT(INDEX(pipeAlongResistance,1,5)/INDEX(pipeTransientResistanceEndLife,1,5))</f>
        <v>3.5372158993441913E-5</v>
      </c>
      <c r="I25" s="573">
        <f ca="1">SQRT(INDEX(pipeAlongResistance,1,6)/INDEX(pipeTransientResistanceEndLife,1,6))</f>
        <v>3.5433651623657002E-5</v>
      </c>
      <c r="J25" s="573">
        <f ca="1">SQRT(INDEX(pipeAlongResistance,1,7)/INDEX(pipeTransientResistanceEndLife,1,7))</f>
        <v>3.5706309107674583E-5</v>
      </c>
      <c r="K25" s="573">
        <f ca="1">SQRT(INDEX(pipeAlongResistance,1,8)/INDEX(pipeTransientResistanceEndLife,1,8))</f>
        <v>3.4610823731388928E-5</v>
      </c>
      <c r="L25" s="573">
        <f ca="1">SQRT(INDEX(pipeAlongResistance,1,9)/INDEX(pipeTransientResistanceEndLife,1,9))</f>
        <v>3.4211654285710302E-5</v>
      </c>
      <c r="M25" s="574">
        <f ca="1">SQRT(INDEX(pipeAlongResistance,1,10)/INDEX(pipeTransientResistanceEndLife,1,10))</f>
        <v>3.5536079727322746E-5</v>
      </c>
      <c r="CK25" s="2"/>
      <c r="CL25" s="2"/>
    </row>
    <row r="26" spans="1:90" s="477" customFormat="1" ht="13" customHeight="1">
      <c r="A26" s="475" t="s">
        <v>727</v>
      </c>
      <c r="B26" s="476" t="s">
        <v>899</v>
      </c>
      <c r="C26" s="742" t="s">
        <v>967</v>
      </c>
      <c r="D26" s="577">
        <f ca="1">SQRT(INDEX(pipeAlongResistance,1,1)*INDEX(pipeTransientResistance,1,1))</f>
        <v>0.35213253609762507</v>
      </c>
      <c r="E26" s="578">
        <f ca="1">SQRT(INDEX(pipeAlongResistance,1,2)*INDEX(pipeTransientResistance,1,2))</f>
        <v>0.22434659327775039</v>
      </c>
      <c r="F26" s="578">
        <f ca="1">SQRT(INDEX(pipeAlongResistance,1,3)*INDEX(pipeTransientResistance,1,3))</f>
        <v>0.22431298504106159</v>
      </c>
      <c r="G26" s="578">
        <f ca="1">SQRT(INDEX(pipeAlongResistance,1,4)*INDEX(pipeTransientResistance,1,4))</f>
        <v>0.22447689059763376</v>
      </c>
      <c r="H26" s="578">
        <f ca="1">SQRT(INDEX(pipeAlongResistance,1,5)*INDEX(pipeTransientResistance,1,5))</f>
        <v>0.22420634871800604</v>
      </c>
      <c r="I26" s="578">
        <f ca="1">SQRT(INDEX(pipeAlongResistance,1,6)*INDEX(pipeTransientResistance,1,6))</f>
        <v>0.2241164508255977</v>
      </c>
      <c r="J26" s="578">
        <f ca="1">SQRT(INDEX(pipeAlongResistance,1,7)*INDEX(pipeTransientResistance,1,7))</f>
        <v>0.22372300016519348</v>
      </c>
      <c r="K26" s="578">
        <f ca="1">SQRT(INDEX(pipeAlongResistance,1,8)*INDEX(pipeTransientResistance,1,8))</f>
        <v>0.22535618128427282</v>
      </c>
      <c r="L26" s="578">
        <f ca="1">SQRT(INDEX(pipeAlongResistance,1,9)*INDEX(pipeTransientResistance,1,9))</f>
        <v>0.22598744610422622</v>
      </c>
      <c r="M26" s="579">
        <f ca="1">SQRT(INDEX(pipeAlongResistance,1,10)*INDEX(pipeTransientResistance,1,10))</f>
        <v>0.22396766374623583</v>
      </c>
      <c r="N26" s="480"/>
    </row>
    <row r="27" spans="1:90" s="477" customFormat="1" ht="20" customHeight="1" thickBot="1">
      <c r="A27" s="475" t="s">
        <v>727</v>
      </c>
      <c r="B27" s="476" t="s">
        <v>899</v>
      </c>
      <c r="C27" s="566" t="s">
        <v>968</v>
      </c>
      <c r="D27" s="478">
        <f ca="1">SQRT(INDEX(pipeAlongResistance,1,1)*INDEX(pipeTransientResistanceEndLife,1,1))</f>
        <v>0.1583746938794699</v>
      </c>
      <c r="E27" s="571">
        <f ca="1">SQRT(INDEX(pipeAlongResistance,1,2)*INDEX(pipeTransientResistanceEndLife,1,2))</f>
        <v>4.9191106126469319E-2</v>
      </c>
      <c r="F27" s="571">
        <f ca="1">SQRT(INDEX(pipeAlongResistance,1,3)*INDEX(pipeTransientResistanceEndLife,1,3))</f>
        <v>7.1293582784251977E-2</v>
      </c>
      <c r="G27" s="571">
        <f ca="1">SQRT(INDEX(pipeAlongResistance,1,4)*INDEX(pipeTransientResistanceEndLife,1,4))</f>
        <v>0.10836682773667372</v>
      </c>
      <c r="H27" s="571">
        <f ca="1">SQRT(INDEX(pipeAlongResistance,1,5)*INDEX(pipeTransientResistanceEndLife,1,5))</f>
        <v>0.10780529554149004</v>
      </c>
      <c r="I27" s="571">
        <f ca="1">SQRT(INDEX(pipeAlongResistance,1,6)*INDEX(pipeTransientResistanceEndLife,1,6))</f>
        <v>0.10761820697256774</v>
      </c>
      <c r="J27" s="571">
        <f ca="1">SQRT(INDEX(pipeAlongResistance,1,7)*INDEX(pipeTransientResistanceEndLife,1,7))</f>
        <v>0.10679642196367371</v>
      </c>
      <c r="K27" s="571">
        <f ca="1">SQRT(INDEX(pipeAlongResistance,1,8)*INDEX(pipeTransientResistanceEndLife,1,8))</f>
        <v>0.11017669165643844</v>
      </c>
      <c r="L27" s="571">
        <f ca="1">SQRT(INDEX(pipeAlongResistance,1,9)*INDEX(pipeTransientResistanceEndLife,1,9))</f>
        <v>0.11146219420968899</v>
      </c>
      <c r="M27" s="479">
        <f ca="1">SQRT(INDEX(pipeAlongResistance,1,10)*INDEX(pipeTransientResistanceEndLife,1,10))</f>
        <v>0.1073080115614619</v>
      </c>
      <c r="N27" s="480"/>
    </row>
    <row r="28" spans="1:90">
      <c r="A28" s="70" t="s">
        <v>112</v>
      </c>
      <c r="B28" s="417" t="s">
        <v>901</v>
      </c>
      <c r="C28" s="167" t="s">
        <v>965</v>
      </c>
      <c r="D28" s="576">
        <v>0.35213253609762507</v>
      </c>
      <c r="E28" s="575"/>
      <c r="F28" s="575"/>
      <c r="G28" s="575"/>
      <c r="H28" s="575"/>
      <c r="I28" s="575"/>
      <c r="J28" s="575"/>
      <c r="K28" s="575"/>
      <c r="L28" s="575"/>
      <c r="M28" s="575"/>
    </row>
    <row r="29" spans="1:90" ht="18" thickBot="1">
      <c r="A29" s="70" t="s">
        <v>112</v>
      </c>
      <c r="B29" s="417" t="s">
        <v>902</v>
      </c>
      <c r="C29" s="722" t="s">
        <v>966</v>
      </c>
      <c r="D29" s="723">
        <v>0.1583746938794699</v>
      </c>
      <c r="E29" s="724"/>
      <c r="F29" s="724"/>
      <c r="G29" s="724"/>
      <c r="H29" s="724"/>
      <c r="I29" s="724"/>
      <c r="J29" s="724"/>
      <c r="K29" s="724"/>
      <c r="L29" s="724"/>
      <c r="M29" s="724"/>
      <c r="N29" s="725" t="s">
        <v>1186</v>
      </c>
    </row>
    <row r="32" spans="1:90" ht="23">
      <c r="C32" s="740" t="s">
        <v>1193</v>
      </c>
    </row>
    <row r="33" spans="3:5" ht="20">
      <c r="C33" s="741" t="s">
        <v>1189</v>
      </c>
      <c r="E33" s="737"/>
    </row>
    <row r="34" spans="3:5" ht="20">
      <c r="C34" s="741" t="s">
        <v>1190</v>
      </c>
    </row>
    <row r="35" spans="3:5" ht="20">
      <c r="C35" s="741" t="s">
        <v>1191</v>
      </c>
    </row>
    <row r="36" spans="3:5" ht="20">
      <c r="C36" s="741" t="s">
        <v>1192</v>
      </c>
    </row>
  </sheetData>
  <mergeCells count="1">
    <mergeCell ref="D2:M2"/>
  </mergeCells>
  <phoneticPr fontId="5" type="noConversion"/>
  <conditionalFormatting sqref="C28:C29">
    <cfRule type="duplicateValues" dxfId="90" priority="940"/>
  </conditionalFormatting>
  <conditionalFormatting sqref="D10:M10">
    <cfRule type="cellIs" dxfId="89" priority="53" operator="lessThan">
      <formula>1</formula>
    </cfRule>
  </conditionalFormatting>
  <conditionalFormatting sqref="C30:C31 C1:C8 C15:C27 C10:C13 C37:C1048576">
    <cfRule type="duplicateValues" dxfId="88" priority="1841"/>
  </conditionalFormatting>
  <conditionalFormatting sqref="C30:C31 C1:C8 C15 C10:C13 C18:C27 C37:C1048576">
    <cfRule type="duplicateValues" dxfId="87" priority="1847"/>
  </conditionalFormatting>
  <conditionalFormatting sqref="C37:C1048576 C15:C31 C1:C13">
    <cfRule type="duplicateValues" dxfId="86" priority="1848"/>
  </conditionalFormatting>
  <conditionalFormatting sqref="D25">
    <cfRule type="cellIs" dxfId="85" priority="34" operator="notEqual">
      <formula>$D$25</formula>
    </cfRule>
  </conditionalFormatting>
  <conditionalFormatting sqref="D28">
    <cfRule type="cellIs" dxfId="84" priority="32" operator="notEqual">
      <formula>$D$28</formula>
    </cfRule>
  </conditionalFormatting>
  <conditionalFormatting sqref="D29">
    <cfRule type="cellIs" dxfId="83" priority="31" operator="notEqual">
      <formula>$D$29</formula>
    </cfRule>
  </conditionalFormatting>
  <conditionalFormatting sqref="N14">
    <cfRule type="cellIs" dxfId="82" priority="5" operator="greaterThanOrEqual">
      <formula>5%</formula>
    </cfRule>
  </conditionalFormatting>
  <dataValidations count="9">
    <dataValidation allowBlank="1" showInputMessage="1" showErrorMessage="1" promptTitle="СТО Газпром 9.2-003-2020" sqref="D21:M21" xr:uid="{2E26E6D1-7EB9-1342-97DC-880E7EB3913D}"/>
    <dataValidation errorStyle="warning" allowBlank="1" showInputMessage="1" showErrorMessage="1" errorTitle="СТО Газпром" error="СТО Газпром" promptTitle="СТО Газпром 9.2-003-2020" prompt="Таблица 6.2 - Удельное электрическое сопротивление различных марок трубной стали " sqref="D6:M6" xr:uid="{0587E96A-8ED3-9E4D-9B75-63520D15869A}"/>
    <dataValidation errorStyle="warning" allowBlank="1" showInputMessage="1" showErrorMessage="1" errorTitle="СТО Газпром 9.2-003-2020" error="2.45E-07_x000a_2.45E-07_x000a_2.45E-07_x000a_2.18E-07_x000a_2.18E-07_x000a_2.63E-07_x000a_2.63E-07_x000a_2.81E-07_x000a_2.45E-07" promptTitle="СТО Газпром 9.2-003-2020" prompt="Таблица 6.2 - Удельное электрическое сопротивление различных марок трубной стали" sqref="D6:M6" xr:uid="{69D4DCFB-4355-854E-903F-49302AAD2EC6}"/>
    <dataValidation type="list" errorStyle="warning" allowBlank="1" showInputMessage="1" showErrorMessage="1" errorTitle="Значения коэффициента y" error="трёх- и двухслойное полимерное покрытие на основе термореактивных смол и полиолефина, покрытие на основе термоусаживающихся материалов — 0.055;_x000a_все остальные покрытия усиленного типа,кроме мастичных и полимерно-битумных — 0,08;_x000a_мастичные, полимерно-битумн" sqref="D13:E13" xr:uid="{37B6FA50-DC0A-3947-B0E6-2BBAAEF7C90B}">
      <formula1>"0.055, 0.08, 0.11"</formula1>
    </dataValidation>
    <dataValidation type="list" errorStyle="warning" allowBlank="1" showInputMessage="1" showErrorMessage="1" errorTitle="Покрытие:" error="трёх и двухслойное полимерное покрытие на основе термореактивных смол и полиолефина, покрытие на основе термоусаживающихся материалов — 0.055;_x000a_все остальные покрытия усиленного типа,кроме мастичных и полимерно-битумных — 0,08;_x000a_мастичные, полимерно-битумн" promptTitle="Покрытие:" prompt="термоусаживаемое, трёх и двухслойные термореактивные смолы и полиолефина - 0.055;_x000a_мастичные, полимерно-битумные - 0.11;_x000a_все остальные покрытия усиленного типа - 0.08." sqref="F13:M13" xr:uid="{ABF5A581-11BE-524E-8E6A-A3117327BD44}">
      <formula1>"0.055, 0.08, 0.11"</formula1>
    </dataValidation>
    <dataValidation errorStyle="information" allowBlank="1" showInputMessage="1" showErrorMessage="1" sqref="D11:M11" xr:uid="{DD96638D-F5B5-6140-A9C3-0AF4600F743F}"/>
    <dataValidation type="list" errorStyle="warning" allowBlank="1" showInputMessage="1" showErrorMessage="1" errorTitle="Начальное состояние изоляции" error="Не соответствует типовым значениям " sqref="D9:M9" xr:uid="{433903BF-B40D-DA4A-8213-69791973391B}">
      <formula1>"50000, 100000, 300000, 1000000"</formula1>
    </dataValidation>
    <dataValidation type="list" errorStyle="warning" allowBlank="1" showInputMessage="1" showErrorMessage="1" errorTitle="Invalid Selection" error="Please select a value from the list." sqref="E8:M8" xr:uid="{449555F9-EEF4-4C41-8A86-3D6EED4758FE}">
      <formula1>"0.0110,0.0115,0.0120,0.0125,0.0140,0.0150,0.0160,0.0170,0.0200"</formula1>
    </dataValidation>
    <dataValidation type="list" errorStyle="warning" allowBlank="1" showInputMessage="1" showErrorMessage="1" errorTitle="Invalid Selection" error="Please select a value from the list." sqref="D8" xr:uid="{6BB84DD2-EC53-C047-A790-25F6B332FA0A}">
      <formula1>"0.0040,0.0050,0.0055,0.0060,0.0065,0.0070,0.0075,0.0080"</formula1>
    </dataValidation>
  </dataValidations>
  <hyperlinks>
    <hyperlink ref="C16" location="Menu!R5C3" display="Определение электрических характеристик трубопровода" xr:uid="{E8D73579-22A4-FF46-8A25-F3BA485756F6}"/>
    <hyperlink ref="C4" location="Menu!R4C3" display="Исходные данные для определения электрических характеристик трубопровода" xr:uid="{52BD3ADD-A8DF-0F47-9B54-A5C691705820}"/>
    <hyperlink ref="C29" location="Menu!R6C3" display="Входное сопротивление трубопровода прогноз изменения за срок эксплуатации t (Zвт(t), Ом)" xr:uid="{750A7CA3-E5CE-704D-A94A-2412A527FF82}"/>
    <hyperlink ref="B8" location="'Данные изысканий'!P2" display="'Данные изысканий'!P2" xr:uid="{A461238C-25CB-4A46-BFC5-CB6F904B3700}"/>
    <hyperlink ref="C2" location="Menu!R4C2" display="1. Расчет электрических характеристик трубопровода " xr:uid="{224B8233-7266-E846-9FFD-86D5D09F2D25}"/>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84068" r:id="rId3" name="Button 100">
              <controlPr defaultSize="0" print="0" autoFill="0" autoPict="0" macro="[0]!button100_click" altText="Расчет участка труопровода">
                <anchor moveWithCells="1" sizeWithCells="1">
                  <from>
                    <xdr:col>2</xdr:col>
                    <xdr:colOff>3962400</xdr:colOff>
                    <xdr:row>14</xdr:row>
                    <xdr:rowOff>25400</xdr:rowOff>
                  </from>
                  <to>
                    <xdr:col>2</xdr:col>
                    <xdr:colOff>6413500</xdr:colOff>
                    <xdr:row>14</xdr:row>
                    <xdr:rowOff>228600</xdr:rowOff>
                  </to>
                </anchor>
              </controlPr>
            </control>
          </mc:Choice>
        </mc:AlternateContent>
        <mc:AlternateContent xmlns:mc="http://schemas.openxmlformats.org/markup-compatibility/2006">
          <mc:Choice Requires="x14">
            <control shapeId="83971" r:id="rId4" name="Button 3">
              <controlPr defaultSize="0" print="0" autoFill="0" autoPict="0" macro="[0]!button112_click" altText="Вычислить">
                <anchor moveWithCells="1" sizeWithCells="1">
                  <from>
                    <xdr:col>2</xdr:col>
                    <xdr:colOff>4737100</xdr:colOff>
                    <xdr:row>10</xdr:row>
                    <xdr:rowOff>50800</xdr:rowOff>
                  </from>
                  <to>
                    <xdr:col>2</xdr:col>
                    <xdr:colOff>6210300</xdr:colOff>
                    <xdr:row>11</xdr:row>
                    <xdr:rowOff>0</xdr:rowOff>
                  </to>
                </anchor>
              </controlPr>
            </control>
          </mc:Choice>
        </mc:AlternateContent>
        <mc:AlternateContent xmlns:mc="http://schemas.openxmlformats.org/markup-compatibility/2006">
          <mc:Choice Requires="x14">
            <control shapeId="84055" r:id="rId5" name="Button 87">
              <controlPr defaultSize="0" print="0" autoFill="0" autoPict="0" macro="[0]!button126_click" altText="Вычислить среднюю толщину стенки левого плеча трубы">
                <anchor moveWithCells="1" sizeWithCells="1">
                  <from>
                    <xdr:col>2</xdr:col>
                    <xdr:colOff>2908300</xdr:colOff>
                    <xdr:row>7</xdr:row>
                    <xdr:rowOff>25400</xdr:rowOff>
                  </from>
                  <to>
                    <xdr:col>2</xdr:col>
                    <xdr:colOff>6438900</xdr:colOff>
                    <xdr:row>7</xdr:row>
                    <xdr:rowOff>190500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СТО Газпром" error="СТО Газпром" promptTitle="СТО Газпром 9.2-003-2020" prompt="Таблица 6.2 - Удельное электрическое сопротивление различных марок трубной стали " xr:uid="{4C3256A8-1281-924D-AFE6-2FA6190E65E7}">
          <x14:formula1>
            <xm:f>'Data STO Gazprom 9.2-003-2020'!$B$9:$B$17</xm:f>
          </x14:formula1>
          <xm:sqref>D5:M5</xm:sqref>
        </x14:dataValidation>
        <x14:dataValidation type="list" errorStyle="warning" showInputMessage="1" showErrorMessage="1" errorTitle="СТО Газпром" error="СТО Газпром" promptTitle="СТО Газпром 9.2-003-2020" prompt="Таблица Б.1 - Значения продольного сопротивления трубопровода Rт при толщине стенки трубы от 4 до 9.5 мм_x000a_Таблица Б.2 - Значения продольного сопротивления трубопровода Rт при толщине стенки трубы от 10 до 20 мм_x000a_(при условии, что  2.454E-7  Ом·м, t=20°C)" xr:uid="{D636F243-F832-D94C-9877-1D346EA7A3C1}">
          <x14:formula1>
            <xm:f>'Data STO Gazprom 9.2-003-2020'!$B$52:$B$71</xm:f>
          </x14:formula1>
          <xm:sqref>D7:M7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2957E-1627-4142-AB89-32DB94EAAB02}">
  <sheetPr codeName="Лист25">
    <tabColor theme="9" tint="0.79998168889431442"/>
  </sheetPr>
  <dimension ref="A1:DL406"/>
  <sheetViews>
    <sheetView tabSelected="1" topLeftCell="C52" zoomScale="161" zoomScaleNormal="75" workbookViewId="0">
      <selection activeCell="C78" sqref="C78"/>
    </sheetView>
  </sheetViews>
  <sheetFormatPr baseColWidth="10" defaultRowHeight="16"/>
  <cols>
    <col min="1" max="1" width="18.6640625" style="97" customWidth="1"/>
    <col min="2" max="2" width="56.33203125" customWidth="1"/>
    <col min="3" max="3" width="93.5" style="118" customWidth="1"/>
    <col min="4" max="4" width="19.5" style="119" customWidth="1"/>
    <col min="5" max="8" width="12.5" style="119" hidden="1" customWidth="1"/>
    <col min="9" max="9" width="18.1640625" style="119" hidden="1" customWidth="1"/>
    <col min="10" max="13" width="12.5" style="119" hidden="1" customWidth="1"/>
    <col min="14" max="14" width="6.33203125" style="387" hidden="1" customWidth="1"/>
    <col min="15" max="16" width="10.33203125" style="122" hidden="1" customWidth="1"/>
    <col min="17" max="22" width="10.33203125" style="68" hidden="1" customWidth="1"/>
    <col min="23" max="99" width="10" style="68" hidden="1" customWidth="1"/>
    <col min="100" max="100" width="0.6640625" style="68" hidden="1" customWidth="1"/>
    <col min="101" max="101" width="29.6640625" style="68" customWidth="1"/>
    <col min="102" max="102" width="6.6640625" style="91" customWidth="1"/>
    <col min="103" max="103" width="6.6640625" style="97" customWidth="1"/>
    <col min="104" max="199" width="6.6640625" style="68" customWidth="1"/>
    <col min="200" max="16384" width="10.83203125" style="68"/>
  </cols>
  <sheetData>
    <row r="1" spans="1:103" ht="22" thickBot="1">
      <c r="A1" s="394" t="s">
        <v>141</v>
      </c>
      <c r="B1" s="585" t="s">
        <v>143</v>
      </c>
      <c r="C1" s="586" t="s">
        <v>638</v>
      </c>
      <c r="D1" s="736"/>
      <c r="O1" s="587"/>
      <c r="P1" s="587"/>
      <c r="BD1" s="366"/>
      <c r="CW1" s="736" t="s">
        <v>1036</v>
      </c>
      <c r="CX1" s="588"/>
    </row>
    <row r="2" spans="1:103" ht="20" thickBot="1">
      <c r="A2" s="394"/>
      <c r="B2" s="388" t="s">
        <v>0</v>
      </c>
      <c r="C2" s="648" t="s">
        <v>1115</v>
      </c>
      <c r="D2" s="649" t="s">
        <v>1039</v>
      </c>
      <c r="E2" s="649" t="s">
        <v>1040</v>
      </c>
      <c r="F2" s="649" t="s">
        <v>1041</v>
      </c>
      <c r="G2" s="649" t="s">
        <v>1042</v>
      </c>
      <c r="H2" s="649" t="s">
        <v>1043</v>
      </c>
      <c r="I2" s="649" t="s">
        <v>1044</v>
      </c>
      <c r="J2" s="649" t="s">
        <v>1045</v>
      </c>
      <c r="K2" s="649" t="s">
        <v>1046</v>
      </c>
      <c r="L2" s="649" t="s">
        <v>1047</v>
      </c>
      <c r="M2" s="650" t="s">
        <v>1048</v>
      </c>
      <c r="O2" s="123"/>
      <c r="P2" s="123"/>
      <c r="AF2" s="362"/>
      <c r="AG2" s="362"/>
      <c r="AH2" s="362"/>
      <c r="AI2" s="362"/>
      <c r="BD2" s="366"/>
    </row>
    <row r="3" spans="1:103" ht="19">
      <c r="A3" s="121"/>
      <c r="B3" s="173" t="s">
        <v>121</v>
      </c>
      <c r="C3" s="626" t="s">
        <v>941</v>
      </c>
      <c r="D3" s="449">
        <v>-0.85</v>
      </c>
      <c r="E3" s="482"/>
      <c r="F3" s="482"/>
      <c r="G3" s="482"/>
      <c r="H3" s="482"/>
      <c r="I3" s="482"/>
      <c r="J3" s="482"/>
      <c r="K3" s="482"/>
      <c r="L3" s="482"/>
      <c r="M3" s="589"/>
      <c r="O3" s="121"/>
      <c r="P3" s="121"/>
      <c r="AF3" s="363"/>
      <c r="AG3" s="363"/>
      <c r="AH3" s="364"/>
      <c r="AI3" s="365"/>
      <c r="BD3" s="366"/>
      <c r="CW3" s="684" t="s">
        <v>1025</v>
      </c>
      <c r="CY3" s="91"/>
    </row>
    <row r="4" spans="1:103" ht="19">
      <c r="A4" s="121"/>
      <c r="B4" s="173" t="s">
        <v>120</v>
      </c>
      <c r="C4" s="626" t="s">
        <v>942</v>
      </c>
      <c r="D4" s="449">
        <v>-1.1499999999999999</v>
      </c>
      <c r="E4" s="482"/>
      <c r="F4" s="482"/>
      <c r="G4" s="482"/>
      <c r="H4" s="482"/>
      <c r="I4" s="482"/>
      <c r="J4" s="482"/>
      <c r="K4" s="482"/>
      <c r="L4" s="482"/>
      <c r="M4" s="589"/>
      <c r="O4" s="121"/>
      <c r="P4" s="121"/>
      <c r="AF4" s="363"/>
      <c r="AG4" s="363"/>
      <c r="AH4" s="364"/>
      <c r="AI4" s="365"/>
      <c r="BD4" s="366"/>
      <c r="CW4" s="685"/>
      <c r="CX4" s="134"/>
      <c r="CY4" s="134"/>
    </row>
    <row r="5" spans="1:103" ht="20" thickBot="1">
      <c r="A5" s="395"/>
      <c r="B5" s="173" t="s">
        <v>122</v>
      </c>
      <c r="C5" s="626" t="s">
        <v>1171</v>
      </c>
      <c r="D5" s="449">
        <v>-0.55000000000000004</v>
      </c>
      <c r="E5" s="482"/>
      <c r="F5" s="482"/>
      <c r="G5" s="482"/>
      <c r="H5" s="482"/>
      <c r="I5" s="482"/>
      <c r="J5" s="482"/>
      <c r="K5" s="482"/>
      <c r="L5" s="482"/>
      <c r="M5" s="589"/>
      <c r="O5" s="121"/>
      <c r="P5" s="121"/>
      <c r="AF5" s="363"/>
      <c r="AG5" s="363"/>
      <c r="AH5" s="364"/>
      <c r="AI5" s="365"/>
      <c r="BD5" s="366"/>
      <c r="CW5" s="685"/>
      <c r="CX5" s="134"/>
      <c r="CY5" s="134"/>
    </row>
    <row r="6" spans="1:103" s="120" customFormat="1" ht="26" thickBot="1">
      <c r="A6" s="119"/>
      <c r="B6" s="99"/>
      <c r="C6" s="626" t="s">
        <v>949</v>
      </c>
      <c r="D6" s="449">
        <v>1</v>
      </c>
      <c r="E6" s="482"/>
      <c r="F6" s="482"/>
      <c r="G6" s="482"/>
      <c r="H6" s="482"/>
      <c r="I6" s="482"/>
      <c r="J6" s="482"/>
      <c r="K6" s="482"/>
      <c r="L6" s="482"/>
      <c r="M6" s="589"/>
      <c r="O6" s="118"/>
      <c r="P6" s="539"/>
      <c r="AE6" s="540"/>
      <c r="AF6"/>
      <c r="AG6"/>
      <c r="AH6"/>
      <c r="CW6" s="684" t="s">
        <v>1025</v>
      </c>
      <c r="CX6" s="134"/>
      <c r="CY6" s="134"/>
    </row>
    <row r="7" spans="1:103" s="120" customFormat="1" ht="31" customHeight="1" thickBot="1">
      <c r="A7" s="119"/>
      <c r="B7" s="173" t="s">
        <v>2</v>
      </c>
      <c r="C7" s="627" t="s">
        <v>1170</v>
      </c>
      <c r="D7" s="590">
        <v>2115</v>
      </c>
      <c r="E7" s="482"/>
      <c r="F7" s="482"/>
      <c r="G7" s="482"/>
      <c r="H7" s="482"/>
      <c r="I7" s="482"/>
      <c r="J7" s="482"/>
      <c r="K7" s="482"/>
      <c r="L7" s="482"/>
      <c r="M7" s="589"/>
      <c r="O7" s="118"/>
      <c r="P7" s="539"/>
      <c r="AE7" s="540"/>
      <c r="AF7"/>
      <c r="AG7"/>
      <c r="AH7"/>
      <c r="CW7" s="683" t="s">
        <v>1095</v>
      </c>
      <c r="CX7" s="134"/>
      <c r="CY7" s="134"/>
    </row>
    <row r="8" spans="1:103" ht="31" thickBot="1">
      <c r="A8" s="68"/>
      <c r="B8" s="173" t="s">
        <v>1083</v>
      </c>
      <c r="C8" s="628" t="str">
        <f>"Сумма дистанций между точками дренажа УКЗ: "&amp;SUM(pipeLengthCP)</f>
        <v>Сумма дистанций между точками дренажа УКЗ: 2115</v>
      </c>
      <c r="D8" s="449">
        <v>2115</v>
      </c>
      <c r="E8" s="449"/>
      <c r="F8" s="449"/>
      <c r="G8" s="449"/>
      <c r="H8" s="449"/>
      <c r="I8" s="449"/>
      <c r="J8" s="449"/>
      <c r="K8" s="449"/>
      <c r="L8" s="449"/>
      <c r="M8" s="591"/>
      <c r="O8" s="121"/>
      <c r="P8" s="121"/>
      <c r="AF8" s="363"/>
      <c r="AG8" s="363"/>
      <c r="AH8" s="364"/>
      <c r="AI8" s="365"/>
      <c r="BD8" s="366"/>
      <c r="CW8" s="686" t="s">
        <v>1178</v>
      </c>
      <c r="CX8" s="134"/>
      <c r="CY8" s="134"/>
    </row>
    <row r="9" spans="1:103" ht="19">
      <c r="A9" s="119" t="s">
        <v>131</v>
      </c>
      <c r="B9" s="389"/>
      <c r="C9" s="626" t="s">
        <v>956</v>
      </c>
      <c r="D9" s="449">
        <v>1</v>
      </c>
      <c r="E9" s="449">
        <v>1</v>
      </c>
      <c r="F9" s="449">
        <v>1</v>
      </c>
      <c r="G9" s="449">
        <v>1</v>
      </c>
      <c r="H9" s="449">
        <v>1</v>
      </c>
      <c r="I9" s="449">
        <v>1</v>
      </c>
      <c r="J9" s="449">
        <v>1</v>
      </c>
      <c r="K9" s="449">
        <v>1</v>
      </c>
      <c r="L9" s="449">
        <v>1</v>
      </c>
      <c r="M9" s="535">
        <v>1</v>
      </c>
      <c r="N9" s="594"/>
      <c r="O9" s="595"/>
      <c r="P9" s="596"/>
      <c r="Q9" s="597"/>
      <c r="R9" s="597"/>
      <c r="S9" s="597"/>
      <c r="T9" s="597"/>
      <c r="U9" s="597"/>
      <c r="V9" s="597"/>
      <c r="W9" s="597"/>
      <c r="X9" s="597"/>
      <c r="Y9" s="597"/>
      <c r="Z9" s="597"/>
      <c r="AA9" s="597"/>
      <c r="AB9" s="597"/>
      <c r="AC9" s="597"/>
      <c r="AD9" s="597"/>
      <c r="AE9" s="598"/>
      <c r="AF9" s="598"/>
      <c r="AG9" s="599"/>
      <c r="AH9" s="600"/>
      <c r="AI9" s="597"/>
      <c r="AJ9" s="597"/>
      <c r="AK9" s="597"/>
      <c r="AL9" s="597"/>
      <c r="AM9" s="597"/>
      <c r="AN9" s="597"/>
      <c r="AO9" s="597"/>
      <c r="AP9" s="597"/>
      <c r="AQ9" s="597"/>
      <c r="AR9" s="597"/>
      <c r="AS9" s="597"/>
      <c r="AT9" s="597"/>
      <c r="AU9" s="597"/>
      <c r="AV9" s="597"/>
      <c r="AW9" s="597"/>
      <c r="AX9" s="597"/>
      <c r="AY9" s="597"/>
      <c r="AZ9" s="597"/>
      <c r="BA9" s="597"/>
      <c r="BB9" s="597"/>
      <c r="BC9" s="597"/>
      <c r="BD9" s="597"/>
      <c r="BE9" s="597"/>
      <c r="BF9" s="597"/>
      <c r="BG9" s="597"/>
      <c r="BH9" s="597"/>
      <c r="BI9" s="597"/>
      <c r="BJ9" s="597"/>
      <c r="BK9" s="597"/>
      <c r="BL9" s="597"/>
      <c r="BM9" s="597"/>
      <c r="BN9" s="597"/>
      <c r="BO9" s="597"/>
      <c r="BP9" s="597"/>
      <c r="BQ9" s="597"/>
      <c r="BR9" s="597"/>
      <c r="BS9" s="597"/>
      <c r="BT9" s="597"/>
      <c r="BU9" s="597"/>
      <c r="BV9" s="597"/>
      <c r="BW9" s="597"/>
      <c r="BX9" s="597"/>
      <c r="BY9" s="597"/>
      <c r="BZ9" s="597"/>
      <c r="CA9" s="597"/>
      <c r="CB9" s="597"/>
      <c r="CC9" s="597"/>
      <c r="CD9" s="597"/>
      <c r="CE9" s="597"/>
      <c r="CF9" s="597"/>
      <c r="CG9" s="597"/>
      <c r="CH9" s="597"/>
      <c r="CI9" s="597"/>
      <c r="CJ9" s="597"/>
      <c r="CK9" s="597"/>
      <c r="CL9" s="597"/>
      <c r="CM9" s="597"/>
      <c r="CN9" s="597"/>
      <c r="CO9" s="597"/>
      <c r="CP9" s="597"/>
      <c r="CQ9" s="597"/>
      <c r="CR9" s="597"/>
      <c r="CS9" s="597"/>
      <c r="CT9" s="597"/>
      <c r="CU9" s="597"/>
      <c r="CV9" s="597"/>
      <c r="CW9" s="687" t="s">
        <v>1025</v>
      </c>
      <c r="CX9" s="134"/>
      <c r="CY9" s="134"/>
    </row>
    <row r="10" spans="1:103" ht="19">
      <c r="A10" s="395"/>
      <c r="B10" s="173" t="s">
        <v>124</v>
      </c>
      <c r="C10" s="626" t="s">
        <v>1167</v>
      </c>
      <c r="D10" s="449">
        <v>1.7999999999999999E-8</v>
      </c>
      <c r="E10" s="449">
        <v>1.7999999999999999E-8</v>
      </c>
      <c r="F10" s="449">
        <v>1.7999999999999999E-8</v>
      </c>
      <c r="G10" s="449">
        <v>1.7999999999999999E-8</v>
      </c>
      <c r="H10" s="449">
        <v>1.7999999999999999E-8</v>
      </c>
      <c r="I10" s="449">
        <v>1.7999999999999999E-8</v>
      </c>
      <c r="J10" s="449">
        <v>1.7999999999999999E-8</v>
      </c>
      <c r="K10" s="449">
        <v>1.7999999999999999E-8</v>
      </c>
      <c r="L10" s="449">
        <v>1.7999999999999999E-8</v>
      </c>
      <c r="M10" s="449">
        <v>1.7999999999999999E-8</v>
      </c>
      <c r="O10" s="121"/>
      <c r="P10" s="121"/>
      <c r="AF10" s="363"/>
      <c r="AG10" s="363"/>
      <c r="AH10" s="364"/>
      <c r="AI10" s="365"/>
      <c r="BD10" s="366"/>
      <c r="CW10" s="687" t="s">
        <v>1025</v>
      </c>
      <c r="CX10" s="134"/>
      <c r="CY10" s="134"/>
    </row>
    <row r="11" spans="1:103">
      <c r="A11" s="395"/>
      <c r="B11" s="173" t="s">
        <v>15</v>
      </c>
      <c r="C11" s="626" t="s">
        <v>1168</v>
      </c>
      <c r="D11" s="449">
        <v>1.5999999999999999E-5</v>
      </c>
      <c r="E11" s="449">
        <v>1.5999999999999999E-5</v>
      </c>
      <c r="F11" s="449">
        <v>1.5999999999999999E-5</v>
      </c>
      <c r="G11" s="449">
        <v>1.5999999999999999E-5</v>
      </c>
      <c r="H11" s="449">
        <v>1.5999999999999999E-5</v>
      </c>
      <c r="I11" s="449">
        <v>1.5999999999999999E-5</v>
      </c>
      <c r="J11" s="449">
        <v>1.5999999999999999E-5</v>
      </c>
      <c r="K11" s="449">
        <v>1.5999999999999999E-5</v>
      </c>
      <c r="L11" s="449">
        <v>1.5999999999999999E-5</v>
      </c>
      <c r="M11" s="591">
        <v>1.5999999999999999E-5</v>
      </c>
      <c r="N11" s="119"/>
      <c r="O11" s="119"/>
      <c r="P11" s="119"/>
      <c r="Q11" s="119"/>
      <c r="R11" s="119"/>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682">
        <v>1.5999999999999999E-5</v>
      </c>
      <c r="CW11" s="687" t="s">
        <v>1025</v>
      </c>
      <c r="CX11" s="134"/>
      <c r="CY11" s="134"/>
    </row>
    <row r="12" spans="1:103">
      <c r="A12" s="395"/>
      <c r="B12" s="173" t="s">
        <v>3</v>
      </c>
      <c r="C12" s="626" t="s">
        <v>943</v>
      </c>
      <c r="D12" s="449">
        <v>105</v>
      </c>
      <c r="E12" s="449">
        <v>90</v>
      </c>
      <c r="F12" s="449">
        <v>90</v>
      </c>
      <c r="G12" s="449">
        <v>90</v>
      </c>
      <c r="H12" s="449">
        <v>90</v>
      </c>
      <c r="I12" s="449">
        <v>90</v>
      </c>
      <c r="J12" s="449">
        <v>90</v>
      </c>
      <c r="K12" s="449">
        <v>90</v>
      </c>
      <c r="L12" s="449">
        <v>90</v>
      </c>
      <c r="M12" s="591">
        <v>90</v>
      </c>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682">
        <v>50</v>
      </c>
      <c r="CW12" s="687" t="s">
        <v>1025</v>
      </c>
      <c r="CX12" s="134"/>
      <c r="CY12" s="134"/>
    </row>
    <row r="13" spans="1:103" ht="17" thickBot="1">
      <c r="A13" s="395"/>
      <c r="B13" s="173" t="s">
        <v>14</v>
      </c>
      <c r="C13" s="629" t="s">
        <v>944</v>
      </c>
      <c r="D13" s="592">
        <v>100</v>
      </c>
      <c r="E13" s="592">
        <v>90</v>
      </c>
      <c r="F13" s="592">
        <v>90</v>
      </c>
      <c r="G13" s="592">
        <v>90</v>
      </c>
      <c r="H13" s="592">
        <v>90</v>
      </c>
      <c r="I13" s="592">
        <v>90</v>
      </c>
      <c r="J13" s="592">
        <v>90</v>
      </c>
      <c r="K13" s="592">
        <v>90</v>
      </c>
      <c r="L13" s="592">
        <v>90</v>
      </c>
      <c r="M13" s="593">
        <v>90</v>
      </c>
      <c r="N13" s="119"/>
      <c r="O13" s="119"/>
      <c r="P13" s="119"/>
      <c r="Q13" s="119"/>
      <c r="R13" s="11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c r="CM13" s="119"/>
      <c r="CN13" s="119"/>
      <c r="CO13" s="119"/>
      <c r="CP13" s="119"/>
      <c r="CQ13" s="119"/>
      <c r="CR13" s="119"/>
      <c r="CS13" s="119"/>
      <c r="CT13" s="119"/>
      <c r="CU13" s="119"/>
      <c r="CV13" s="682">
        <v>50</v>
      </c>
      <c r="CW13" s="687" t="s">
        <v>1025</v>
      </c>
      <c r="CX13" s="134"/>
      <c r="CY13" s="134"/>
    </row>
    <row r="14" spans="1:103" ht="19" customHeight="1" thickBot="1">
      <c r="A14" s="395"/>
      <c r="B14" s="387"/>
      <c r="C14" s="128"/>
      <c r="N14" s="549"/>
      <c r="O14" s="539"/>
      <c r="P14" s="539"/>
      <c r="AF14" s="363"/>
      <c r="AG14" s="363"/>
      <c r="AH14" s="364"/>
      <c r="AI14" s="365"/>
      <c r="CW14" s="698" t="s">
        <v>1024</v>
      </c>
      <c r="CX14" s="134"/>
      <c r="CY14" s="134"/>
    </row>
    <row r="15" spans="1:103" ht="20" thickBot="1">
      <c r="A15" s="395"/>
      <c r="B15" s="388" t="s">
        <v>0</v>
      </c>
      <c r="C15" s="648" t="s">
        <v>127</v>
      </c>
      <c r="D15" s="649" t="s">
        <v>1039</v>
      </c>
      <c r="E15" s="649" t="s">
        <v>1040</v>
      </c>
      <c r="F15" s="649" t="s">
        <v>1041</v>
      </c>
      <c r="G15" s="649" t="s">
        <v>1042</v>
      </c>
      <c r="H15" s="649" t="s">
        <v>1043</v>
      </c>
      <c r="I15" s="649" t="s">
        <v>1044</v>
      </c>
      <c r="J15" s="649" t="s">
        <v>1045</v>
      </c>
      <c r="K15" s="649" t="s">
        <v>1046</v>
      </c>
      <c r="L15" s="649" t="s">
        <v>1047</v>
      </c>
      <c r="M15" s="650" t="s">
        <v>1048</v>
      </c>
      <c r="O15" s="123"/>
      <c r="P15" s="123"/>
      <c r="AF15" s="363"/>
      <c r="AG15" s="363"/>
      <c r="AH15" s="364"/>
      <c r="AI15" s="365"/>
      <c r="CW15" s="689"/>
      <c r="CX15" s="134"/>
      <c r="CY15" s="134"/>
    </row>
    <row r="16" spans="1:103" ht="17" thickBot="1">
      <c r="A16" s="396"/>
      <c r="B16" s="387" t="s">
        <v>909</v>
      </c>
      <c r="C16" s="584" t="s">
        <v>946</v>
      </c>
      <c r="D16" s="646">
        <f>ABS(minProtectPotential)-ABS(naturalPotential)</f>
        <v>0.29999999999999993</v>
      </c>
      <c r="O16" s="539"/>
      <c r="P16" s="539"/>
      <c r="CW16" s="690" t="s">
        <v>1182</v>
      </c>
      <c r="CX16" s="134"/>
      <c r="CY16" s="134"/>
    </row>
    <row r="17" spans="1:103" ht="17" thickBot="1">
      <c r="A17" s="397"/>
      <c r="B17" s="387" t="s">
        <v>910</v>
      </c>
      <c r="C17" s="131" t="s">
        <v>947</v>
      </c>
      <c r="D17" s="124" cm="1">
        <f t="array" ref="D17">ABS(maxProtectPotential)-ABS(naturalPotential)</f>
        <v>0.59999999999999987</v>
      </c>
      <c r="O17" s="539"/>
      <c r="P17" s="539"/>
      <c r="CW17" s="690" t="s">
        <v>1182</v>
      </c>
      <c r="CX17" s="134"/>
      <c r="CY17" s="728"/>
    </row>
    <row r="18" spans="1:103" ht="27" customHeight="1">
      <c r="A18" s="119" t="s">
        <v>125</v>
      </c>
      <c r="B18" s="387" t="s">
        <v>912</v>
      </c>
      <c r="C18" s="125" t="s">
        <v>950</v>
      </c>
      <c r="D18" s="124">
        <f ca="1">(2/MAX('Pipe calculation'!factorPropagationCurrentAlongPipeEndLife))*LN((pipeShiftPotentialPoint/(factorMutualInfluence*pipeShiftPotentialMin)))</f>
        <v>5388.4885818572993</v>
      </c>
      <c r="E18" s="119">
        <f ca="1">MAX('Pipe calculation'!factorPropagationCurrentAlongPipeEndLife)</f>
        <v>2.5726961096056807E-4</v>
      </c>
      <c r="O18" s="539"/>
      <c r="P18" s="539"/>
      <c r="AE18" s="541"/>
      <c r="AF18" s="541"/>
      <c r="AG18" s="541"/>
      <c r="AH18" s="541"/>
      <c r="CW18" s="690" t="s">
        <v>1182</v>
      </c>
      <c r="CX18" s="134"/>
      <c r="CY18" s="134"/>
    </row>
    <row r="19" spans="1:103" ht="18" customHeight="1" thickBot="1">
      <c r="A19" s="119" t="s">
        <v>126</v>
      </c>
      <c r="B19" s="387" t="s">
        <v>911</v>
      </c>
      <c r="C19" s="626" t="s">
        <v>948</v>
      </c>
      <c r="D19" s="697">
        <v>1</v>
      </c>
      <c r="E19"/>
      <c r="F19" s="387"/>
      <c r="G19" s="387"/>
      <c r="H19" s="387"/>
      <c r="I19" s="387"/>
      <c r="J19" s="387"/>
      <c r="K19" s="387"/>
      <c r="L19" s="387"/>
      <c r="M19" s="387"/>
      <c r="O19" s="539"/>
      <c r="P19" s="539"/>
      <c r="CW19" s="687" t="s">
        <v>1181</v>
      </c>
      <c r="CX19" s="405"/>
      <c r="CY19" s="405"/>
    </row>
    <row r="20" spans="1:103" ht="20" thickBot="1">
      <c r="A20" s="119" t="s">
        <v>128</v>
      </c>
      <c r="B20" s="387" t="s">
        <v>920</v>
      </c>
      <c r="C20" s="125" t="s">
        <v>951</v>
      </c>
      <c r="D20" s="124">
        <f>((2*pipeShiftPotentialPoint/'Pipe calculation'!pipeInputResistance)*INDEX(factorCurrent,1,1))*INDEX(pipeLengthCP,1,1)/pipeLength</f>
        <v>3.4078077910622615</v>
      </c>
      <c r="E20" s="124">
        <f>((2*pipeShiftPotentialPoint/'Pipe calculation'!pipeInputResistance)*INDEX(factorCurrent,1,2))*INDEX(pipeLengthCP,1,2)/pipeLength</f>
        <v>0</v>
      </c>
      <c r="F20" s="124">
        <f>(2*pipeShiftPotentialPoint/'Pipe calculation'!pipeInputResistance)*INDEX(factorCurrent,1,3)*INDEX(pipeLengthCP,1,3)/pipeLength</f>
        <v>0</v>
      </c>
      <c r="G20" s="124">
        <f>(2*pipeShiftPotentialPoint/'Pipe calculation'!pipeInputResistance)*INDEX(factorCurrent,1,4)*INDEX(pipeLengthCP,1,4)/pipeLength</f>
        <v>0</v>
      </c>
      <c r="H20" s="124">
        <f>(2*pipeShiftPotentialPoint/'Pipe calculation'!pipeInputResistance)*INDEX(factorCurrent,1,5)*INDEX(pipeLengthCP,1,5)/pipeLength</f>
        <v>0</v>
      </c>
      <c r="I20" s="124">
        <f>(2*pipeShiftPotentialPoint/'Pipe calculation'!pipeInputResistance)*INDEX(factorCurrent,1,6)*INDEX(pipeLengthCP,1,6)/pipeLength</f>
        <v>0</v>
      </c>
      <c r="J20" s="124">
        <f>(2*pipeShiftPotentialPoint/'Pipe calculation'!pipeInputResistance)*INDEX(factorCurrent,1,7)*INDEX(pipeLengthCP,1,7)/pipeLength</f>
        <v>0</v>
      </c>
      <c r="K20" s="124">
        <f>(2*pipeShiftPotentialPoint/'Pipe calculation'!pipeInputResistance)*INDEX(factorCurrent,1,8)*INDEX(pipeLengthCP,1,8)/pipeLength</f>
        <v>0</v>
      </c>
      <c r="L20" s="124">
        <f>(2*pipeShiftPotentialPoint/'Pipe calculation'!pipeInputResistance)*INDEX(factorCurrent,1,9)*INDEX(pipeLengthCP,1,9)/pipeLength</f>
        <v>0</v>
      </c>
      <c r="M20" s="124">
        <f>(2*pipeShiftPotentialPoint/'Pipe calculation'!pipeInputResistance)*INDEX(factorCurrent,1,10)*INDEX(pipeLengthCP,1,10)/pipeLength</f>
        <v>0</v>
      </c>
      <c r="N20" s="549"/>
      <c r="O20" s="539"/>
      <c r="P20" s="539"/>
      <c r="AE20" s="542"/>
      <c r="AF20" s="542"/>
      <c r="AG20" s="543"/>
      <c r="AH20" s="366"/>
      <c r="CW20" s="690" t="s">
        <v>1182</v>
      </c>
      <c r="CX20" s="134"/>
      <c r="CY20" s="134"/>
    </row>
    <row r="21" spans="1:103" ht="20" thickBot="1">
      <c r="A21" s="119" t="s">
        <v>128</v>
      </c>
      <c r="B21" s="387" t="s">
        <v>920</v>
      </c>
      <c r="C21" s="125" t="s">
        <v>952</v>
      </c>
      <c r="D21" s="124">
        <f>(2*pipeShiftPotentialPoint/'Pipe calculation'!pipeInputResistanceEndLife)*INDEX(factorCurrent,1,1)*INDEX(pipeLengthCP,1,1)/pipeLength</f>
        <v>7.5769680787086635</v>
      </c>
      <c r="E21" s="647">
        <f>(2*pipeShiftPotentialPoint/'Pipe calculation'!pipeInputResistanceEndLife)*INDEX(factorCurrent,1,2)*INDEX(pipeLengthCP,1,2)/pipeLength</f>
        <v>0</v>
      </c>
      <c r="F21" s="124">
        <f>(2*pipeShiftPotentialPoint/'Pipe calculation'!pipeInputResistanceEndLife)*INDEX(factorCurrent,1,3)*INDEX(pipeLengthCP,1,3)/pipeLength</f>
        <v>0</v>
      </c>
      <c r="G21" s="124">
        <f>(2*pipeShiftPotentialPoint/'Pipe calculation'!pipeInputResistanceEndLife)*INDEX(factorCurrent,1,4)*INDEX(pipeLengthCP,1,4)/pipeLength</f>
        <v>0</v>
      </c>
      <c r="H21" s="124">
        <f>(2*pipeShiftPotentialPoint/'Pipe calculation'!pipeInputResistanceEndLife)*INDEX(factorCurrent,1,5)*INDEX(pipeLengthCP,1,5)/pipeLength</f>
        <v>0</v>
      </c>
      <c r="I21" s="124">
        <f>(2*pipeShiftPotentialPoint/'Pipe calculation'!pipeInputResistanceEndLife)*INDEX(factorCurrent,1,6)*INDEX(pipeLengthCP,1,6)/pipeLength</f>
        <v>0</v>
      </c>
      <c r="J21" s="124">
        <f>(2*pipeShiftPotentialPoint/'Pipe calculation'!pipeInputResistanceEndLife)*INDEX(factorCurrent,1,7)*INDEX(pipeLengthCP,1,7)/pipeLength</f>
        <v>0</v>
      </c>
      <c r="K21" s="124">
        <f>(2*pipeShiftPotentialPoint/'Pipe calculation'!pipeInputResistanceEndLife)*INDEX(factorCurrent,1,8)*INDEX(pipeLengthCP,1,8)/pipeLength</f>
        <v>0</v>
      </c>
      <c r="L21" s="124">
        <f>(2*pipeShiftPotentialPoint/'Pipe calculation'!pipeInputResistanceEndLife)*INDEX(factorCurrent,1,9)*INDEX(pipeLengthCP,1,9)/pipeLength</f>
        <v>0</v>
      </c>
      <c r="M21" s="537">
        <f>(2*pipeShiftPotentialPoint/'Pipe calculation'!pipeInputResistanceEndLife)*INDEX(factorCurrent,1,10)*INDEX(pipeLengthCP,1,10)/pipeLength</f>
        <v>0</v>
      </c>
      <c r="N21" s="549">
        <v>5</v>
      </c>
      <c r="O21" s="539"/>
      <c r="P21" s="539"/>
      <c r="AE21" s="542"/>
      <c r="AF21" s="542"/>
      <c r="AG21" s="543"/>
      <c r="AH21" s="366"/>
      <c r="CW21" s="690" t="s">
        <v>1182</v>
      </c>
      <c r="CX21" s="134"/>
      <c r="CY21" s="728"/>
    </row>
    <row r="22" spans="1:103" ht="20" thickBot="1">
      <c r="A22" s="119" t="s">
        <v>129</v>
      </c>
      <c r="B22" s="387" t="s">
        <v>913</v>
      </c>
      <c r="C22" s="125" t="s">
        <v>953</v>
      </c>
      <c r="D22" s="124">
        <f>INDEX(currentEndLifeCP,1,1)*('Pipe calculation'!pipeInputResistanceEndLife+INDEX(wiresResistanceCPpipeAG,1,1)+INDEX(resistanceEndLifeAG,1,1))</f>
        <v>16.799999999999997</v>
      </c>
      <c r="E22" s="647" t="e">
        <f>INDEX(currentEndLifeCP,1,2)*('Pipe calculation'!pipeInputResistanceEndLife+INDEX(wiresResistanceCPpipeAG,1,2)+INDEX(resistanceEndLifeAG,1,2))</f>
        <v>#VALUE!</v>
      </c>
      <c r="F22" s="124" t="e">
        <f>INDEX(currentEndLifeCP,1,3)*('Pipe calculation'!pipeInputResistanceEndLife+INDEX(wiresResistanceCPpipeAG,1,3)+INDEX(resistanceEndLifeAG,1,3))</f>
        <v>#VALUE!</v>
      </c>
      <c r="G22" s="124" t="e">
        <f>INDEX(currentEndLifeCP,1,4)*('Pipe calculation'!pipeInputResistanceEndLife+INDEX(wiresResistanceCPpipeAG,1,4)+INDEX(resistanceEndLifeAG,1,4))</f>
        <v>#VALUE!</v>
      </c>
      <c r="H22" s="124" t="e">
        <f>INDEX(currentEndLifeCP,1,5)*('Pipe calculation'!pipeInputResistanceEndLife+INDEX(wiresResistanceCPpipeAG,1,5)+INDEX(resistanceEndLifeAG,1,5))</f>
        <v>#VALUE!</v>
      </c>
      <c r="I22" s="124" t="e">
        <f>INDEX(currentEndLifeCP,1,6)*('Pipe calculation'!pipeInputResistanceEndLife+INDEX(wiresResistanceCPpipeAG,1,6)+INDEX(resistanceEndLifeAG,1,6))</f>
        <v>#VALUE!</v>
      </c>
      <c r="J22" s="124" t="e">
        <f>INDEX(currentEndLifeCP,1,7)*('Pipe calculation'!pipeInputResistanceEndLife+INDEX(wiresResistanceCPpipeAG,1,7)+INDEX(resistanceEndLifeAG,1,7))</f>
        <v>#VALUE!</v>
      </c>
      <c r="K22" s="124" t="e">
        <f>INDEX(currentEndLifeCP,1,8)*('Pipe calculation'!pipeInputResistanceEndLife+INDEX(wiresResistanceCPpipeAG,1,8)+INDEX(resistanceEndLifeAG,1,8))</f>
        <v>#VALUE!</v>
      </c>
      <c r="L22" s="124" t="e">
        <f>INDEX(currentEndLifeCP,1,9)*('Pipe calculation'!pipeInputResistanceEndLife+INDEX(wiresResistanceCPpipeAG,1,9)+INDEX(resistanceEndLifeAG,1,9))</f>
        <v>#VALUE!</v>
      </c>
      <c r="M22" s="537" t="e">
        <f>INDEX(currentEndLifeCP,1,10)*('Pipe calculation'!pipeInputResistanceEndLife+INDEX(wiresResistanceCPpipeAG,1,10)+INDEX(resistanceEndLifeAG,1,10))</f>
        <v>#VALUE!</v>
      </c>
      <c r="N22" s="549"/>
      <c r="O22" s="539"/>
      <c r="P22" s="539"/>
      <c r="AE22" s="542"/>
      <c r="AF22" s="542"/>
      <c r="AG22" s="543"/>
      <c r="AH22" s="366"/>
      <c r="CW22" s="690" t="s">
        <v>1182</v>
      </c>
      <c r="CX22" s="134"/>
      <c r="CY22" s="134"/>
    </row>
    <row r="23" spans="1:103" ht="20" thickBot="1">
      <c r="A23" s="119" t="s">
        <v>123</v>
      </c>
      <c r="B23" s="387" t="s">
        <v>914</v>
      </c>
      <c r="C23" s="132" t="s">
        <v>954</v>
      </c>
      <c r="D23" s="124">
        <f>INDEX(wireResistivity,1,1)*(INDEX(lengthWireCPtoPipe,1,1)+INDEX(lengthWireAGtoPipe,1,1))/INDEX(drainWireCrossSection,1,1)</f>
        <v>0.230625</v>
      </c>
      <c r="E23" s="124">
        <f>INDEX(wireResistivity,1,2)*(INDEX(lengthWireCPtoPipe,1,2)+INDEX(lengthWireAGtoPipe,1,2))/INDEX(drainWireCrossSection,1,2)</f>
        <v>0.20250000000000001</v>
      </c>
      <c r="F23" s="124">
        <f>INDEX(wireResistivity,1,3)*(INDEX(lengthWireCPtoPipe,1,3)+INDEX(lengthWireAGtoPipe,1,3))/INDEX(drainWireCrossSection,1,3)</f>
        <v>0.20250000000000001</v>
      </c>
      <c r="G23" s="124">
        <f>INDEX(wireResistivity,1,4)*(INDEX(lengthWireCPtoPipe,1,4)+INDEX(lengthWireAGtoPipe,1,4))/INDEX(drainWireCrossSection,1,4)</f>
        <v>0.20250000000000001</v>
      </c>
      <c r="H23" s="124">
        <f>INDEX(wireResistivity,1,5)*(INDEX(lengthWireCPtoPipe,1,5)+INDEX(lengthWireAGtoPipe,1,5))/INDEX(drainWireCrossSection,1,5)</f>
        <v>0.20250000000000001</v>
      </c>
      <c r="I23" s="124">
        <f>INDEX(wireResistivity,1,6)*(INDEX(lengthWireCPtoPipe,1,6)+INDEX(lengthWireAGtoPipe,1,6))/INDEX(drainWireCrossSection,1,6)</f>
        <v>0.20250000000000001</v>
      </c>
      <c r="J23" s="124">
        <f>INDEX(wireResistivity,1,7)*(INDEX(lengthWireCPtoPipe,1,7)+INDEX(lengthWireAGtoPipe,1,7))/INDEX(drainWireCrossSection,1,7)</f>
        <v>0.20250000000000001</v>
      </c>
      <c r="K23" s="124">
        <f>INDEX(wireResistivity,1,8)*(INDEX(lengthWireCPtoPipe,1,8)+INDEX(lengthWireAGtoPipe,1,8))/INDEX(drainWireCrossSection,1,8)</f>
        <v>0.20250000000000001</v>
      </c>
      <c r="L23" s="124">
        <f>INDEX(wireResistivity,1,9)*(INDEX(lengthWireCPtoPipe,1,9)+INDEX(lengthWireAGtoPipe,1,9))/INDEX(drainWireCrossSection,1,9)</f>
        <v>0.20250000000000001</v>
      </c>
      <c r="M23" s="537">
        <f>INDEX(wireResistivity,1,10)*(INDEX(lengthWireCPtoPipe,1,10)+INDEX(lengthWireAGtoPipe,1,10))/INDEX(drainWireCrossSection,1,10)</f>
        <v>0.20250000000000001</v>
      </c>
      <c r="N23" s="549"/>
      <c r="O23" s="539"/>
      <c r="P23" s="539"/>
      <c r="AE23" s="542"/>
      <c r="AF23" s="542"/>
      <c r="AG23" s="543"/>
      <c r="AH23" s="366"/>
      <c r="CW23" s="690" t="s">
        <v>1182</v>
      </c>
      <c r="CX23" s="134"/>
      <c r="CY23" s="728"/>
    </row>
    <row r="24" spans="1:103" ht="20" thickBot="1">
      <c r="A24" s="121" t="s">
        <v>130</v>
      </c>
      <c r="B24" s="387" t="s">
        <v>915</v>
      </c>
      <c r="C24" s="125" t="s">
        <v>955</v>
      </c>
      <c r="D24" s="124">
        <f>INDEX(currentEndLifeCP,1,1)*INDEX(voltageEndLifeCP,1,1)</f>
        <v>127.29306372230552</v>
      </c>
      <c r="E24" s="124" t="e">
        <f>INDEX(currentEndLifeCP,1,2)*INDEX(voltageEndLifeCP,1,2)</f>
        <v>#VALUE!</v>
      </c>
      <c r="F24" s="124" t="e">
        <f>INDEX(currentEndLifeCP,1,3)*INDEX(voltageEndLifeCP,1,3)</f>
        <v>#VALUE!</v>
      </c>
      <c r="G24" s="124" t="e">
        <f>INDEX(currentEndLifeCP,1,4)*INDEX(voltageEndLifeCP,1,4)</f>
        <v>#VALUE!</v>
      </c>
      <c r="H24" s="124" t="e">
        <f>INDEX(currentEndLifeCP,1,5)*INDEX(voltageEndLifeCP,1,5)</f>
        <v>#VALUE!</v>
      </c>
      <c r="I24" s="124" t="e">
        <f>INDEX(currentEndLifeCP,1,6)*INDEX(voltageEndLifeCP,1,6)</f>
        <v>#VALUE!</v>
      </c>
      <c r="J24" s="124" t="e">
        <f>INDEX(currentEndLifeCP,1,7)*INDEX(voltageEndLifeCP,1,7)</f>
        <v>#VALUE!</v>
      </c>
      <c r="K24" s="124" t="e">
        <f>INDEX(currentEndLifeCP,1,8)*INDEX(voltageEndLifeCP,1,8)</f>
        <v>#VALUE!</v>
      </c>
      <c r="L24" s="124" t="e">
        <f>INDEX(currentEndLifeCP,1,9)*INDEX(voltageEndLifeCP,1,9)</f>
        <v>#VALUE!</v>
      </c>
      <c r="M24" s="537" t="e">
        <f>INDEX(currentEndLifeCP,1,10)*INDEX(voltageEndLifeCP,1,10)</f>
        <v>#VALUE!</v>
      </c>
      <c r="N24" s="549"/>
      <c r="O24" s="539"/>
      <c r="P24" s="539"/>
      <c r="AE24" s="542"/>
      <c r="AF24" s="542"/>
      <c r="AG24" s="543"/>
      <c r="AH24" s="366"/>
      <c r="CW24" s="690" t="s">
        <v>1182</v>
      </c>
      <c r="CX24" s="134"/>
      <c r="CY24" s="134"/>
    </row>
    <row r="25" spans="1:103" ht="20" thickBot="1">
      <c r="A25" s="398" t="s">
        <v>560</v>
      </c>
      <c r="B25" s="387" t="s">
        <v>916</v>
      </c>
      <c r="C25" s="133" t="s">
        <v>957</v>
      </c>
      <c r="D25" s="127">
        <f>(INDEX(currentCP,1,1)+3*INDEX(currentEndLifeCP,1,1))/4</f>
        <v>6.5346780067970629</v>
      </c>
      <c r="E25" s="127">
        <f>(INDEX(currentCP,1,2)+3*INDEX(currentEndLifeCP,1,2))/4</f>
        <v>0</v>
      </c>
      <c r="F25" s="127">
        <f>(INDEX(currentCP,1,3)+3*INDEX(currentEndLifeCP,1,3))/4</f>
        <v>0</v>
      </c>
      <c r="G25" s="127">
        <f>(INDEX(currentCP,1,4)+3*INDEX(currentEndLifeCP,1,4))/4</f>
        <v>0</v>
      </c>
      <c r="H25" s="127">
        <f>(INDEX(currentCP,1,5)+3*INDEX(currentEndLifeCP,1,5))/4</f>
        <v>0</v>
      </c>
      <c r="I25" s="127">
        <f>(INDEX(currentCP,1,6)+3*INDEX(currentEndLifeCP,1,6))/4</f>
        <v>0</v>
      </c>
      <c r="J25" s="127">
        <f>(INDEX(currentCP,1,7)+3*INDEX(currentEndLifeCP,1,7))/4</f>
        <v>0</v>
      </c>
      <c r="K25" s="127">
        <f>(INDEX(currentCP,1,8)+3*INDEX(currentEndLifeCP,1,8))/4</f>
        <v>0</v>
      </c>
      <c r="L25" s="127">
        <f>(INDEX(currentCP,1,9)+3*INDEX(currentEndLifeCP,1,9))/4</f>
        <v>0</v>
      </c>
      <c r="M25" s="538">
        <f>(INDEX(currentCP,1,10)+3*INDEX(currentEndLifeCP,1,10))/4</f>
        <v>0</v>
      </c>
      <c r="N25" s="549"/>
      <c r="P25" s="539"/>
      <c r="AE25" s="542"/>
      <c r="AF25" s="542"/>
      <c r="AG25" s="543"/>
      <c r="AH25" s="366"/>
      <c r="CW25" s="690" t="s">
        <v>1182</v>
      </c>
      <c r="CX25" s="134"/>
      <c r="CY25" s="134"/>
    </row>
    <row r="26" spans="1:103" s="119" customFormat="1" ht="61" thickBot="1">
      <c r="A26" s="395"/>
      <c r="B26" s="387" t="s">
        <v>574</v>
      </c>
      <c r="C26" s="655" t="s">
        <v>1172</v>
      </c>
      <c r="D26" s="656" t="s">
        <v>728</v>
      </c>
      <c r="E26" s="656" t="s">
        <v>456</v>
      </c>
      <c r="F26" s="656" t="s">
        <v>456</v>
      </c>
      <c r="G26" s="656" t="s">
        <v>456</v>
      </c>
      <c r="H26" s="656" t="s">
        <v>456</v>
      </c>
      <c r="I26" s="656" t="s">
        <v>456</v>
      </c>
      <c r="J26" s="656" t="s">
        <v>456</v>
      </c>
      <c r="K26" s="656" t="s">
        <v>456</v>
      </c>
      <c r="L26" s="656" t="s">
        <v>456</v>
      </c>
      <c r="M26" s="656" t="s">
        <v>456</v>
      </c>
      <c r="N26" s="536"/>
      <c r="O26" s="122"/>
      <c r="P26" s="122"/>
      <c r="AE26" s="542"/>
      <c r="AF26" s="542"/>
      <c r="AG26" s="543"/>
      <c r="AH26" s="366"/>
      <c r="CW26" s="691" t="s">
        <v>1179</v>
      </c>
      <c r="CX26" s="126"/>
      <c r="CY26" s="126"/>
    </row>
    <row r="27" spans="1:103" s="119" customFormat="1" ht="85">
      <c r="A27" s="395"/>
      <c r="B27" s="387"/>
      <c r="C27" s="657" t="s">
        <v>650</v>
      </c>
      <c r="D27" s="658" t="s">
        <v>760</v>
      </c>
      <c r="E27" s="658" t="s">
        <v>489</v>
      </c>
      <c r="F27" s="658" t="s">
        <v>489</v>
      </c>
      <c r="G27" s="658" t="s">
        <v>489</v>
      </c>
      <c r="H27" s="658" t="s">
        <v>489</v>
      </c>
      <c r="I27" s="658" t="s">
        <v>489</v>
      </c>
      <c r="J27" s="658" t="s">
        <v>489</v>
      </c>
      <c r="K27" s="658" t="s">
        <v>489</v>
      </c>
      <c r="L27" s="658" t="s">
        <v>489</v>
      </c>
      <c r="M27" s="659" t="s">
        <v>489</v>
      </c>
      <c r="N27" s="631"/>
      <c r="O27" s="630"/>
      <c r="P27" s="630"/>
      <c r="Q27" s="631"/>
      <c r="R27" s="631"/>
      <c r="S27" s="631"/>
      <c r="T27" s="631"/>
      <c r="U27" s="631"/>
      <c r="V27" s="631"/>
      <c r="W27" s="631"/>
      <c r="X27" s="631"/>
      <c r="Y27" s="631"/>
      <c r="Z27" s="631"/>
      <c r="AA27" s="631"/>
      <c r="AB27" s="631"/>
      <c r="AC27" s="631"/>
      <c r="AD27" s="631"/>
      <c r="AE27" s="632"/>
      <c r="AF27" s="632"/>
      <c r="AG27" s="633"/>
      <c r="AH27" s="634"/>
      <c r="AI27" s="631"/>
      <c r="AJ27" s="631"/>
      <c r="AK27" s="631"/>
      <c r="AL27" s="631"/>
      <c r="AM27" s="631"/>
      <c r="AN27" s="631"/>
      <c r="AO27" s="631"/>
      <c r="AP27" s="631"/>
      <c r="AQ27" s="631"/>
      <c r="AR27" s="631"/>
      <c r="AS27" s="631"/>
      <c r="AT27" s="631"/>
      <c r="AU27" s="631"/>
      <c r="AV27" s="631"/>
      <c r="AW27" s="631"/>
      <c r="AX27" s="631"/>
      <c r="AY27" s="631"/>
      <c r="AZ27" s="631"/>
      <c r="BA27" s="631"/>
      <c r="BB27" s="631"/>
      <c r="BC27" s="631"/>
      <c r="BD27" s="631"/>
      <c r="BE27" s="631"/>
      <c r="BF27" s="631"/>
      <c r="BG27" s="631"/>
      <c r="BH27" s="631"/>
      <c r="BI27" s="631"/>
      <c r="BJ27" s="631"/>
      <c r="BK27" s="631"/>
      <c r="BL27" s="631"/>
      <c r="BM27" s="631"/>
      <c r="BN27" s="631"/>
      <c r="BO27" s="631"/>
      <c r="BP27" s="631"/>
      <c r="BQ27" s="631"/>
      <c r="BR27" s="631"/>
      <c r="BS27" s="631"/>
      <c r="BT27" s="631"/>
      <c r="BU27" s="631"/>
      <c r="BV27" s="631"/>
      <c r="BW27" s="631"/>
      <c r="BX27" s="631"/>
      <c r="BY27" s="631"/>
      <c r="BZ27" s="631"/>
      <c r="CA27" s="631"/>
      <c r="CB27" s="631"/>
      <c r="CC27" s="631"/>
      <c r="CD27" s="631"/>
      <c r="CE27" s="631"/>
      <c r="CF27" s="631"/>
      <c r="CG27" s="631"/>
      <c r="CH27" s="631"/>
      <c r="CI27" s="631"/>
      <c r="CJ27" s="631"/>
      <c r="CK27" s="631"/>
      <c r="CL27" s="631"/>
      <c r="CM27" s="631"/>
      <c r="CN27" s="631"/>
      <c r="CO27" s="631"/>
      <c r="CP27" s="631"/>
      <c r="CQ27" s="631"/>
      <c r="CR27" s="631"/>
      <c r="CS27" s="631"/>
      <c r="CT27" s="631"/>
      <c r="CU27" s="631"/>
      <c r="CV27" s="631"/>
      <c r="CW27" s="789" t="s">
        <v>1180</v>
      </c>
      <c r="CX27" s="126"/>
      <c r="CY27" s="126"/>
    </row>
    <row r="28" spans="1:103" ht="19">
      <c r="A28" s="395"/>
      <c r="B28" s="388"/>
      <c r="C28" s="635"/>
      <c r="D28" s="636"/>
      <c r="E28" s="636"/>
      <c r="F28" s="636"/>
      <c r="G28" s="636"/>
      <c r="H28" s="636"/>
      <c r="I28" s="636"/>
      <c r="J28" s="636"/>
      <c r="K28" s="636"/>
      <c r="L28" s="636"/>
      <c r="M28" s="660"/>
      <c r="N28" s="654"/>
      <c r="O28" s="637"/>
      <c r="P28" s="637"/>
      <c r="Q28" s="638"/>
      <c r="R28" s="638"/>
      <c r="S28" s="638"/>
      <c r="T28" s="638"/>
      <c r="U28" s="638"/>
      <c r="V28" s="638"/>
      <c r="W28" s="638"/>
      <c r="X28" s="638"/>
      <c r="Y28" s="638"/>
      <c r="Z28" s="638"/>
      <c r="AA28" s="638"/>
      <c r="AB28" s="638"/>
      <c r="AC28" s="638"/>
      <c r="AD28" s="638"/>
      <c r="AE28" s="632"/>
      <c r="AF28" s="632"/>
      <c r="AG28" s="633"/>
      <c r="AH28" s="634"/>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c r="BJ28" s="638"/>
      <c r="BK28" s="638"/>
      <c r="BL28" s="638"/>
      <c r="BM28" s="638"/>
      <c r="BN28" s="638"/>
      <c r="BO28" s="638"/>
      <c r="BP28" s="638"/>
      <c r="BQ28" s="638"/>
      <c r="BR28" s="638"/>
      <c r="BS28" s="638"/>
      <c r="BT28" s="638"/>
      <c r="BU28" s="638"/>
      <c r="BV28" s="638"/>
      <c r="BW28" s="638"/>
      <c r="BX28" s="638"/>
      <c r="BY28" s="638"/>
      <c r="BZ28" s="638"/>
      <c r="CA28" s="638"/>
      <c r="CB28" s="638"/>
      <c r="CC28" s="638"/>
      <c r="CD28" s="638"/>
      <c r="CE28" s="638"/>
      <c r="CF28" s="638"/>
      <c r="CG28" s="638"/>
      <c r="CH28" s="638"/>
      <c r="CI28" s="638"/>
      <c r="CJ28" s="638"/>
      <c r="CK28" s="638"/>
      <c r="CL28" s="638"/>
      <c r="CM28" s="638"/>
      <c r="CN28" s="638"/>
      <c r="CO28" s="638"/>
      <c r="CP28" s="638"/>
      <c r="CQ28" s="638"/>
      <c r="CR28" s="638"/>
      <c r="CS28" s="638"/>
      <c r="CT28" s="638"/>
      <c r="CU28" s="638"/>
      <c r="CV28" s="638"/>
      <c r="CW28" s="791"/>
      <c r="CX28" s="134"/>
      <c r="CY28" s="134"/>
    </row>
    <row r="29" spans="1:103" s="134" customFormat="1" ht="25">
      <c r="B29" s="390" t="s">
        <v>152</v>
      </c>
      <c r="C29" s="639" t="s">
        <v>958</v>
      </c>
      <c r="D29" s="605">
        <v>16</v>
      </c>
      <c r="E29" s="605">
        <v>12.5</v>
      </c>
      <c r="F29" s="605">
        <v>12.5</v>
      </c>
      <c r="G29" s="605">
        <v>12.5</v>
      </c>
      <c r="H29" s="605">
        <v>12.5</v>
      </c>
      <c r="I29" s="605">
        <v>12.5</v>
      </c>
      <c r="J29" s="605">
        <v>12.5</v>
      </c>
      <c r="K29" s="605">
        <v>12.5</v>
      </c>
      <c r="L29" s="605">
        <v>12.5</v>
      </c>
      <c r="M29" s="661">
        <v>12.5</v>
      </c>
      <c r="N29" s="640"/>
      <c r="O29" s="640"/>
      <c r="P29" s="641"/>
      <c r="Q29" s="640"/>
      <c r="R29" s="640"/>
      <c r="S29" s="640"/>
      <c r="T29" s="640"/>
      <c r="U29" s="640"/>
      <c r="V29" s="640"/>
      <c r="W29" s="640"/>
      <c r="X29" s="640"/>
      <c r="Y29" s="640"/>
      <c r="Z29" s="640"/>
      <c r="AA29" s="640"/>
      <c r="AB29" s="640"/>
      <c r="AC29" s="640"/>
      <c r="AD29" s="640"/>
      <c r="AE29" s="642"/>
      <c r="AF29" s="643"/>
      <c r="AG29" s="643"/>
      <c r="AH29" s="643"/>
      <c r="AI29" s="640"/>
      <c r="AJ29" s="640"/>
      <c r="AK29" s="640"/>
      <c r="AL29" s="640"/>
      <c r="AM29" s="640"/>
      <c r="AN29" s="640"/>
      <c r="AO29" s="640"/>
      <c r="AP29" s="640"/>
      <c r="AQ29" s="640"/>
      <c r="AR29" s="640"/>
      <c r="AS29" s="640"/>
      <c r="AT29" s="640"/>
      <c r="AU29" s="640"/>
      <c r="AV29" s="640"/>
      <c r="AW29" s="640"/>
      <c r="AX29" s="640"/>
      <c r="AY29" s="640"/>
      <c r="AZ29" s="640"/>
      <c r="BA29" s="640"/>
      <c r="BB29" s="640"/>
      <c r="BC29" s="640"/>
      <c r="BD29" s="640"/>
      <c r="BE29" s="640"/>
      <c r="BF29" s="640"/>
      <c r="BG29" s="640"/>
      <c r="BH29" s="640"/>
      <c r="BI29" s="640"/>
      <c r="BJ29" s="640"/>
      <c r="BK29" s="640"/>
      <c r="BL29" s="640"/>
      <c r="BM29" s="640"/>
      <c r="BN29" s="640"/>
      <c r="BO29" s="640"/>
      <c r="BP29" s="640"/>
      <c r="BQ29" s="640"/>
      <c r="BR29" s="640"/>
      <c r="BS29" s="640"/>
      <c r="BT29" s="640"/>
      <c r="BU29" s="640"/>
      <c r="BV29" s="640"/>
      <c r="BW29" s="640"/>
      <c r="BX29" s="640"/>
      <c r="BY29" s="640"/>
      <c r="BZ29" s="640"/>
      <c r="CA29" s="640"/>
      <c r="CB29" s="640"/>
      <c r="CC29" s="640"/>
      <c r="CD29" s="640"/>
      <c r="CE29" s="640"/>
      <c r="CF29" s="640"/>
      <c r="CG29" s="640"/>
      <c r="CH29" s="640"/>
      <c r="CI29" s="640"/>
      <c r="CJ29" s="640"/>
      <c r="CK29" s="640"/>
      <c r="CL29" s="640"/>
      <c r="CM29" s="640"/>
      <c r="CN29" s="640"/>
      <c r="CO29" s="640"/>
      <c r="CP29" s="640"/>
      <c r="CQ29" s="640"/>
      <c r="CR29" s="640"/>
      <c r="CS29" s="640"/>
      <c r="CT29" s="640"/>
      <c r="CU29" s="640"/>
      <c r="CV29" s="640"/>
      <c r="CW29" s="791"/>
    </row>
    <row r="30" spans="1:103" s="134" customFormat="1" ht="19">
      <c r="B30" s="390" t="s">
        <v>151</v>
      </c>
      <c r="C30" s="639" t="s">
        <v>959</v>
      </c>
      <c r="D30" s="605">
        <v>24</v>
      </c>
      <c r="E30" s="605">
        <v>48</v>
      </c>
      <c r="F30" s="605">
        <v>48</v>
      </c>
      <c r="G30" s="605">
        <v>48</v>
      </c>
      <c r="H30" s="605">
        <v>48</v>
      </c>
      <c r="I30" s="605">
        <v>48</v>
      </c>
      <c r="J30" s="605">
        <v>48</v>
      </c>
      <c r="K30" s="605">
        <v>48</v>
      </c>
      <c r="L30" s="605">
        <v>48</v>
      </c>
      <c r="M30" s="661">
        <v>48</v>
      </c>
      <c r="N30" s="640"/>
      <c r="O30" s="640"/>
      <c r="P30" s="641"/>
      <c r="Q30" s="640"/>
      <c r="R30" s="640"/>
      <c r="S30" s="640"/>
      <c r="T30" s="640"/>
      <c r="U30" s="640"/>
      <c r="V30" s="640"/>
      <c r="W30" s="640"/>
      <c r="X30" s="640"/>
      <c r="Y30" s="640"/>
      <c r="Z30" s="640"/>
      <c r="AA30" s="640"/>
      <c r="AB30" s="640"/>
      <c r="AC30" s="640"/>
      <c r="AD30" s="640"/>
      <c r="AE30" s="644"/>
      <c r="AF30" s="644"/>
      <c r="AG30" s="644"/>
      <c r="AH30" s="644"/>
      <c r="AI30" s="640"/>
      <c r="AJ30" s="640"/>
      <c r="AK30" s="640"/>
      <c r="AL30" s="640"/>
      <c r="AM30" s="640"/>
      <c r="AN30" s="640"/>
      <c r="AO30" s="640"/>
      <c r="AP30" s="640"/>
      <c r="AQ30" s="640"/>
      <c r="AR30" s="640"/>
      <c r="AS30" s="640"/>
      <c r="AT30" s="640"/>
      <c r="AU30" s="640"/>
      <c r="AV30" s="640"/>
      <c r="AW30" s="640"/>
      <c r="AX30" s="640"/>
      <c r="AY30" s="640"/>
      <c r="AZ30" s="640"/>
      <c r="BA30" s="640"/>
      <c r="BB30" s="640"/>
      <c r="BC30" s="640"/>
      <c r="BD30" s="640"/>
      <c r="BE30" s="640"/>
      <c r="BF30" s="640"/>
      <c r="BG30" s="640"/>
      <c r="BH30" s="640"/>
      <c r="BI30" s="640"/>
      <c r="BJ30" s="640"/>
      <c r="BK30" s="640"/>
      <c r="BL30" s="640"/>
      <c r="BM30" s="640"/>
      <c r="BN30" s="640"/>
      <c r="BO30" s="640"/>
      <c r="BP30" s="640"/>
      <c r="BQ30" s="640"/>
      <c r="BR30" s="640"/>
      <c r="BS30" s="640"/>
      <c r="BT30" s="640"/>
      <c r="BU30" s="640"/>
      <c r="BV30" s="640"/>
      <c r="BW30" s="640"/>
      <c r="BX30" s="640"/>
      <c r="BY30" s="640"/>
      <c r="BZ30" s="640"/>
      <c r="CA30" s="640"/>
      <c r="CB30" s="640"/>
      <c r="CC30" s="640"/>
      <c r="CD30" s="640"/>
      <c r="CE30" s="640"/>
      <c r="CF30" s="640"/>
      <c r="CG30" s="640"/>
      <c r="CH30" s="640"/>
      <c r="CI30" s="640"/>
      <c r="CJ30" s="640"/>
      <c r="CK30" s="640"/>
      <c r="CL30" s="640"/>
      <c r="CM30" s="640"/>
      <c r="CN30" s="640"/>
      <c r="CO30" s="640"/>
      <c r="CP30" s="640"/>
      <c r="CQ30" s="640"/>
      <c r="CR30" s="640"/>
      <c r="CS30" s="640"/>
      <c r="CT30" s="640"/>
      <c r="CU30" s="640"/>
      <c r="CV30" s="640"/>
      <c r="CW30" s="791"/>
      <c r="CY30" s="728"/>
    </row>
    <row r="31" spans="1:103" s="134" customFormat="1" ht="20" thickBot="1">
      <c r="B31" s="390" t="s">
        <v>359</v>
      </c>
      <c r="C31" s="645" t="s">
        <v>960</v>
      </c>
      <c r="D31" s="606">
        <v>768</v>
      </c>
      <c r="E31" s="606">
        <v>600</v>
      </c>
      <c r="F31" s="606">
        <v>600</v>
      </c>
      <c r="G31" s="606">
        <v>600</v>
      </c>
      <c r="H31" s="606">
        <v>600</v>
      </c>
      <c r="I31" s="606">
        <v>600</v>
      </c>
      <c r="J31" s="606">
        <v>600</v>
      </c>
      <c r="K31" s="606">
        <v>600</v>
      </c>
      <c r="L31" s="606">
        <v>600</v>
      </c>
      <c r="M31" s="662">
        <v>600</v>
      </c>
      <c r="N31" s="640"/>
      <c r="O31" s="640"/>
      <c r="P31" s="641"/>
      <c r="Q31" s="640"/>
      <c r="R31" s="640"/>
      <c r="S31" s="640"/>
      <c r="T31" s="640"/>
      <c r="U31" s="640"/>
      <c r="V31" s="640"/>
      <c r="W31" s="640"/>
      <c r="X31" s="640"/>
      <c r="Y31" s="640"/>
      <c r="Z31" s="640"/>
      <c r="AA31" s="640"/>
      <c r="AB31" s="640"/>
      <c r="AC31" s="640"/>
      <c r="AD31" s="640"/>
      <c r="AE31" s="632"/>
      <c r="AF31" s="632"/>
      <c r="AG31" s="633"/>
      <c r="AH31" s="634"/>
      <c r="AI31" s="640"/>
      <c r="AJ31" s="640"/>
      <c r="AK31" s="640"/>
      <c r="AL31" s="640"/>
      <c r="AM31" s="640"/>
      <c r="AN31" s="640"/>
      <c r="AO31" s="640"/>
      <c r="AP31" s="640"/>
      <c r="AQ31" s="640"/>
      <c r="AR31" s="640"/>
      <c r="AS31" s="640"/>
      <c r="AT31" s="640"/>
      <c r="AU31" s="640"/>
      <c r="AV31" s="640"/>
      <c r="AW31" s="640"/>
      <c r="AX31" s="640"/>
      <c r="AY31" s="640"/>
      <c r="AZ31" s="640"/>
      <c r="BA31" s="640"/>
      <c r="BB31" s="640"/>
      <c r="BC31" s="640"/>
      <c r="BD31" s="640"/>
      <c r="BE31" s="640"/>
      <c r="BF31" s="640"/>
      <c r="BG31" s="640"/>
      <c r="BH31" s="640"/>
      <c r="BI31" s="640"/>
      <c r="BJ31" s="640"/>
      <c r="BK31" s="640"/>
      <c r="BL31" s="640"/>
      <c r="BM31" s="640"/>
      <c r="BN31" s="640"/>
      <c r="BO31" s="640"/>
      <c r="BP31" s="640"/>
      <c r="BQ31" s="640"/>
      <c r="BR31" s="640"/>
      <c r="BS31" s="640"/>
      <c r="BT31" s="640"/>
      <c r="BU31" s="640"/>
      <c r="BV31" s="640"/>
      <c r="BW31" s="640"/>
      <c r="BX31" s="640"/>
      <c r="BY31" s="640"/>
      <c r="BZ31" s="640"/>
      <c r="CA31" s="640"/>
      <c r="CB31" s="640"/>
      <c r="CC31" s="640"/>
      <c r="CD31" s="640"/>
      <c r="CE31" s="640"/>
      <c r="CF31" s="640"/>
      <c r="CG31" s="640"/>
      <c r="CH31" s="640"/>
      <c r="CI31" s="640"/>
      <c r="CJ31" s="640"/>
      <c r="CK31" s="640"/>
      <c r="CL31" s="640"/>
      <c r="CM31" s="640"/>
      <c r="CN31" s="640"/>
      <c r="CO31" s="640"/>
      <c r="CP31" s="640"/>
      <c r="CQ31" s="640"/>
      <c r="CR31" s="640"/>
      <c r="CS31" s="640"/>
      <c r="CT31" s="640"/>
      <c r="CU31" s="640"/>
      <c r="CV31" s="640"/>
      <c r="CW31" s="786"/>
    </row>
    <row r="32" spans="1:103" s="134" customFormat="1" ht="20" thickBot="1">
      <c r="B32" s="391"/>
      <c r="C32" s="288" t="s">
        <v>610</v>
      </c>
      <c r="N32" s="550"/>
      <c r="O32" s="544"/>
      <c r="P32" s="544"/>
      <c r="AE32" s="542"/>
      <c r="AF32" s="542"/>
      <c r="AG32" s="543"/>
      <c r="AH32" s="366"/>
      <c r="CW32" s="689"/>
    </row>
    <row r="33" spans="1:116" s="91" customFormat="1" ht="20" thickBot="1">
      <c r="B33" s="388"/>
      <c r="C33" s="663" t="s">
        <v>862</v>
      </c>
      <c r="D33" s="664" t="s">
        <v>1049</v>
      </c>
      <c r="E33" s="664" t="s">
        <v>1050</v>
      </c>
      <c r="F33" s="664" t="s">
        <v>1051</v>
      </c>
      <c r="G33" s="664" t="s">
        <v>1052</v>
      </c>
      <c r="H33" s="664" t="s">
        <v>1053</v>
      </c>
      <c r="I33" s="664" t="s">
        <v>1054</v>
      </c>
      <c r="J33" s="664" t="s">
        <v>1055</v>
      </c>
      <c r="K33" s="664" t="s">
        <v>1056</v>
      </c>
      <c r="L33" s="664" t="s">
        <v>1057</v>
      </c>
      <c r="M33" s="665" t="s">
        <v>1058</v>
      </c>
      <c r="O33" s="123"/>
      <c r="P33" s="123"/>
      <c r="Q33" s="545"/>
      <c r="AE33" s="542"/>
      <c r="AF33" s="542"/>
      <c r="AG33" s="543"/>
      <c r="AH33" s="366"/>
      <c r="CW33" s="692"/>
      <c r="CX33" s="134"/>
      <c r="CY33" s="729"/>
    </row>
    <row r="34" spans="1:116" ht="20" thickBot="1">
      <c r="B34" s="392"/>
      <c r="C34" s="667" t="s">
        <v>580</v>
      </c>
      <c r="D34" s="68" t="s">
        <v>535</v>
      </c>
      <c r="E34" s="68" t="s">
        <v>586</v>
      </c>
      <c r="F34" s="68" t="s">
        <v>542</v>
      </c>
      <c r="G34" s="68" t="s">
        <v>586</v>
      </c>
      <c r="H34" s="68" t="s">
        <v>542</v>
      </c>
      <c r="I34" s="68" t="s">
        <v>860</v>
      </c>
      <c r="J34" s="68" t="s">
        <v>859</v>
      </c>
      <c r="K34" s="68" t="s">
        <v>586</v>
      </c>
      <c r="L34" s="68" t="s">
        <v>586</v>
      </c>
      <c r="M34" s="68" t="s">
        <v>860</v>
      </c>
      <c r="N34" s="666"/>
      <c r="O34" s="613"/>
      <c r="P34" s="613"/>
      <c r="Q34" s="614"/>
      <c r="R34" s="615"/>
      <c r="S34" s="615"/>
      <c r="T34" s="615"/>
      <c r="U34" s="615"/>
      <c r="V34" s="614"/>
      <c r="W34" s="614"/>
      <c r="X34" s="614"/>
      <c r="Y34" s="614"/>
      <c r="Z34" s="614"/>
      <c r="AA34" s="614"/>
      <c r="AB34" s="614"/>
      <c r="AC34" s="614"/>
      <c r="AD34" s="614"/>
      <c r="AE34" s="616"/>
      <c r="AF34" s="616"/>
      <c r="AG34" s="617"/>
      <c r="AH34" s="618"/>
      <c r="AI34" s="614"/>
      <c r="AJ34" s="614"/>
      <c r="AK34" s="614"/>
      <c r="AL34" s="614"/>
      <c r="AM34" s="614"/>
      <c r="AN34" s="614"/>
      <c r="AO34" s="614"/>
      <c r="AP34" s="614"/>
      <c r="AQ34" s="614"/>
      <c r="AR34" s="614"/>
      <c r="AS34" s="614"/>
      <c r="AT34" s="614"/>
      <c r="AU34" s="614"/>
      <c r="AV34" s="614"/>
      <c r="AW34" s="614"/>
      <c r="AX34" s="614"/>
      <c r="AY34" s="614"/>
      <c r="AZ34" s="614"/>
      <c r="BA34" s="614"/>
      <c r="BB34" s="614"/>
      <c r="BC34" s="614"/>
      <c r="BD34" s="614"/>
      <c r="BE34" s="614"/>
      <c r="BF34" s="614"/>
      <c r="BG34" s="614"/>
      <c r="BH34" s="614"/>
      <c r="BI34" s="614"/>
      <c r="BJ34" s="614"/>
      <c r="BK34" s="614"/>
      <c r="BL34" s="614"/>
      <c r="BM34" s="614"/>
      <c r="BN34" s="614"/>
      <c r="BO34" s="614"/>
      <c r="BP34" s="614"/>
      <c r="BQ34" s="614"/>
      <c r="BR34" s="614"/>
      <c r="BS34" s="614"/>
      <c r="BT34" s="614"/>
      <c r="BU34" s="614"/>
      <c r="BV34" s="614"/>
      <c r="BW34" s="614"/>
      <c r="BX34" s="614"/>
      <c r="BY34" s="614"/>
      <c r="BZ34" s="614"/>
      <c r="CA34" s="614"/>
      <c r="CB34" s="614"/>
      <c r="CC34" s="614"/>
      <c r="CD34" s="614"/>
      <c r="CE34" s="614"/>
      <c r="CF34" s="614"/>
      <c r="CG34" s="614"/>
      <c r="CH34" s="614"/>
      <c r="CI34" s="614"/>
      <c r="CJ34" s="614"/>
      <c r="CK34" s="614"/>
      <c r="CL34" s="614"/>
      <c r="CM34" s="614"/>
      <c r="CN34" s="614"/>
      <c r="CO34" s="614"/>
      <c r="CP34" s="614"/>
      <c r="CQ34" s="614"/>
      <c r="CR34" s="614"/>
      <c r="CS34" s="614"/>
      <c r="CT34" s="614"/>
      <c r="CU34" s="614"/>
      <c r="CV34" s="614"/>
      <c r="CW34" s="688" t="s">
        <v>1026</v>
      </c>
      <c r="CX34" s="134"/>
      <c r="CY34" s="729"/>
      <c r="DC34" s="68" t="s">
        <v>535</v>
      </c>
      <c r="DD34" s="68" t="s">
        <v>586</v>
      </c>
      <c r="DE34" s="68" t="s">
        <v>542</v>
      </c>
      <c r="DF34" s="68" t="s">
        <v>586</v>
      </c>
      <c r="DG34" s="68" t="s">
        <v>542</v>
      </c>
      <c r="DH34" s="68" t="s">
        <v>860</v>
      </c>
      <c r="DI34" s="68" t="s">
        <v>859</v>
      </c>
      <c r="DJ34" s="68" t="s">
        <v>586</v>
      </c>
      <c r="DK34" s="68" t="s">
        <v>586</v>
      </c>
      <c r="DL34" s="68" t="s">
        <v>860</v>
      </c>
    </row>
    <row r="35" spans="1:116" ht="17" thickBot="1">
      <c r="B35" s="387"/>
      <c r="C35" s="668" t="s">
        <v>607</v>
      </c>
      <c r="D35" s="68" t="s">
        <v>583</v>
      </c>
      <c r="E35" s="68" t="s">
        <v>583</v>
      </c>
      <c r="F35" s="68" t="s">
        <v>582</v>
      </c>
      <c r="G35" s="68" t="s">
        <v>582</v>
      </c>
      <c r="H35" s="68" t="s">
        <v>582</v>
      </c>
      <c r="I35" s="68" t="s">
        <v>585</v>
      </c>
      <c r="J35" s="68" t="s">
        <v>585</v>
      </c>
      <c r="K35" s="68" t="s">
        <v>583</v>
      </c>
      <c r="L35" s="68" t="s">
        <v>583</v>
      </c>
      <c r="M35" s="68" t="s">
        <v>585</v>
      </c>
      <c r="N35" s="619"/>
      <c r="O35" s="619"/>
      <c r="P35" s="619"/>
      <c r="Q35" s="619"/>
      <c r="R35" s="619"/>
      <c r="S35" s="619"/>
      <c r="T35" s="619"/>
      <c r="U35" s="619"/>
      <c r="V35" s="619"/>
      <c r="W35" s="619"/>
      <c r="X35" s="619"/>
      <c r="Y35" s="619"/>
      <c r="Z35" s="619"/>
      <c r="AA35" s="619"/>
      <c r="AB35" s="619"/>
      <c r="AC35" s="619"/>
      <c r="AD35" s="619"/>
      <c r="AE35" s="619"/>
      <c r="AF35" s="619"/>
      <c r="AG35" s="619"/>
      <c r="AH35" s="619"/>
      <c r="AI35" s="619"/>
      <c r="AJ35" s="619"/>
      <c r="AK35" s="619"/>
      <c r="AL35" s="619"/>
      <c r="AM35" s="619"/>
      <c r="AN35" s="619"/>
      <c r="AO35" s="619"/>
      <c r="AP35" s="619"/>
      <c r="AQ35" s="619"/>
      <c r="AR35" s="619"/>
      <c r="AS35" s="619"/>
      <c r="AT35" s="619"/>
      <c r="AU35" s="619"/>
      <c r="AV35" s="619"/>
      <c r="AW35" s="619"/>
      <c r="AX35" s="619"/>
      <c r="AY35" s="619"/>
      <c r="AZ35" s="619"/>
      <c r="BA35" s="619"/>
      <c r="BB35" s="619"/>
      <c r="BC35" s="619"/>
      <c r="BD35" s="619"/>
      <c r="BE35" s="619"/>
      <c r="BF35" s="619"/>
      <c r="BG35" s="619"/>
      <c r="BH35" s="619"/>
      <c r="BI35" s="619"/>
      <c r="BJ35" s="619"/>
      <c r="BK35" s="619"/>
      <c r="BL35" s="619"/>
      <c r="BM35" s="619"/>
      <c r="BN35" s="619"/>
      <c r="BO35" s="619"/>
      <c r="BP35" s="619"/>
      <c r="BQ35" s="619"/>
      <c r="BR35" s="619"/>
      <c r="BS35" s="619"/>
      <c r="BT35" s="619"/>
      <c r="BU35" s="619"/>
      <c r="BV35" s="619"/>
      <c r="BW35" s="619"/>
      <c r="BX35" s="619"/>
      <c r="BY35" s="619"/>
      <c r="BZ35" s="619"/>
      <c r="CA35" s="619"/>
      <c r="CB35" s="619"/>
      <c r="CC35" s="619"/>
      <c r="CD35" s="619"/>
      <c r="CE35" s="619"/>
      <c r="CF35" s="619"/>
      <c r="CG35" s="619"/>
      <c r="CH35" s="619"/>
      <c r="CI35" s="619"/>
      <c r="CJ35" s="619"/>
      <c r="CK35" s="619"/>
      <c r="CL35" s="619"/>
      <c r="CM35" s="619"/>
      <c r="CN35" s="619"/>
      <c r="CO35" s="619"/>
      <c r="CP35" s="619"/>
      <c r="CQ35" s="619"/>
      <c r="CR35" s="619"/>
      <c r="CS35" s="619"/>
      <c r="CT35" s="619"/>
      <c r="CU35" s="619"/>
      <c r="CV35" s="619"/>
      <c r="CW35" s="688" t="s">
        <v>1027</v>
      </c>
      <c r="CX35" s="134"/>
      <c r="CY35" s="730"/>
      <c r="DC35" s="68" t="s">
        <v>582</v>
      </c>
      <c r="DD35" s="68" t="s">
        <v>583</v>
      </c>
      <c r="DE35" s="68" t="s">
        <v>582</v>
      </c>
      <c r="DF35" s="68" t="s">
        <v>582</v>
      </c>
      <c r="DG35" s="68" t="s">
        <v>582</v>
      </c>
      <c r="DH35" s="68" t="s">
        <v>585</v>
      </c>
      <c r="DI35" s="68" t="s">
        <v>585</v>
      </c>
      <c r="DJ35" s="68" t="s">
        <v>583</v>
      </c>
      <c r="DK35" s="68" t="s">
        <v>583</v>
      </c>
      <c r="DL35" s="68" t="s">
        <v>585</v>
      </c>
    </row>
    <row r="36" spans="1:116" s="361" customFormat="1" ht="20" thickBot="1">
      <c r="A36" s="399"/>
      <c r="B36" s="393"/>
      <c r="C36" s="668" t="s">
        <v>619</v>
      </c>
      <c r="D36" s="361" t="s">
        <v>673</v>
      </c>
      <c r="E36" s="361" t="s">
        <v>672</v>
      </c>
      <c r="F36" s="361" t="s">
        <v>665</v>
      </c>
      <c r="G36" s="361" t="s">
        <v>666</v>
      </c>
      <c r="H36" s="361" t="s">
        <v>670</v>
      </c>
      <c r="I36" s="361" t="s">
        <v>799</v>
      </c>
      <c r="J36" s="361" t="s">
        <v>799</v>
      </c>
      <c r="K36" s="361" t="s">
        <v>673</v>
      </c>
      <c r="L36" s="361" t="s">
        <v>671</v>
      </c>
      <c r="M36" s="361" t="s">
        <v>667</v>
      </c>
      <c r="N36" s="621"/>
      <c r="O36" s="620"/>
      <c r="P36" s="620"/>
      <c r="Q36" s="621"/>
      <c r="R36" s="621"/>
      <c r="S36" s="621"/>
      <c r="T36" s="621"/>
      <c r="U36" s="621"/>
      <c r="V36" s="621"/>
      <c r="W36" s="621"/>
      <c r="X36" s="621"/>
      <c r="Y36" s="621"/>
      <c r="Z36" s="621"/>
      <c r="AA36" s="621"/>
      <c r="AB36" s="621"/>
      <c r="AC36" s="621"/>
      <c r="AD36" s="621"/>
      <c r="AE36" s="616"/>
      <c r="AF36" s="616"/>
      <c r="AG36" s="617"/>
      <c r="AH36" s="618"/>
      <c r="AI36" s="621"/>
      <c r="AJ36" s="621"/>
      <c r="AK36" s="621"/>
      <c r="AL36" s="621"/>
      <c r="AM36" s="621"/>
      <c r="AN36" s="621"/>
      <c r="AO36" s="621"/>
      <c r="AP36" s="621"/>
      <c r="AQ36" s="621"/>
      <c r="AR36" s="621"/>
      <c r="AS36" s="621"/>
      <c r="AT36" s="621"/>
      <c r="AU36" s="621"/>
      <c r="AV36" s="621"/>
      <c r="AW36" s="621"/>
      <c r="AX36" s="621"/>
      <c r="AY36" s="621"/>
      <c r="AZ36" s="621"/>
      <c r="BA36" s="621"/>
      <c r="BB36" s="621"/>
      <c r="BC36" s="621"/>
      <c r="BD36" s="621"/>
      <c r="BE36" s="621"/>
      <c r="BF36" s="621"/>
      <c r="BG36" s="621"/>
      <c r="BH36" s="621"/>
      <c r="BI36" s="621"/>
      <c r="BJ36" s="621"/>
      <c r="BK36" s="621"/>
      <c r="BL36" s="621"/>
      <c r="BM36" s="621"/>
      <c r="BN36" s="621"/>
      <c r="BO36" s="621"/>
      <c r="BP36" s="621"/>
      <c r="BQ36" s="621"/>
      <c r="BR36" s="621"/>
      <c r="BS36" s="621"/>
      <c r="BT36" s="621"/>
      <c r="BU36" s="621"/>
      <c r="BV36" s="621"/>
      <c r="BW36" s="621"/>
      <c r="BX36" s="621"/>
      <c r="BY36" s="621"/>
      <c r="BZ36" s="621"/>
      <c r="CA36" s="621"/>
      <c r="CB36" s="621"/>
      <c r="CC36" s="621"/>
      <c r="CD36" s="621"/>
      <c r="CE36" s="621"/>
      <c r="CF36" s="621"/>
      <c r="CG36" s="621"/>
      <c r="CH36" s="621"/>
      <c r="CI36" s="621"/>
      <c r="CJ36" s="621"/>
      <c r="CK36" s="621"/>
      <c r="CL36" s="621"/>
      <c r="CM36" s="621"/>
      <c r="CN36" s="621"/>
      <c r="CO36" s="621"/>
      <c r="CP36" s="621"/>
      <c r="CQ36" s="621"/>
      <c r="CR36" s="621"/>
      <c r="CS36" s="621"/>
      <c r="CT36" s="621"/>
      <c r="CU36" s="621"/>
      <c r="CV36" s="621"/>
      <c r="CW36" s="688" t="s">
        <v>1028</v>
      </c>
      <c r="CX36" s="731"/>
      <c r="CY36" s="730"/>
      <c r="DC36" s="361" t="s">
        <v>664</v>
      </c>
      <c r="DD36" s="361" t="s">
        <v>672</v>
      </c>
      <c r="DE36" s="361" t="s">
        <v>665</v>
      </c>
      <c r="DF36" s="361" t="s">
        <v>666</v>
      </c>
      <c r="DG36" s="361" t="s">
        <v>670</v>
      </c>
      <c r="DH36" s="361" t="s">
        <v>799</v>
      </c>
      <c r="DI36" s="361" t="s">
        <v>799</v>
      </c>
      <c r="DJ36" s="361" t="s">
        <v>673</v>
      </c>
      <c r="DK36" s="361" t="s">
        <v>671</v>
      </c>
      <c r="DL36" s="361" t="s">
        <v>667</v>
      </c>
    </row>
    <row r="37" spans="1:116" s="361" customFormat="1" ht="20" thickBot="1">
      <c r="A37" s="400"/>
      <c r="B37" s="393"/>
      <c r="C37" s="668" t="s">
        <v>658</v>
      </c>
      <c r="D37" s="361" t="s">
        <v>584</v>
      </c>
      <c r="E37" s="361" t="s">
        <v>584</v>
      </c>
      <c r="F37" s="361" t="s">
        <v>827</v>
      </c>
      <c r="G37" s="361" t="s">
        <v>827</v>
      </c>
      <c r="H37" s="361" t="s">
        <v>584</v>
      </c>
      <c r="I37" s="361" t="s">
        <v>584</v>
      </c>
      <c r="J37" s="361" t="s">
        <v>584</v>
      </c>
      <c r="K37" s="361" t="s">
        <v>584</v>
      </c>
      <c r="L37" s="361" t="s">
        <v>827</v>
      </c>
      <c r="M37" s="361" t="s">
        <v>827</v>
      </c>
      <c r="N37" s="621"/>
      <c r="O37" s="620"/>
      <c r="P37" s="620"/>
      <c r="Q37" s="622"/>
      <c r="R37" s="614"/>
      <c r="S37" s="622"/>
      <c r="T37" s="614"/>
      <c r="U37" s="621"/>
      <c r="V37" s="621"/>
      <c r="W37" s="621"/>
      <c r="X37" s="621"/>
      <c r="Y37" s="621"/>
      <c r="Z37" s="621"/>
      <c r="AA37" s="621"/>
      <c r="AB37" s="621"/>
      <c r="AC37" s="621"/>
      <c r="AD37" s="621"/>
      <c r="AE37" s="616"/>
      <c r="AF37" s="616"/>
      <c r="AG37" s="617"/>
      <c r="AH37" s="618"/>
      <c r="AI37" s="621"/>
      <c r="AJ37" s="621"/>
      <c r="AK37" s="621"/>
      <c r="AL37" s="621"/>
      <c r="AM37" s="621"/>
      <c r="AN37" s="621"/>
      <c r="AO37" s="621"/>
      <c r="AP37" s="621"/>
      <c r="AQ37" s="621"/>
      <c r="AR37" s="621"/>
      <c r="AS37" s="621"/>
      <c r="AT37" s="621"/>
      <c r="AU37" s="621"/>
      <c r="AV37" s="621"/>
      <c r="AW37" s="621"/>
      <c r="AX37" s="621"/>
      <c r="AY37" s="621"/>
      <c r="AZ37" s="621"/>
      <c r="BA37" s="621"/>
      <c r="BB37" s="621"/>
      <c r="BC37" s="621"/>
      <c r="BD37" s="621"/>
      <c r="BE37" s="621"/>
      <c r="BF37" s="621"/>
      <c r="BG37" s="621"/>
      <c r="BH37" s="621"/>
      <c r="BI37" s="621"/>
      <c r="BJ37" s="621"/>
      <c r="BK37" s="621"/>
      <c r="BL37" s="621"/>
      <c r="BM37" s="621"/>
      <c r="BN37" s="621"/>
      <c r="BO37" s="621"/>
      <c r="BP37" s="621"/>
      <c r="BQ37" s="621"/>
      <c r="BR37" s="621"/>
      <c r="BS37" s="621"/>
      <c r="BT37" s="621"/>
      <c r="BU37" s="621"/>
      <c r="BV37" s="621"/>
      <c r="BW37" s="621"/>
      <c r="BX37" s="621"/>
      <c r="BY37" s="621"/>
      <c r="BZ37" s="621"/>
      <c r="CA37" s="621"/>
      <c r="CB37" s="621"/>
      <c r="CC37" s="621"/>
      <c r="CD37" s="621"/>
      <c r="CE37" s="621"/>
      <c r="CF37" s="621"/>
      <c r="CG37" s="621"/>
      <c r="CH37" s="621"/>
      <c r="CI37" s="621"/>
      <c r="CJ37" s="621"/>
      <c r="CK37" s="621"/>
      <c r="CL37" s="621"/>
      <c r="CM37" s="621"/>
      <c r="CN37" s="621"/>
      <c r="CO37" s="621"/>
      <c r="CP37" s="621"/>
      <c r="CQ37" s="621"/>
      <c r="CR37" s="621"/>
      <c r="CS37" s="621"/>
      <c r="CT37" s="621"/>
      <c r="CU37" s="621"/>
      <c r="CV37" s="621"/>
      <c r="CW37" s="688" t="s">
        <v>1029</v>
      </c>
      <c r="CX37" s="731"/>
      <c r="CY37" s="730"/>
      <c r="DC37" s="361" t="s">
        <v>827</v>
      </c>
      <c r="DD37" s="361" t="s">
        <v>584</v>
      </c>
      <c r="DE37" s="361" t="s">
        <v>827</v>
      </c>
      <c r="DF37" s="361" t="s">
        <v>827</v>
      </c>
      <c r="DG37" s="361" t="s">
        <v>584</v>
      </c>
      <c r="DH37" s="361" t="s">
        <v>584</v>
      </c>
      <c r="DI37" s="361" t="s">
        <v>584</v>
      </c>
      <c r="DJ37" s="361" t="s">
        <v>584</v>
      </c>
      <c r="DK37" s="361" t="s">
        <v>827</v>
      </c>
      <c r="DL37" s="361" t="s">
        <v>827</v>
      </c>
    </row>
    <row r="38" spans="1:116" ht="20" thickBot="1">
      <c r="A38" s="401" t="s">
        <v>134</v>
      </c>
      <c r="B38" s="388"/>
      <c r="C38" s="669" t="s">
        <v>579</v>
      </c>
      <c r="D38" s="68" t="s">
        <v>837</v>
      </c>
      <c r="E38" s="68" t="s">
        <v>843</v>
      </c>
      <c r="F38" s="68" t="s">
        <v>588</v>
      </c>
      <c r="G38" s="68" t="s">
        <v>589</v>
      </c>
      <c r="H38" s="68" t="s">
        <v>840</v>
      </c>
      <c r="I38" s="68" t="s">
        <v>817</v>
      </c>
      <c r="J38" s="68" t="s">
        <v>819</v>
      </c>
      <c r="K38" s="68" t="s">
        <v>843</v>
      </c>
      <c r="L38" s="68" t="s">
        <v>587</v>
      </c>
      <c r="M38" s="68" t="s">
        <v>1059</v>
      </c>
      <c r="N38" s="666"/>
      <c r="O38" s="623"/>
      <c r="P38" s="623"/>
      <c r="Q38" s="624"/>
      <c r="R38" s="614"/>
      <c r="S38" s="624"/>
      <c r="T38" s="614"/>
      <c r="U38" s="614"/>
      <c r="V38" s="614"/>
      <c r="W38" s="614"/>
      <c r="X38" s="614"/>
      <c r="Y38" s="614"/>
      <c r="Z38" s="614"/>
      <c r="AA38" s="614"/>
      <c r="AB38" s="614"/>
      <c r="AC38" s="614"/>
      <c r="AD38" s="614"/>
      <c r="AE38" s="616"/>
      <c r="AF38" s="616"/>
      <c r="AG38" s="617"/>
      <c r="AH38" s="618"/>
      <c r="AI38" s="614"/>
      <c r="AJ38" s="614"/>
      <c r="AK38" s="614"/>
      <c r="AL38" s="614"/>
      <c r="AM38" s="614"/>
      <c r="AN38" s="614"/>
      <c r="AO38" s="614"/>
      <c r="AP38" s="614"/>
      <c r="AQ38" s="614"/>
      <c r="AR38" s="614"/>
      <c r="AS38" s="614"/>
      <c r="AT38" s="614"/>
      <c r="AU38" s="614"/>
      <c r="AV38" s="614"/>
      <c r="AW38" s="614"/>
      <c r="AX38" s="614"/>
      <c r="AY38" s="614"/>
      <c r="AZ38" s="614"/>
      <c r="BA38" s="614"/>
      <c r="BB38" s="614"/>
      <c r="BC38" s="614"/>
      <c r="BD38" s="614"/>
      <c r="BE38" s="614"/>
      <c r="BF38" s="614"/>
      <c r="BG38" s="614"/>
      <c r="BH38" s="614"/>
      <c r="BI38" s="614"/>
      <c r="BJ38" s="614"/>
      <c r="BK38" s="614"/>
      <c r="BL38" s="614"/>
      <c r="BM38" s="614"/>
      <c r="BN38" s="614"/>
      <c r="BO38" s="614"/>
      <c r="BP38" s="614"/>
      <c r="BQ38" s="614"/>
      <c r="BR38" s="614"/>
      <c r="BS38" s="614"/>
      <c r="BT38" s="614"/>
      <c r="BU38" s="614"/>
      <c r="BV38" s="614"/>
      <c r="BW38" s="614"/>
      <c r="BX38" s="614"/>
      <c r="BY38" s="614"/>
      <c r="BZ38" s="614"/>
      <c r="CA38" s="614"/>
      <c r="CB38" s="614"/>
      <c r="CC38" s="614"/>
      <c r="CD38" s="614"/>
      <c r="CE38" s="614"/>
      <c r="CF38" s="614"/>
      <c r="CG38" s="614"/>
      <c r="CH38" s="614"/>
      <c r="CI38" s="614"/>
      <c r="CJ38" s="614"/>
      <c r="CK38" s="614"/>
      <c r="CL38" s="614"/>
      <c r="CM38" s="614"/>
      <c r="CN38" s="614"/>
      <c r="CO38" s="614"/>
      <c r="CP38" s="614"/>
      <c r="CQ38" s="614"/>
      <c r="CR38" s="614"/>
      <c r="CS38" s="614"/>
      <c r="CT38" s="614"/>
      <c r="CU38" s="614"/>
      <c r="CV38" s="614"/>
      <c r="CW38" s="688" t="s">
        <v>1030</v>
      </c>
      <c r="CX38" s="134"/>
      <c r="CY38" s="730"/>
      <c r="DC38" s="68" t="s">
        <v>828</v>
      </c>
      <c r="DD38" s="68" t="s">
        <v>843</v>
      </c>
      <c r="DE38" s="68" t="s">
        <v>588</v>
      </c>
      <c r="DF38" s="68" t="s">
        <v>589</v>
      </c>
      <c r="DG38" s="68" t="s">
        <v>840</v>
      </c>
      <c r="DH38" s="68" t="s">
        <v>817</v>
      </c>
      <c r="DI38" s="68" t="s">
        <v>819</v>
      </c>
      <c r="DJ38" s="68" t="s">
        <v>843</v>
      </c>
      <c r="DK38" s="68" t="s">
        <v>587</v>
      </c>
      <c r="DL38" s="68" t="s">
        <v>1059</v>
      </c>
    </row>
    <row r="39" spans="1:116" ht="19">
      <c r="A39" s="402"/>
      <c r="B39" s="173" t="s">
        <v>971</v>
      </c>
      <c r="C39" s="670" t="s">
        <v>972</v>
      </c>
      <c r="D39" s="607">
        <v>5.6000000000000001E-2</v>
      </c>
      <c r="E39" s="607">
        <v>0.05</v>
      </c>
      <c r="F39" s="607">
        <v>0.06</v>
      </c>
      <c r="G39" s="607">
        <v>0.05</v>
      </c>
      <c r="H39" s="607">
        <v>0.06</v>
      </c>
      <c r="I39" s="607">
        <v>1.2999999999999999E-2</v>
      </c>
      <c r="J39" s="607">
        <v>3.0000000000000001E-3</v>
      </c>
      <c r="K39" s="607">
        <v>0.05</v>
      </c>
      <c r="L39" s="607">
        <v>0.05</v>
      </c>
      <c r="M39" s="608">
        <v>1.2999999999999999E-2</v>
      </c>
      <c r="O39" s="121"/>
      <c r="P39" s="539"/>
      <c r="AE39" s="541"/>
      <c r="AF39" s="541"/>
      <c r="AG39" s="541"/>
      <c r="AH39" s="541"/>
      <c r="CW39" s="789" t="s">
        <v>1183</v>
      </c>
      <c r="CX39" s="134"/>
      <c r="CY39" s="728"/>
    </row>
    <row r="40" spans="1:116" ht="19">
      <c r="A40" s="402"/>
      <c r="B40" s="173" t="s">
        <v>137</v>
      </c>
      <c r="C40" s="671" t="s">
        <v>1096</v>
      </c>
      <c r="D40" s="609">
        <v>1.2</v>
      </c>
      <c r="E40" s="609">
        <v>1</v>
      </c>
      <c r="F40" s="609">
        <v>0.65</v>
      </c>
      <c r="G40" s="609">
        <v>1</v>
      </c>
      <c r="H40" s="609">
        <v>1.65</v>
      </c>
      <c r="I40" s="609">
        <v>200</v>
      </c>
      <c r="J40" s="609">
        <v>200</v>
      </c>
      <c r="K40" s="609">
        <v>1</v>
      </c>
      <c r="L40" s="609">
        <v>1</v>
      </c>
      <c r="M40" s="610">
        <v>20</v>
      </c>
      <c r="O40" s="121"/>
      <c r="P40" s="539"/>
      <c r="AE40" s="542"/>
      <c r="AF40" s="542"/>
      <c r="AG40" s="543"/>
      <c r="AH40" s="366"/>
      <c r="CW40" s="790"/>
      <c r="CX40" s="134"/>
      <c r="CY40" s="729"/>
    </row>
    <row r="41" spans="1:116" ht="19">
      <c r="A41" s="402"/>
      <c r="B41" s="173" t="s">
        <v>19</v>
      </c>
      <c r="C41" s="671" t="s">
        <v>962</v>
      </c>
      <c r="D41" s="609">
        <v>0.16</v>
      </c>
      <c r="E41" s="609">
        <v>0.16</v>
      </c>
      <c r="F41" s="609"/>
      <c r="G41" s="609"/>
      <c r="H41" s="609">
        <v>0.16</v>
      </c>
      <c r="I41" s="609">
        <v>4.4999999999999998E-2</v>
      </c>
      <c r="J41" s="609">
        <v>4.4999999999999998E-2</v>
      </c>
      <c r="K41" s="609">
        <v>0.16</v>
      </c>
      <c r="L41" s="609"/>
      <c r="M41" s="610"/>
      <c r="O41" s="121"/>
      <c r="P41" s="539"/>
      <c r="AE41" s="542"/>
      <c r="AF41" s="542"/>
      <c r="AG41" s="543"/>
      <c r="AH41" s="366"/>
      <c r="CW41" s="790"/>
      <c r="CX41" s="134"/>
      <c r="CY41" s="729"/>
    </row>
    <row r="42" spans="1:116" ht="19">
      <c r="A42" s="402" t="s">
        <v>1072</v>
      </c>
      <c r="B42" s="173" t="s">
        <v>138</v>
      </c>
      <c r="C42" s="671" t="s">
        <v>963</v>
      </c>
      <c r="D42" s="609">
        <v>1.5</v>
      </c>
      <c r="E42" s="609">
        <v>1.5</v>
      </c>
      <c r="F42" s="609"/>
      <c r="G42" s="609"/>
      <c r="H42" s="609">
        <v>1.5</v>
      </c>
      <c r="I42" s="609">
        <v>200</v>
      </c>
      <c r="J42" s="609">
        <v>200</v>
      </c>
      <c r="K42" s="609">
        <v>1.5</v>
      </c>
      <c r="L42" s="609"/>
      <c r="M42" s="610"/>
      <c r="O42" s="121"/>
      <c r="P42" s="539"/>
      <c r="AE42" s="542"/>
      <c r="AF42" s="542"/>
      <c r="AG42" s="543"/>
      <c r="AH42" s="366"/>
      <c r="CW42" s="790"/>
      <c r="CX42" s="134"/>
      <c r="CY42" s="134"/>
    </row>
    <row r="43" spans="1:116" ht="19">
      <c r="A43" s="402"/>
      <c r="B43" s="173" t="s">
        <v>498</v>
      </c>
      <c r="C43" s="671" t="s">
        <v>1110</v>
      </c>
      <c r="D43" s="611">
        <v>24</v>
      </c>
      <c r="E43" s="609">
        <v>5.5</v>
      </c>
      <c r="F43" s="609">
        <v>8</v>
      </c>
      <c r="G43" s="609">
        <v>5.5</v>
      </c>
      <c r="H43" s="609">
        <v>8</v>
      </c>
      <c r="I43" s="609"/>
      <c r="J43" s="609"/>
      <c r="K43" s="609">
        <v>5.5</v>
      </c>
      <c r="L43" s="609">
        <v>5.5</v>
      </c>
      <c r="M43" s="610"/>
      <c r="O43" s="121"/>
      <c r="P43" s="539"/>
      <c r="AE43" s="542"/>
      <c r="AF43" s="542"/>
      <c r="AG43" s="543"/>
      <c r="AH43" s="366"/>
      <c r="CW43" s="790"/>
      <c r="CX43" s="134"/>
      <c r="CY43" s="134"/>
    </row>
    <row r="44" spans="1:116" ht="19">
      <c r="A44" s="402"/>
      <c r="B44" s="173" t="s">
        <v>496</v>
      </c>
      <c r="C44" s="671" t="s">
        <v>1112</v>
      </c>
      <c r="D44" s="611">
        <v>0.3</v>
      </c>
      <c r="E44" s="611">
        <v>0.01</v>
      </c>
      <c r="F44" s="611">
        <v>0.03</v>
      </c>
      <c r="G44" s="611">
        <v>0.01</v>
      </c>
      <c r="H44" s="611">
        <v>0.03</v>
      </c>
      <c r="I44" s="611">
        <v>0.35</v>
      </c>
      <c r="J44" s="611">
        <v>0.01</v>
      </c>
      <c r="K44" s="611">
        <v>0.01</v>
      </c>
      <c r="L44" s="611">
        <v>0.01</v>
      </c>
      <c r="M44" s="612">
        <v>0.35</v>
      </c>
      <c r="O44" s="121"/>
      <c r="P44" s="539"/>
      <c r="AE44" s="542"/>
      <c r="AF44" s="542"/>
      <c r="AG44" s="543"/>
      <c r="AH44" s="366"/>
      <c r="CW44" s="790"/>
      <c r="CX44" s="134"/>
      <c r="CY44" s="134"/>
    </row>
    <row r="45" spans="1:116" ht="19">
      <c r="A45" s="402"/>
      <c r="B45" s="173" t="s">
        <v>1093</v>
      </c>
      <c r="C45" s="671" t="s">
        <v>1108</v>
      </c>
      <c r="D45" s="611">
        <v>5</v>
      </c>
      <c r="E45" s="611">
        <v>8</v>
      </c>
      <c r="F45" s="611">
        <v>4</v>
      </c>
      <c r="G45" s="611">
        <v>6</v>
      </c>
      <c r="H45" s="611">
        <v>6</v>
      </c>
      <c r="I45" s="611"/>
      <c r="J45" s="611"/>
      <c r="K45" s="611">
        <v>8</v>
      </c>
      <c r="L45" s="611">
        <v>6</v>
      </c>
      <c r="M45" s="612"/>
      <c r="O45" s="121"/>
      <c r="P45" s="539"/>
      <c r="AE45" s="542"/>
      <c r="AF45" s="542"/>
      <c r="AG45" s="543"/>
      <c r="AH45" s="366"/>
      <c r="CW45" s="790"/>
      <c r="CX45" s="134"/>
      <c r="CY45" s="134"/>
    </row>
    <row r="46" spans="1:116" ht="19">
      <c r="A46" s="402"/>
      <c r="B46" s="173" t="s">
        <v>1070</v>
      </c>
      <c r="C46" s="671" t="s">
        <v>1099</v>
      </c>
      <c r="D46" s="609">
        <v>4.9999999999999998E-7</v>
      </c>
      <c r="E46" s="609">
        <v>4.8511100000000001E-7</v>
      </c>
      <c r="F46" s="609">
        <v>0.01</v>
      </c>
      <c r="G46" s="609">
        <v>4.8511100000000001E-7</v>
      </c>
      <c r="H46" s="609">
        <v>0.01</v>
      </c>
      <c r="I46" s="609">
        <v>0.67</v>
      </c>
      <c r="J46" s="609">
        <v>5.6000000000000004E-7</v>
      </c>
      <c r="K46" s="609">
        <v>4.8511100000000001E-7</v>
      </c>
      <c r="L46" s="609">
        <v>4.8511100000000001E-7</v>
      </c>
      <c r="M46" s="610">
        <v>0.67</v>
      </c>
      <c r="O46" s="121"/>
      <c r="P46" s="539"/>
      <c r="AE46" s="542"/>
      <c r="AF46" s="542"/>
      <c r="AG46" s="543"/>
      <c r="AH46" s="366"/>
      <c r="CW46" s="790"/>
      <c r="CX46" s="134"/>
      <c r="CY46" s="134"/>
    </row>
    <row r="47" spans="1:116" ht="19">
      <c r="A47" s="402"/>
      <c r="B47" s="173" t="s">
        <v>18</v>
      </c>
      <c r="C47" s="671" t="s">
        <v>1100</v>
      </c>
      <c r="D47" s="609">
        <v>0.5</v>
      </c>
      <c r="E47" s="609">
        <v>0.5</v>
      </c>
      <c r="F47" s="609">
        <v>0.5</v>
      </c>
      <c r="G47" s="609">
        <v>0.5</v>
      </c>
      <c r="H47" s="609">
        <v>0.5</v>
      </c>
      <c r="I47" s="609">
        <v>0.5</v>
      </c>
      <c r="J47" s="609">
        <v>0.5</v>
      </c>
      <c r="K47" s="609">
        <v>0.5</v>
      </c>
      <c r="L47" s="609">
        <v>0.5</v>
      </c>
      <c r="M47" s="610">
        <v>0.5</v>
      </c>
      <c r="O47" s="121"/>
      <c r="P47" s="539"/>
      <c r="AE47" s="542"/>
      <c r="AF47" s="542"/>
      <c r="AG47" s="543"/>
      <c r="AH47" s="366"/>
      <c r="CW47" s="790"/>
      <c r="CX47" s="134"/>
      <c r="CY47" s="134"/>
    </row>
    <row r="48" spans="1:116" ht="19">
      <c r="A48" s="402"/>
      <c r="B48" s="173" t="s">
        <v>1105</v>
      </c>
      <c r="C48" s="671" t="s">
        <v>1109</v>
      </c>
      <c r="D48" s="609"/>
      <c r="E48" s="609"/>
      <c r="F48" s="609"/>
      <c r="G48" s="609"/>
      <c r="H48" s="609"/>
      <c r="I48" s="609">
        <v>0.1</v>
      </c>
      <c r="J48" s="609">
        <v>0.9</v>
      </c>
      <c r="K48" s="609"/>
      <c r="L48" s="609"/>
      <c r="M48" s="706">
        <v>0.1</v>
      </c>
      <c r="O48" s="121"/>
      <c r="P48" s="539"/>
      <c r="AE48" s="542"/>
      <c r="AF48" s="542"/>
      <c r="AG48" s="543"/>
      <c r="AH48" s="366"/>
      <c r="CW48" s="791"/>
      <c r="CX48" s="134"/>
      <c r="CY48" s="134"/>
    </row>
    <row r="49" spans="1:103" ht="20" thickBot="1">
      <c r="A49" s="402"/>
      <c r="B49" s="173" t="s">
        <v>1163</v>
      </c>
      <c r="C49" s="672" t="s">
        <v>1164</v>
      </c>
      <c r="D49" s="673"/>
      <c r="E49" s="673"/>
      <c r="F49" s="673"/>
      <c r="G49" s="673"/>
      <c r="H49" s="673"/>
      <c r="I49" s="673">
        <v>1.4</v>
      </c>
      <c r="J49" s="673">
        <v>0.35</v>
      </c>
      <c r="K49" s="673"/>
      <c r="L49" s="673"/>
      <c r="M49" s="674">
        <v>1.4</v>
      </c>
      <c r="O49" s="121"/>
      <c r="P49" s="539"/>
      <c r="AE49" s="542"/>
      <c r="AF49" s="542"/>
      <c r="AG49" s="543"/>
      <c r="AH49" s="366"/>
      <c r="CW49" s="786"/>
      <c r="CX49" s="134"/>
      <c r="CY49" s="728"/>
    </row>
    <row r="50" spans="1:103" s="120" customFormat="1" ht="20" thickBot="1">
      <c r="A50" s="401" t="s">
        <v>135</v>
      </c>
      <c r="B50" s="392"/>
      <c r="C50" s="143" t="s">
        <v>1098</v>
      </c>
      <c r="D50" s="130">
        <f>IF(MID(INDEX(typeInstallationAG,1,1),18,5)="протяж",ROUNDUP(MAX(0.5, MAX(INDEX('Pipe calculation'!pipeDiameter, 1, 1):INDEX('Pipe calculation'!pipeDiameter, 1, 'Pipe calculation'!pipeDifferentParametersNum)))*4,0),IF(MID(INDEX(typeInstallationAG,1,1),1,4)="глуб",200,IF(MID(INDEX(typeInstallationAG,1,1),1,3)="под",50,"")))</f>
        <v>200</v>
      </c>
      <c r="E50" s="130">
        <f>IF(MID(INDEX(typeInstallationAG,1,2),18,5)="протяж",ROUNDUP(MAX(0.5, MAX(INDEX('Pipe calculation'!pipeDiameter, 1, 1):INDEX('Pipe calculation'!pipeDiameter, 1, 'Pipe calculation'!pipeDifferentParametersNum)))*4,0),IF(MID(INDEX(typeInstallationAG,1,2),1,4)="глуб",200,IF(MID(INDEX(typeInstallationAG,1,2),1,3)="под",50,"")))</f>
        <v>200</v>
      </c>
      <c r="F50" s="130">
        <f>IF(MID(INDEX(typeInstallationAG,1,3),18,5)="протяж",ROUNDUP(MAX(0.5, MAX(INDEX('Pipe calculation'!pipeDiameter, 1, 1):INDEX('Pipe calculation'!pipeDiameter, 1, 'Pipe calculation'!pipeDifferentParametersNum)))*4,0),IF(MID(INDEX(typeInstallationAG,1,3),1,4)="глуб",200,IF(MID(INDEX(typeInstallationAG,1,3),1,3)="под",50,"")))</f>
        <v>50</v>
      </c>
      <c r="G50" s="130">
        <f>IF(MID(INDEX(typeInstallationAG,1,4),18,5)="протяж",ROUNDUP(MAX(0.5, MAX(INDEX('Pipe calculation'!pipeDiameter, 1, 1):INDEX('Pipe calculation'!pipeDiameter, 1, 'Pipe calculation'!pipeDifferentParametersNum)))*4,0),IF(MID(INDEX(typeInstallationAG,1,4),1,4)="глуб",200,IF(MID(INDEX(typeInstallationAG,1,4),1,3)="под",50,"")))</f>
        <v>50</v>
      </c>
      <c r="H50" s="130">
        <f>IF(MID(INDEX(typeInstallationAG,1,5),18,5)="протяж",ROUNDUP(MAX(0.5, MAX(INDEX('Pipe calculation'!pipeDiameter, 1, 1):INDEX('Pipe calculation'!pipeDiameter, 1, 'Pipe calculation'!pipeDifferentParametersNum)))*4,0),IF(MID(INDEX(typeInstallationAG,1,5),1,4)="глуб",200,IF(MID(INDEX(typeInstallationAG,1,5),1,3)="под",50,"")))</f>
        <v>50</v>
      </c>
      <c r="I50" s="130">
        <f>IF(MID(INDEX(typeInstallationAG,1,6),18,6)="протяж",ROUNDUP(MAX(0.5, MAX(INDEX('Pipe calculation'!pipeDiameter, 1, 1):INDEX('Pipe calculation'!pipeDiameter, 1, 'Pipe calculation'!pipeDifferentParametersNum)))*4,0),IF(MID(INDEX(typeInstallationAG,1,6),1,4)="глуб",200,IF(MID(INDEX(typeInstallationAG,1,6),1,3)="под",50,"")))</f>
        <v>2</v>
      </c>
      <c r="J50" s="130">
        <f>IF(MID(INDEX(typeInstallationAG,1,7),18,6)="протяж",ROUNDUP(MAX(0.5, MAX(INDEX('Pipe calculation'!pipeDiameter, 1, 1):INDEX('Pipe calculation'!pipeDiameter, 1, 'Pipe calculation'!pipeDifferentParametersNum)))*4,0),IF(MID(INDEX(typeInstallationAG,1,7),1,4)="глуб",200,IF(MID(INDEX(typeInstallationAG,1,7),1,3)="под",50,"")))</f>
        <v>2</v>
      </c>
      <c r="K50" s="130">
        <f>IF(MID(INDEX(typeInstallationAG,1,8),18,6)="протяж",ROUNDUP(MAX(0.5, MAX(INDEX('Pipe calculation'!pipeDiameter, 1, 1):INDEX('Pipe calculation'!pipeDiameter, 1, 'Pipe calculation'!pipeDifferentParametersNum)))*4,0),IF(MID(INDEX(typeInstallationAG,1,8),1,4)="глуб",200,IF(MID(INDEX(typeInstallationAG,1,8),1,3)="под",50,"")))</f>
        <v>200</v>
      </c>
      <c r="L50" s="130">
        <f>IF(MID(INDEX(typeInstallationAG,1,9),18,6)="протяж",ROUNDUP(MAX(0.5, MAX(INDEX('Pipe calculation'!pipeDiameter, 1, 1):INDEX('Pipe calculation'!pipeDiameter, 1, 'Pipe calculation'!pipeDifferentParametersNum)))*4,0),IF(MID(INDEX(typeInstallationAG,1,9),1,4)="глуб",200,IF(MID(INDEX(typeInstallationAG,1,9),1,3)="под",50,"")))</f>
        <v>200</v>
      </c>
      <c r="M50" s="130">
        <f>IF(MID(INDEX(typeInstallationAG,1,10),18,6)="протяж",ROUNDUP(MAX(0.5, MAX(INDEX('Pipe calculation'!pipeDiameter, 1, 1):INDEX('Pipe calculation'!pipeDiameter, 1, 'Pipe calculation'!pipeDifferentParametersNum)))*4,0),IF(MID(INDEX(typeInstallationAG,1,10),1,4)="глуб",200,IF(MID(INDEX(typeInstallationAG,1,10),1,3)="под",50,"")))</f>
        <v>2</v>
      </c>
      <c r="N50" s="699"/>
      <c r="O50" s="700"/>
      <c r="P50" s="701"/>
      <c r="Q50" s="699"/>
      <c r="R50" s="699"/>
      <c r="S50" s="699"/>
      <c r="T50" s="699"/>
      <c r="U50" s="699"/>
      <c r="V50" s="699"/>
      <c r="W50" s="699"/>
      <c r="X50" s="699"/>
      <c r="Y50" s="699"/>
      <c r="Z50" s="699"/>
      <c r="AA50" s="699"/>
      <c r="AB50" s="699"/>
      <c r="AC50" s="699"/>
      <c r="AD50" s="699"/>
      <c r="AE50" s="702"/>
      <c r="AF50" s="702"/>
      <c r="AG50" s="703"/>
      <c r="AH50" s="704"/>
      <c r="AI50" s="699"/>
      <c r="AJ50" s="699"/>
      <c r="AK50" s="699"/>
      <c r="AL50" s="699"/>
      <c r="AM50" s="699"/>
      <c r="AN50" s="699"/>
      <c r="AO50" s="699"/>
      <c r="AP50" s="699"/>
      <c r="AQ50" s="699"/>
      <c r="AR50" s="699"/>
      <c r="AS50" s="699"/>
      <c r="AT50" s="699"/>
      <c r="AU50" s="699"/>
      <c r="AV50" s="699"/>
      <c r="AW50" s="699"/>
      <c r="AX50" s="699"/>
      <c r="AY50" s="699"/>
      <c r="AZ50" s="699"/>
      <c r="BA50" s="699"/>
      <c r="BB50" s="699"/>
      <c r="BC50" s="699"/>
      <c r="BD50" s="699"/>
      <c r="BE50" s="699"/>
      <c r="BF50" s="699"/>
      <c r="BG50" s="699"/>
      <c r="BH50" s="699"/>
      <c r="BI50" s="699"/>
      <c r="BJ50" s="699"/>
      <c r="BK50" s="699"/>
      <c r="BL50" s="699"/>
      <c r="BM50" s="699"/>
      <c r="BN50" s="699"/>
      <c r="BO50" s="699"/>
      <c r="BP50" s="699"/>
      <c r="BQ50" s="699"/>
      <c r="BR50" s="699"/>
      <c r="BS50" s="699"/>
      <c r="BT50" s="699"/>
      <c r="BU50" s="699"/>
      <c r="BV50" s="699"/>
      <c r="BW50" s="699"/>
      <c r="BX50" s="699"/>
      <c r="BY50" s="699"/>
      <c r="BZ50" s="699"/>
      <c r="CA50" s="699"/>
      <c r="CB50" s="699"/>
      <c r="CC50" s="699"/>
      <c r="CD50" s="699"/>
      <c r="CE50" s="699"/>
      <c r="CF50" s="699"/>
      <c r="CG50" s="699"/>
      <c r="CH50" s="699"/>
      <c r="CI50" s="699"/>
      <c r="CJ50" s="699"/>
      <c r="CK50" s="699"/>
      <c r="CL50" s="699"/>
      <c r="CM50" s="699"/>
      <c r="CN50" s="699"/>
      <c r="CO50" s="699"/>
      <c r="CP50" s="699"/>
      <c r="CQ50" s="699"/>
      <c r="CR50" s="699"/>
      <c r="CS50" s="699"/>
      <c r="CT50" s="699"/>
      <c r="CU50" s="699"/>
      <c r="CV50" s="699"/>
      <c r="CW50" s="705" t="s">
        <v>1184</v>
      </c>
      <c r="CX50" s="365"/>
      <c r="CY50" s="134"/>
    </row>
    <row r="51" spans="1:103" ht="26" thickBot="1">
      <c r="A51" s="402"/>
      <c r="B51" s="173" t="s">
        <v>567</v>
      </c>
      <c r="C51" s="678" t="s">
        <v>961</v>
      </c>
      <c r="D51" s="449">
        <v>5.5</v>
      </c>
      <c r="E51" s="449">
        <v>1.6</v>
      </c>
      <c r="F51" s="449">
        <v>1.6</v>
      </c>
      <c r="G51" s="449">
        <v>1.6</v>
      </c>
      <c r="H51" s="449">
        <v>1.6</v>
      </c>
      <c r="I51" s="449">
        <v>1.6</v>
      </c>
      <c r="J51" s="449">
        <v>1.6</v>
      </c>
      <c r="K51" s="449">
        <v>1.6</v>
      </c>
      <c r="L51" s="449">
        <v>1.6</v>
      </c>
      <c r="M51" s="591">
        <v>1.6</v>
      </c>
      <c r="O51" s="121"/>
      <c r="P51" s="539"/>
      <c r="AE51" s="540"/>
      <c r="AF51"/>
      <c r="AG51"/>
      <c r="AH51"/>
      <c r="CW51" s="686" t="s">
        <v>1025</v>
      </c>
      <c r="CX51" s="405"/>
      <c r="CY51" s="405"/>
    </row>
    <row r="52" spans="1:103" ht="19">
      <c r="A52" s="402"/>
      <c r="B52" s="173" t="s">
        <v>563</v>
      </c>
      <c r="C52" s="678" t="s">
        <v>1106</v>
      </c>
      <c r="D52" s="449">
        <v>50</v>
      </c>
      <c r="E52" s="449"/>
      <c r="F52" s="449">
        <v>50</v>
      </c>
      <c r="G52" s="449">
        <v>50</v>
      </c>
      <c r="H52" s="449">
        <v>50</v>
      </c>
      <c r="I52" s="449">
        <v>50</v>
      </c>
      <c r="J52" s="449">
        <v>50</v>
      </c>
      <c r="K52" s="449"/>
      <c r="L52" s="449"/>
      <c r="M52" s="591">
        <v>50</v>
      </c>
      <c r="O52" s="121"/>
      <c r="P52" s="539"/>
      <c r="AE52" s="542"/>
      <c r="AF52" s="542"/>
      <c r="AG52" s="543"/>
      <c r="AH52" s="366"/>
      <c r="CW52" s="785" t="s">
        <v>1033</v>
      </c>
      <c r="CX52" s="134"/>
      <c r="CY52" s="134"/>
    </row>
    <row r="53" spans="1:103" ht="19">
      <c r="A53" s="402"/>
      <c r="B53" s="173" t="s">
        <v>1071</v>
      </c>
      <c r="C53" s="679" t="s">
        <v>1107</v>
      </c>
      <c r="D53" s="449">
        <v>21</v>
      </c>
      <c r="E53" s="449">
        <v>50</v>
      </c>
      <c r="F53" s="449"/>
      <c r="G53" s="449"/>
      <c r="H53" s="449"/>
      <c r="I53" s="449"/>
      <c r="J53" s="449"/>
      <c r="K53" s="449">
        <v>50</v>
      </c>
      <c r="L53" s="449">
        <v>50</v>
      </c>
      <c r="M53" s="591"/>
      <c r="O53" s="121"/>
      <c r="P53" s="539"/>
      <c r="AE53" s="542"/>
      <c r="AF53" s="542"/>
      <c r="AG53" s="543"/>
      <c r="AH53" s="366"/>
      <c r="CW53" s="787"/>
      <c r="CX53" s="134"/>
      <c r="CY53" s="134"/>
    </row>
    <row r="54" spans="1:103" ht="17" thickBot="1">
      <c r="A54" s="402"/>
      <c r="B54" s="173" t="s">
        <v>17</v>
      </c>
      <c r="C54" s="680" t="s">
        <v>964</v>
      </c>
      <c r="D54" s="449">
        <v>1</v>
      </c>
      <c r="E54" s="449">
        <v>1</v>
      </c>
      <c r="F54" s="449">
        <v>1</v>
      </c>
      <c r="G54" s="449">
        <v>1</v>
      </c>
      <c r="H54" s="449">
        <v>1</v>
      </c>
      <c r="I54" s="449">
        <v>1</v>
      </c>
      <c r="J54" s="449">
        <v>1</v>
      </c>
      <c r="K54" s="449">
        <v>1</v>
      </c>
      <c r="L54" s="449">
        <v>1</v>
      </c>
      <c r="M54" s="591">
        <v>1</v>
      </c>
      <c r="N54" s="546"/>
      <c r="O54" s="546"/>
      <c r="P54" s="546"/>
      <c r="Q54" s="546"/>
      <c r="R54" s="546"/>
      <c r="S54" s="546"/>
      <c r="T54" s="546"/>
      <c r="U54" s="546"/>
      <c r="V54" s="546"/>
      <c r="W54" s="546"/>
      <c r="X54" s="546"/>
      <c r="Y54" s="546"/>
      <c r="Z54" s="546"/>
      <c r="AA54" s="546"/>
      <c r="AB54" s="546"/>
      <c r="AC54" s="546"/>
      <c r="AD54" s="546"/>
      <c r="AE54" s="546"/>
      <c r="AF54" s="546"/>
      <c r="AG54" s="546"/>
      <c r="AH54" s="546"/>
      <c r="AI54" s="546"/>
      <c r="AJ54" s="546"/>
      <c r="AK54" s="546"/>
      <c r="AL54" s="546"/>
      <c r="AM54" s="546"/>
      <c r="AN54" s="546"/>
      <c r="AO54" s="546"/>
      <c r="AP54" s="546"/>
      <c r="AQ54" s="546"/>
      <c r="AR54" s="546"/>
      <c r="AS54" s="546"/>
      <c r="AT54" s="546"/>
      <c r="AU54" s="546"/>
      <c r="AV54" s="546"/>
      <c r="AW54" s="546"/>
      <c r="AX54" s="546"/>
      <c r="AY54" s="546"/>
      <c r="AZ54" s="546"/>
      <c r="BA54" s="546"/>
      <c r="BB54" s="546"/>
      <c r="BC54" s="546"/>
      <c r="BD54" s="546"/>
      <c r="BE54" s="546"/>
      <c r="BF54" s="546"/>
      <c r="BG54" s="546"/>
      <c r="BH54" s="546"/>
      <c r="BI54" s="546"/>
      <c r="BJ54" s="546"/>
      <c r="BK54" s="546"/>
      <c r="BL54" s="546"/>
      <c r="BM54" s="546"/>
      <c r="BN54" s="546"/>
      <c r="BO54" s="546"/>
      <c r="BP54" s="546"/>
      <c r="BQ54" s="546"/>
      <c r="BR54" s="546"/>
      <c r="BS54" s="546"/>
      <c r="BT54" s="546"/>
      <c r="BU54" s="546"/>
      <c r="BV54" s="546"/>
      <c r="BW54" s="546"/>
      <c r="BX54" s="546"/>
      <c r="BY54" s="546"/>
      <c r="BZ54" s="546"/>
      <c r="CA54" s="546"/>
      <c r="CB54" s="546"/>
      <c r="CC54" s="546"/>
      <c r="CD54" s="546"/>
      <c r="CE54" s="546"/>
      <c r="CF54" s="546"/>
      <c r="CG54" s="546"/>
      <c r="CH54" s="546"/>
      <c r="CI54" s="546"/>
      <c r="CJ54" s="546"/>
      <c r="CK54" s="546"/>
      <c r="CL54" s="546"/>
      <c r="CM54" s="546"/>
      <c r="CN54" s="546"/>
      <c r="CO54" s="546"/>
      <c r="CP54" s="546"/>
      <c r="CQ54" s="546"/>
      <c r="CR54" s="546"/>
      <c r="CS54" s="546"/>
      <c r="CT54" s="546"/>
      <c r="CU54" s="546"/>
      <c r="CV54" s="546"/>
      <c r="CW54" s="788"/>
      <c r="CX54" s="134"/>
      <c r="CY54" s="728"/>
    </row>
    <row r="55" spans="1:103" ht="28">
      <c r="A55" s="402"/>
      <c r="B55" s="173" t="s">
        <v>497</v>
      </c>
      <c r="C55" s="680" t="s">
        <v>1101</v>
      </c>
      <c r="D55" s="449">
        <v>0.77</v>
      </c>
      <c r="E55" s="449">
        <v>0.77</v>
      </c>
      <c r="F55" s="449">
        <v>0.77</v>
      </c>
      <c r="G55" s="449">
        <v>0.77</v>
      </c>
      <c r="H55" s="449">
        <v>0.77</v>
      </c>
      <c r="I55" s="449">
        <v>0.77</v>
      </c>
      <c r="J55" s="449">
        <v>0.77</v>
      </c>
      <c r="K55" s="449">
        <v>0.77</v>
      </c>
      <c r="L55" s="449">
        <v>0.77</v>
      </c>
      <c r="M55" s="591">
        <v>0.77</v>
      </c>
      <c r="O55" s="121"/>
      <c r="P55" s="539"/>
      <c r="AE55" s="547"/>
      <c r="AF55"/>
      <c r="AG55"/>
      <c r="AH55"/>
      <c r="CW55" s="785" t="s">
        <v>1025</v>
      </c>
      <c r="CX55" s="134"/>
      <c r="CY55" s="728"/>
    </row>
    <row r="56" spans="1:103" ht="17" thickBot="1">
      <c r="A56" s="403"/>
      <c r="B56" s="173" t="s">
        <v>609</v>
      </c>
      <c r="C56" s="681" t="s">
        <v>1102</v>
      </c>
      <c r="D56" s="592">
        <v>0.7</v>
      </c>
      <c r="E56" s="592">
        <v>0.7</v>
      </c>
      <c r="F56" s="592">
        <v>0.7</v>
      </c>
      <c r="G56" s="592">
        <v>0.7</v>
      </c>
      <c r="H56" s="592">
        <v>0.7</v>
      </c>
      <c r="I56" s="592">
        <v>0.7</v>
      </c>
      <c r="J56" s="592">
        <v>0.7</v>
      </c>
      <c r="K56" s="592">
        <v>0.7</v>
      </c>
      <c r="L56" s="592">
        <v>0.7</v>
      </c>
      <c r="M56" s="593">
        <v>0.7</v>
      </c>
      <c r="O56" s="121"/>
      <c r="P56" s="539"/>
      <c r="CW56" s="786"/>
      <c r="CX56" s="134"/>
      <c r="CY56" s="134"/>
    </row>
    <row r="57" spans="1:103" s="514" customFormat="1" ht="17" thickBot="1">
      <c r="A57" s="512"/>
      <c r="B57" s="513"/>
      <c r="C57" s="675" t="s">
        <v>864</v>
      </c>
      <c r="D57" s="676" t="s">
        <v>1049</v>
      </c>
      <c r="E57" s="676" t="s">
        <v>1050</v>
      </c>
      <c r="F57" s="676" t="s">
        <v>1051</v>
      </c>
      <c r="G57" s="676" t="s">
        <v>1052</v>
      </c>
      <c r="H57" s="676" t="s">
        <v>1053</v>
      </c>
      <c r="I57" s="676" t="s">
        <v>1054</v>
      </c>
      <c r="J57" s="676" t="s">
        <v>1055</v>
      </c>
      <c r="K57" s="676" t="s">
        <v>1056</v>
      </c>
      <c r="L57" s="676" t="s">
        <v>1057</v>
      </c>
      <c r="M57" s="677" t="s">
        <v>1058</v>
      </c>
      <c r="O57" s="548"/>
      <c r="CW57" s="693"/>
      <c r="CX57" s="134"/>
      <c r="CY57" s="134"/>
    </row>
    <row r="58" spans="1:103" s="497" customFormat="1" ht="31" thickBot="1">
      <c r="A58" s="500" t="s">
        <v>132</v>
      </c>
      <c r="B58" s="496" t="s">
        <v>917</v>
      </c>
      <c r="C58" s="651" t="s">
        <v>969</v>
      </c>
      <c r="D58" s="652">
        <f>IFERROR((INDEX(factorVoltageMarginCP,1,1)*INDEX(nominalOutputVoltageCP,1,1)/INDEX(currentEndLifeCP,1,1))-('Pipe calculation'!pipeInputResistanceEndLife+INDEX(wiresResistanceCPpipeAG,1,1)),"")</f>
        <v>1.8282460204331086</v>
      </c>
      <c r="E58" s="652" t="str">
        <f>IFERROR((INDEX(factorVoltageMarginCP,1,2)*INDEX(nominalOutputVoltageCP,1,2)/INDEX(currentEndLifeCP,1,2))-('Pipe calculation'!pipeInputResistanceEndLife+INDEX(wiresResistanceCPpipeAG,1,2)),"")</f>
        <v/>
      </c>
      <c r="F58" s="652" t="str">
        <f>IFERROR((INDEX(factorVoltageMarginCP,1,3)*INDEX(nominalOutputVoltageCP,1,3)/INDEX(currentEndLifeCP,1,3))-('Pipe calculation'!pipeInputResistanceEndLife+INDEX(wiresResistanceCPpipeAG,1,3)),"")</f>
        <v/>
      </c>
      <c r="G58" s="652" t="str">
        <f>IFERROR((INDEX(factorVoltageMarginCP,1,4)*INDEX(nominalOutputVoltageCP,1,4)/INDEX(currentEndLifeCP,1,4))-('Pipe calculation'!pipeInputResistanceEndLife+INDEX(wiresResistanceCPpipeAG,1,4)),"")</f>
        <v/>
      </c>
      <c r="H58" s="652" t="str">
        <f>IFERROR((INDEX(factorVoltageMarginCP,1,5)*INDEX(nominalOutputVoltageCP,1,5)/INDEX(currentEndLifeCP,1,5))-('Pipe calculation'!pipeInputResistanceEndLife+INDEX(wiresResistanceCPpipeAG,1,5)),"")</f>
        <v/>
      </c>
      <c r="I58" s="652" t="str">
        <f>IFERROR((INDEX(factorVoltageMarginCP,1,6)*INDEX(nominalOutputVoltageCP,1,6)/INDEX(currentEndLifeCP,1,6))-('Pipe calculation'!pipeInputResistanceEndLife+INDEX(wiresResistanceCPpipeAG,1,6)),"")</f>
        <v/>
      </c>
      <c r="J58" s="652" t="str">
        <f>IFERROR((INDEX(factorVoltageMarginCP,1,7)*INDEX(nominalOutputVoltageCP,1,7)/INDEX(currentEndLifeCP,1,7))-('Pipe calculation'!pipeInputResistanceEndLife+INDEX(wiresResistanceCPpipeAG,1,7)),"")</f>
        <v/>
      </c>
      <c r="K58" s="652" t="str">
        <f>IFERROR((INDEX(factorVoltageMarginCP,1,8)*INDEX(nominalOutputVoltageCP,1,8)/INDEX(currentEndLifeCP,1,8))-('Pipe calculation'!pipeInputResistanceEndLife+INDEX(wiresResistanceCPpipeAG,1,8)),"")</f>
        <v/>
      </c>
      <c r="L58" s="652" t="str">
        <f>IFERROR((INDEX(factorVoltageMarginCP,1,9)*INDEX(nominalOutputVoltageCP,1,9)/INDEX(currentEndLifeCP,1,9))-('Pipe calculation'!pipeInputResistanceEndLife+INDEX(wiresResistanceCPpipeAG,1,9)),"")</f>
        <v/>
      </c>
      <c r="M58" s="653" t="str">
        <f>IFERROR((INDEX(factorVoltageMarginCP,1,10)*INDEX(nominalOutputVoltageCP,1,10)/INDEX(currentEndLifeCP,1,10))-('Pipe calculation'!pipeInputResistanceEndLife+INDEX(wiresResistanceCPpipeAG,1,10)),"")</f>
        <v/>
      </c>
      <c r="N58" s="551"/>
      <c r="O58" s="498"/>
      <c r="P58" s="499"/>
      <c r="CW58" s="694" t="s">
        <v>1075</v>
      </c>
      <c r="CX58" s="134"/>
      <c r="CY58" s="729"/>
    </row>
    <row r="59" spans="1:103" s="431" customFormat="1" ht="21">
      <c r="A59" s="793"/>
      <c r="B59" s="429" t="s">
        <v>918</v>
      </c>
      <c r="C59" s="501" t="s">
        <v>970</v>
      </c>
      <c r="D59" s="430">
        <f>IFERROR(IF(ISNUMBER(SEARCH("глубин",D36)),3.5*INDEX(resistivity_i_layerDeepAG,1,1)/PI()/ INDEX(resistanceEndLifeAG,1,1),""),"")</f>
        <v>12.796842642089379</v>
      </c>
      <c r="E59" s="430" t="str">
        <f>IFERROR(IF(ISNUMBER(SEARCH("глубин",E36)),3.5*INDEX(resistivity_i_layerDeepAG,1,2)/PI()/ INDEX(resistanceEndLifeAG,1,2),""),"")</f>
        <v/>
      </c>
      <c r="F59" s="439" t="str">
        <f>IFERROR(IF(ISNUMBER(SEARCH("глубин",F36)),3.5*INDEX(resistivity_i_layerDeepAG,1,3)/PI()/ INDEX(resistanceEndLifeAG,1,3),""),"")</f>
        <v/>
      </c>
      <c r="G59" s="439" t="str">
        <f>IFERROR(IF(ISNUMBER(SEARCH("глубин",G36)),3.5*INDEX(resistivity_i_layerDeepAG,1,4)/PI()/ INDEX(resistanceEndLifeAG,1,4),""),"")</f>
        <v/>
      </c>
      <c r="H59" s="439" t="str">
        <f>IFERROR(IF(ISNUMBER(SEARCH("глубин",H36)),3.5*INDEX(resistivity_i_layerDeepAG,1,5)/PI()/INDEX(resistanceEndLifeAG,1,5),""),"")</f>
        <v/>
      </c>
      <c r="I59" s="439" t="str">
        <f>IFERROR(IF(ISNUMBER(SEARCH("глубин",I36)),3.5*INDEX(resistivity_i_layerDeepAG,1,6)/PI()/ INDEX(resistanceEndLifeAG,1,6),""),"")</f>
        <v/>
      </c>
      <c r="J59" s="439" t="str">
        <f>IFERROR(IF(ISNUMBER(SEARCH("глубин",J36)),3.5*INDEX(resistivity_i_layerDeepAG,1,7)/PI()/ INDEX(resistanceEndLifeAG,1,7),""),"")</f>
        <v/>
      </c>
      <c r="K59" s="439" t="str">
        <f>IFERROR(IF(ISNUMBER(SEARCH("глубин",K36)),3.5*INDEX(resistivity_i_layerDeepAG,1,8)/PI()/ INDEX(resistanceEndLifeAG,1,8),""),"")</f>
        <v/>
      </c>
      <c r="L59" s="439" t="str">
        <f>IFERROR(IF(ISNUMBER(SEARCH("глубин",L36)),3.5*INDEX(resistivity_i_layerDeepAG,1,9)/PI()/ INDEX(resistanceEndLifeAG,1,9),""),"")</f>
        <v/>
      </c>
      <c r="M59" s="794" t="str">
        <f>IFERROR(IF(ISNUMBER(SEARCH("глубин",M36)),3.5*INDEX(resistivity_i_layerDeepAG,1,10)/PI()/ INDEX(resistanceEndLifeAG,1,10),""),"")</f>
        <v/>
      </c>
      <c r="N59" s="795"/>
      <c r="O59" s="432"/>
      <c r="P59" s="433"/>
      <c r="CW59" s="796" t="s">
        <v>1031</v>
      </c>
      <c r="CX59" s="732"/>
      <c r="CY59" s="797"/>
    </row>
    <row r="60" spans="1:103" s="431" customFormat="1" ht="31" hidden="1">
      <c r="A60" s="428" t="s">
        <v>559</v>
      </c>
      <c r="B60" s="429" t="s">
        <v>1062</v>
      </c>
      <c r="C60" s="502" t="s">
        <v>973</v>
      </c>
      <c r="D60" s="430" t="str">
        <f>IF(OR(ISNUMBER(SEARCH(D36,C60)),D36="подповерхностный комбинированный"),IFERROR((INDEX(resistivitySoilAG,1,1)/(2*PI()*INDEX(lengthElectrodeAG,1,1)))*(LN(2*INDEX(lengthElectrodeAG,1,1)/INDEX(diameterAG,1,1))+0.5*LN((4*INDEX(depthToMidAG,1,1)+INDEX(lengthElectrodeAG,1,1))/(4*INDEX(depthToMidAG,1,1)-INDEX(lengthElectrodeAG,1,1)))),""),"")</f>
        <v/>
      </c>
      <c r="E60" s="430" t="str">
        <f>IF(OR(ISNUMBER(SEARCH(E36,C60)),E36="подповерхностный комбинированный"),IFERROR((INDEX(resistivitySoilAG,1,2)/(2*PI()*INDEX(lengthElectrodeAG,1,2)))*(LN(2*INDEX(lengthElectrodeAG,1,2)/INDEX(diameterAG,1,2))+0.5*LN((4*INDEX(depthToMidAG,1,2)+INDEX(lengthElectrodeAG,1,2))/(4*INDEX(depthToMidAG,1,2)-INDEX(lengthElectrodeAG,1,2)))),""),"")</f>
        <v/>
      </c>
      <c r="F60" s="430" t="str">
        <f>IF(OR(ISNUMBER(SEARCH(F36,C60)),F36="подповерхностный комбинированный"),IFERROR((INDEX(resistivitySoilAG,1,3)/(2*PI()*INDEX(lengthElectrodeAG,1,3)))*(LN(2*INDEX(lengthElectrodeAG,1,3)/INDEX(diameterAG,1,3))+0.5*LN((4*INDEX(depthToMidAG,1,3)+INDEX(lengthElectrodeAG,1,3))/(4*INDEX(depthToMidAG,1,3)-INDEX(lengthElectrodeAG,1,3)))),""),"")</f>
        <v/>
      </c>
      <c r="G60" s="430">
        <f>IF(OR(ISNUMBER(SEARCH(G36,C60)),G36="подповерхностный комбинированный"),IFERROR((INDEX(resistivitySoilAG,1,4)/(2*PI()*INDEX(lengthElectrodeAG,1,4)))*(LN(2*INDEX(lengthElectrodeAG,1,4)/INDEX(diameterAG,1,4))+0.5*LN((4*INDEX(depthToMidAG,1,4)+INDEX(lengthElectrodeAG,1,4))/(4*INDEX(depthToMidAG,1,4)-INDEX(lengthElectrodeAG,1,4)))),""),"")</f>
        <v>30.608837630800959</v>
      </c>
      <c r="H60" s="430" t="str">
        <f>IF(OR(ISNUMBER(SEARCH(H36,C60)),H36="подповерхностный комбинированный"),IFERROR((INDEX(resistivitySoilAG,1,5)/(2*PI()*INDEX(lengthElectrodeAG,1,5)))*(LN(2*INDEX(lengthElectrodeAG,1,5)/INDEX(diameterAG,1,5))+0.5*LN((4*INDEX(depthToMidAG,1,5)+INDEX(lengthElectrodeAG,1,5))/(4*INDEX(depthToMidAG,1,5)-INDEX(lengthElectrodeAG,1,5)))),""),"")</f>
        <v/>
      </c>
      <c r="I60" s="430" t="str">
        <f>IF(OR(ISNUMBER(SEARCH(I36,C60)),I36="подповерхностный комбинированный"),IFERROR((INDEX(resistivitySoilAG,1,6)/(2*PI()*INDEX(lengthElectrodeAG,1,6)))*(LN(2*INDEX(lengthElectrodeAG,1,6)/INDEX(diameterAG,1,6))+0.5*LN((4*INDEX(depthToMidAG,1,6)+INDEX(lengthElectrodeAG,1,6))/(4*INDEX(depthToMidAG,1,6)-INDEX(lengthElectrodeAG,1,6)))),""),"")</f>
        <v/>
      </c>
      <c r="J60" s="430" t="str">
        <f>IF(OR(ISNUMBER(SEARCH(J36,C60)),J36="подповерхностный комбинированный"),IFERROR((INDEX(resistivitySoilAG,1,7)/(2*PI()*INDEX(lengthElectrodeAG,1,7)))*(LN(2*INDEX(lengthElectrodeAG,1,7)/INDEX(diameterAG,1,7))+0.5*LN((4*INDEX(depthToMidAG,1,7)+INDEX(lengthElectrodeAG,1,7))/(4*INDEX(depthToMidAG,1,7)-INDEX(lengthElectrodeAG,1,7)))),""),"")</f>
        <v/>
      </c>
      <c r="K60" s="430" t="str">
        <f>IF(OR(ISNUMBER(SEARCH(K36,C60)),K36="подповерхностный комбинированный"),IFERROR((INDEX(resistivitySoilAG,1,8)/(2*PI()*INDEX(lengthElectrodeAG,1,8)))*(LN(2*INDEX(lengthElectrodeAG,1,8)/INDEX(diameterAG,1,8))+0.5*LN((4*INDEX(depthToMidAG,1,8)+INDEX(lengthElectrodeAG,1,8))/(4*INDEX(depthToMidAG,1,8)-INDEX(lengthElectrodeAG,1,8)))),""),"")</f>
        <v/>
      </c>
      <c r="L60" s="430" t="str">
        <f>IF(OR(ISNUMBER(SEARCH(L36,C60)),L36="подповерхностный комбинированный"),IFERROR((INDEX(resistivitySoilAG,1,9)/(2*PI()*INDEX(lengthElectrodeAG,1,9)))*(LN(2*INDEX(lengthElectrodeAG,1,9)/INDEX(diameterAG,1,9))+0.5*LN((4*INDEX(depthToMidAG,1,9)+INDEX(lengthElectrodeAG,1,9))/(4*INDEX(depthToMidAG,1,9)-INDEX(lengthElectrodeAG,1,9)))),""),"")</f>
        <v/>
      </c>
      <c r="M60" s="798" t="str">
        <f>IF(OR(ISNUMBER(SEARCH(M36,C60)),M36="подповерхностный комбинированный"),IFERROR((INDEX(resistivitySoilAG,1,10)/(2*PI()*INDEX(lengthElectrodeAG,1,10)))*(LN(2*INDEX(lengthElectrodeAG,1,10)/INDEX(diameterAG,1,10))+0.5*LN((4*INDEX(depthToMidAG,1,10)+INDEX(lengthElectrodeAG,1,10))/(4*INDEX(depthToMidAG,1,10)-INDEX(lengthElectrodeAG,1,10)))),""),"")</f>
        <v/>
      </c>
      <c r="N60" s="795"/>
      <c r="O60" s="432"/>
      <c r="P60" s="433"/>
      <c r="CW60" s="695" t="s">
        <v>1032</v>
      </c>
      <c r="CX60" s="732"/>
      <c r="CY60" s="797"/>
    </row>
    <row r="61" spans="1:103" s="431" customFormat="1" ht="31" hidden="1">
      <c r="A61" s="428"/>
      <c r="B61" s="429" t="s">
        <v>1063</v>
      </c>
      <c r="C61" s="502" t="s">
        <v>974</v>
      </c>
      <c r="D61" s="430" t="str">
        <f>IF(OR(ISNUMBER(SEARCH(D36,C61)),D36="подповерхностный комбинированный"),IFERROR((INDEX(resistivitySoilAG,1,1)/(2*PI()*INDEX(lengthElectrodeAG,1,1)))*LN(2*INDEX(lengthElectrodeAG,1,1)/INDEX(diameterAG,1,1)),""),"")</f>
        <v/>
      </c>
      <c r="E61" s="430" t="str">
        <f>IF(OR(ISNUMBER(SEARCH(E36,C61)),E36="подповерхностный комбинированный"),IFERROR((INDEX(resistivitySoilAG,1,2)/(2*PI()*INDEX(lengthElectrodeAG,1,2)))*LN(2*INDEX(lengthElectrodeAG,1,2)/INDEX(diameterAG,1,2)),""),"")</f>
        <v/>
      </c>
      <c r="F61" s="430">
        <f>IF(OR(ISNUMBER(SEARCH(F36,C61)),F36="подповерхностный комбинированный"),IFERROR((INDEX(resistivitySoilAG,1,3)/(2*PI()*INDEX(lengthElectrodeAG,1,3)))*LN(2*INDEX(lengthElectrodeAG,1,3)/INDEX(diameterAG,1,3)),""),"")</f>
        <v>37.655753238518663</v>
      </c>
      <c r="G61" s="430">
        <f>IF(OR(ISNUMBER(SEARCH(G36,C61)),G36="подповерхностный комбинированный"),IFERROR((INDEX(resistivitySoilAG,1,4)/(2*PI()*INDEX(lengthElectrodeAG,1,4)))*LN(2*INDEX(lengthElectrodeAG,1,4)/INDEX(diameterAG,1,4)),""),"")</f>
        <v>29.355169979618271</v>
      </c>
      <c r="H61" s="430" t="str">
        <f>IF(OR(ISNUMBER(SEARCH(H36,C61)),H36="подповерхностный комбинированный"),IFERROR((INDEX(resistivitySoilAG,1,5)/(2*PI()*INDEX(lengthElectrodeAG,1,5)))*LN(2*INDEX(lengthElectrodeAG,1,5)/INDEX(diameterAG,1,5)),""),"")</f>
        <v/>
      </c>
      <c r="I61" s="430" t="str">
        <f>IF(OR(ISNUMBER(SEARCH(I36,C61)),I36="подповерхностный комбинированный"),IFERROR((INDEX(resistivitySoilAG,1,6)/(2*PI()*INDEX(lengthElectrodeAG,1,6)))*LN(2*INDEX(lengthElectrodeAG,1,6)/INDEX(diameterAG,1,6)),""),"")</f>
        <v/>
      </c>
      <c r="J61" s="430" t="str">
        <f>IF(OR(ISNUMBER(SEARCH(J36,C61)),J36="подповерхностный комбинированный"),IFERROR((INDEX(resistivitySoilAG,1,7)/(2*PI()*INDEX(lengthElectrodeAG,1,7)))*LN(2*INDEX(lengthElectrodeAG,1,7)/INDEX(diameterAG,1,7)),""),"")</f>
        <v/>
      </c>
      <c r="K61" s="430" t="str">
        <f>IF(OR(ISNUMBER(SEARCH(K36,C61)),K36="подповерхностный комбинированный"),IFERROR((INDEX(resistivitySoilAG,1,8)/(2*PI()*INDEX(lengthElectrodeAG,1,8)))*LN(2*INDEX(lengthElectrodeAG,1,8)/INDEX(diameterAG,1,8)),""),"")</f>
        <v/>
      </c>
      <c r="L61" s="430" t="str">
        <f>IF(OR(ISNUMBER(SEARCH(L36,C61)),L36="подповерхностный комбинированный"),IFERROR((INDEX(resistivitySoilAG,1,9)/(2*PI()*INDEX(lengthElectrodeAG,1,9)))*LN(2*INDEX(lengthElectrodeAG,1,9)/INDEX(diameterAG,1,9)),""),"")</f>
        <v/>
      </c>
      <c r="M61" s="430" t="str">
        <f>IF(OR(ISNUMBER(SEARCH(M36,C61)),M36="подповерхностный комбинированный"),IFERROR((INDEX(resistivitySoilAG,1,10)/(2*PI()*INDEX(lengthElectrodeAG,1,10)))*LN(2*INDEX(lengthElectrodeAG,1,10)/INDEX(diameterAG,1,10)),""),"")</f>
        <v/>
      </c>
      <c r="O61" s="432"/>
      <c r="P61" s="433"/>
      <c r="CW61" s="695" t="s">
        <v>1032</v>
      </c>
      <c r="CX61" s="732"/>
      <c r="CY61" s="733"/>
    </row>
    <row r="62" spans="1:103" s="431" customFormat="1" ht="21" hidden="1">
      <c r="A62" s="440"/>
      <c r="B62" s="429"/>
      <c r="C62" s="502"/>
      <c r="D62" s="430"/>
      <c r="E62" s="430"/>
      <c r="F62" s="430"/>
      <c r="G62" s="430"/>
      <c r="H62" s="430"/>
      <c r="I62" s="430"/>
      <c r="J62" s="439"/>
      <c r="K62" s="439"/>
      <c r="L62" s="439"/>
      <c r="M62" s="439"/>
      <c r="O62" s="432"/>
      <c r="P62" s="433"/>
      <c r="CW62" s="695" t="s">
        <v>1032</v>
      </c>
      <c r="CX62" s="732"/>
      <c r="CY62" s="733"/>
    </row>
    <row r="63" spans="1:103" s="431" customFormat="1" ht="31" hidden="1">
      <c r="A63" s="428"/>
      <c r="B63" s="429" t="s">
        <v>1065</v>
      </c>
      <c r="C63" s="502" t="s">
        <v>977</v>
      </c>
      <c r="D63" s="430" t="str">
        <f>IF(ISNUMBER(SEARCH(D36,C63)),IFERROR((INDEX(resistivitySoilAG,1,1)/(2*PI()*INDEX(сokeBreezelengthElectrodeAG,1,1)))*(LN((2*INDEX(сokeBreezelengthElectrodeAG,1,1))/INDEX(сokeBreezeDiameterAG,1,1))+LN((INDEX(сokeBreezelengthElectrodeAG,1,1)+SQRT(INDEX(сokeBreezelengthElectrodeAG,1,1)^2+16*(INDEX(depthToMidAG,1,1)^2)))/(4*INDEX(depthToMidAG,1,1)))+(INDEX(сokeBreezeResistivityAG,1,1)/INDEX(resistivitySoilAG,1,1))*LN(INDEX(сokeBreezeDiameterAG,1,1)/INDEX(diameterAG,1,1))),""),"")</f>
        <v/>
      </c>
      <c r="E63" s="430" t="str">
        <f>IF(ISNUMBER(SEARCH(E36,C63)),IFERROR((INDEX(resistivitySoilAG,1,2)/(2*PI()*INDEX(сokeBreezelengthElectrodeAG,1,2)))*(LN((2*INDEX(сokeBreezelengthElectrodeAG,1,2))/INDEX(сokeBreezeDiameterAG,1,2))+LN((INDEX(сokeBreezelengthElectrodeAG,1,2)+SQRT(INDEX(сokeBreezelengthElectrodeAG,1,2)^2+16*(INDEX(depthToMidAG,1,2)^2)))/(4*INDEX(depthToMidAG,1,2)))+(INDEX(сokeBreezeResistivityAG,1,2)/INDEX(resistivitySoilAG,1,2))*LN(INDEX(сokeBreezeDiameterAG,1,2)/INDEX(diameterAG,1,2))),""),"")</f>
        <v/>
      </c>
      <c r="F63" s="430" t="str">
        <f>IF(ISNUMBER(SEARCH(F36,C63)),IFERROR((INDEX(resistivitySoilAG,1,3)/(2*PI()*INDEX(сokeBreezelengthElectrodeAG,1,3)))*(LN((2*INDEX(сokeBreezelengthElectrodeAG,1,3))/INDEX(сokeBreezeDiameterAG,1,3))+LN((INDEX(сokeBreezelengthElectrodeAG,1,3)+SQRT(INDEX(сokeBreezelengthElectrodeAG,1,3)^2+16*(INDEX(depthToMidAG,1,3)^2)))/(4*INDEX(depthToMidAG,1,3)))+(INDEX(сokeBreezeResistivityAG,1,3)/INDEX(resistivitySoilAG,1,3))*LN(INDEX(сokeBreezeDiameterAG,1,3)/INDEX(diameterAG,1,3))),""),"")</f>
        <v/>
      </c>
      <c r="G63" s="430" t="str">
        <f>IF(ISNUMBER(SEARCH(G36,C63)),IFERROR((INDEX(resistivitySoilAG,1,4)/(2*PI()*INDEX(сokeBreezelengthElectrodeAG,1,4)))*(LN((2*INDEX(сokeBreezelengthElectrodeAG,1,4))/INDEX(сokeBreezeDiameterAG,1,4))+LN((INDEX(сokeBreezelengthElectrodeAG,1,4)+SQRT(INDEX(сokeBreezelengthElectrodeAG,1,4)^2+16*(INDEX(depthToMidAG,1,4)^2)))/(4*INDEX(depthToMidAG,1,4)))+(INDEX(сokeBreezeResistivityAG,1,4)/INDEX(resistivitySoilAG,1,4))*LN(INDEX(сokeBreezeDiameterAG,1,4)/INDEX(diameterAG,1,4))),""),"")</f>
        <v/>
      </c>
      <c r="H63" s="430">
        <f>IF(ISNUMBER(SEARCH(H36,C63)),IFERROR((INDEX(resistivitySoilAG,1,5)/(2*PI()*INDEX(сokeBreezelengthElectrodeAG,1,5)))*(LN((2*INDEX(сokeBreezelengthElectrodeAG,1,5))/INDEX(сokeBreezeDiameterAG,1,5))+LN((INDEX(сokeBreezelengthElectrodeAG,1,5)+SQRT(INDEX(сokeBreezelengthElectrodeAG,1,5)^2+16*(INDEX(depthToMidAG,1,5)^2)))/(4*INDEX(depthToMidAG,1,5)))+(INDEX(сokeBreezeResistivityAG,1,5)/INDEX(resistivitySoilAG,1,5))*LN(INDEX(сokeBreezeDiameterAG,1,5)/INDEX(diameterAG,1,5))),""),"")</f>
        <v>16.834787305695684</v>
      </c>
      <c r="I63" s="430" t="str">
        <f>IF(ISNUMBER(SEARCH(I36,C63)),IFERROR((INDEX(resistivitySoilAG,1,6)/(2*PI()*INDEX(сokeBreezelengthElectrodeAG,1,6)))*(LN((2*INDEX(сokeBreezelengthElectrodeAG,1,6))/INDEX(сokeBreezeDiameterAG,1,6))+LN((INDEX(сokeBreezelengthElectrodeAG,1,6)+SQRT(INDEX(сokeBreezelengthElectrodeAG,1,6)^2+16*(INDEX(depthToMidAG,1,6)^2)))/(4*INDEX(depthToMidAG,1,6)))+(INDEX(сokeBreezeResistivityAG,1,6)/INDEX(resistivitySoilAG,1,6))*LN(INDEX(сokeBreezeDiameterAG,1,6)/INDEX(diameterAG,1,6))),""),"")</f>
        <v/>
      </c>
      <c r="J63" s="430" t="str">
        <f>IF(ISNUMBER(SEARCH(J36,C63)),IFERROR((INDEX(resistivitySoilAG,1,7)/(2*PI()*INDEX(сokeBreezelengthElectrodeAG,1,7)))*(LN((2*INDEX(сokeBreezelengthElectrodeAG,1,7))/INDEX(сokeBreezeDiameterAG,1,7))+LN((INDEX(сokeBreezelengthElectrodeAG,1,7)+SQRT(INDEX(сokeBreezelengthElectrodeAG,1,7)^2+16*(INDEX(depthToMidAG,1,7)^2)))/(4*INDEX(depthToMidAG,1,7)))+(INDEX(сokeBreezeResistivityAG,1,7)/INDEX(resistivitySoilAG,1,7))*LN(INDEX(сokeBreezeDiameterAG,1,7)/INDEX(diameterAG,1,7))),""),"")</f>
        <v/>
      </c>
      <c r="K63" s="430" t="str">
        <f>IF(ISNUMBER(SEARCH(K36,C63)),IFERROR((INDEX(resistivitySoilAG,1,8)/(2*PI()*INDEX(сokeBreezelengthElectrodeAG,1,8)))*(LN((2*INDEX(сokeBreezelengthElectrodeAG,1,8))/INDEX(сokeBreezeDiameterAG,1,8))+LN((INDEX(сokeBreezelengthElectrodeAG,1,8)+SQRT(INDEX(сokeBreezelengthElectrodeAG,1,8)^2+16*(INDEX(depthToMidAG,1,8)^2)))/(4*INDEX(depthToMidAG,1,8)))+(INDEX(сokeBreezeResistivityAG,1,8)/INDEX(resistivitySoilAG,1,8))*LN(INDEX(сokeBreezeDiameterAG,1,8)/INDEX(diameterAG,1,8))),""),"")</f>
        <v/>
      </c>
      <c r="L63" s="430" t="str">
        <f>IF(ISNUMBER(SEARCH(L36,C63)),IFERROR((INDEX(resistivitySoilAG,1,9)/(2*PI()*INDEX(сokeBreezelengthElectrodeAG,1,9)))*(LN((2*INDEX(сokeBreezelengthElectrodeAG,1,9))/INDEX(сokeBreezeDiameterAG,1,9))+LN((INDEX(сokeBreezelengthElectrodeAG,1,9)+SQRT(INDEX(сokeBreezelengthElectrodeAG,1,9)^2+16*(INDEX(depthToMidAG,1,9)^2)))/(4*INDEX(depthToMidAG,1,9)))+(INDEX(сokeBreezeResistivityAG,1,9)/INDEX(resistivitySoilAG,1,9))*LN(INDEX(сokeBreezeDiameterAG,1,9)/INDEX(diameterAG,1,9))),""),"")</f>
        <v/>
      </c>
      <c r="M63" s="430" t="str">
        <f>IF(ISNUMBER(SEARCH(M36,C63)),IFERROR((INDEX(resistivitySoilAG,1,10)/(2*PI()*INDEX(сokeBreezelengthElectrodeAG,1,10)))*(LN((2*INDEX(сokeBreezelengthElectrodeAG,1,10))/INDEX(сokeBreezeDiameterAG,1,10))+LN((INDEX(сokeBreezelengthElectrodeAG,1,10)+SQRT(INDEX(сokeBreezelengthElectrodeAG,1,10)^2+16*(INDEX(depthToMidAG,1,10)^2)))/(4*INDEX(depthToMidAG,1,10)))+(INDEX(сokeBreezeResistivityAG,1,10)/INDEX(resistivitySoilAG,1,10))*LN(INDEX(сokeBreezeDiameterAG,1,10)/INDEX(diameterAG,1,10))),""),"")</f>
        <v/>
      </c>
      <c r="O63" s="432"/>
      <c r="P63" s="433"/>
      <c r="CW63" s="695" t="s">
        <v>1032</v>
      </c>
      <c r="CX63" s="732"/>
      <c r="CY63" s="732"/>
    </row>
    <row r="64" spans="1:103" s="431" customFormat="1" ht="31" hidden="1">
      <c r="A64" s="428"/>
      <c r="B64" s="429" t="s">
        <v>1064</v>
      </c>
      <c r="C64" s="502" t="s">
        <v>976</v>
      </c>
      <c r="D64" s="430" t="str">
        <f>IF(ISNUMBER(SEARCH(D36,C64)),IFERROR((INDEX(resistivitySoilAG,1,1)/(PI()*INDEX(lengthElectrodeAG,1,1)))*LN(INDEX(lengthElectrodeAG,1,1)/SQRT(INDEX(diameterAG,1,1)*INDEX(depthToMidAG,1,1))),""),"")</f>
        <v/>
      </c>
      <c r="E64" s="430" t="str">
        <f>IF(ISNUMBER(SEARCH(E36,C64)),IFERROR((INDEX(resistivitySoilAG,1,2)/(PI()*INDEX(lengthElectrodeAG,1,2)))*LN(INDEX(lengthElectrodeAG,1,2)/SQRT(INDEX(diameterAG,1,2)*INDEX(depthToMidAG,1,2))),""),"")</f>
        <v/>
      </c>
      <c r="F64" s="430" t="str">
        <f>IF(ISNUMBER(SEARCH(F36,C64)),IFERROR((INDEX(resistivitySoilAG,1,3)/(PI()*INDEX(lengthElectrodeAG,1,3)))*LN(INDEX(lengthElectrodeAG,1,3)/SQRT(INDEX(diameterAG,1,3)*INDEX(depthToMidAG,1,3))),""),"")</f>
        <v/>
      </c>
      <c r="G64" s="430" t="str">
        <f>IF(ISNUMBER(SEARCH(G36,C64)),IFERROR((INDEX(resistivitySoilAG,1,4)/(PI()*INDEX(lengthElectrodeAG,1,4)))*LN(INDEX(lengthElectrodeAG,1,4)/SQRT(INDEX(diameterAG,1,4)*INDEX(depthToMidAG,1,4))),""),"")</f>
        <v/>
      </c>
      <c r="H64" s="430" t="str">
        <f>IF(ISNUMBER(SEARCH(H36,C64)),IFERROR((INDEX(resistivitySoilAG,1,5)/(PI()*INDEX(lengthElectrodeAG,1,5)))*LN(INDEX(lengthElectrodeAG,1,5)/SQRT(INDEX(diameterAG,1,5)*INDEX(depthToMidAG,1,5))),""),"")</f>
        <v/>
      </c>
      <c r="I64" s="430" t="str">
        <f>IF(ISNUMBER(SEARCH(I36,C64)),IFERROR((INDEX(resistivitySoilAG,1,6)/(PI()*INDEX(lengthElectrodeAG,1,6)))*LN(INDEX(lengthElectrodeAG,1,6)/SQRT(INDEX(diameterAG,1,6)*INDEX(depthToMidAG,1,6))),""),"")</f>
        <v/>
      </c>
      <c r="J64" s="430" t="str">
        <f>IF(ISNUMBER(SEARCH(J36,C64)),IFERROR((INDEX(resistivitySoilAG,1,7)/(PI()*INDEX(lengthElectrodeAG,1,7)))*LN(INDEX(lengthElectrodeAG,1,7)/SQRT(INDEX(diameterAG,1,7)*INDEX(depthToMidAG,1,7))),""),"")</f>
        <v/>
      </c>
      <c r="K64" s="430" t="str">
        <f>IF(ISNUMBER(SEARCH(K36,C64)),IFERROR((INDEX(resistivitySoilAG,1,8)/(PI()*INDEX(lengthElectrodeAG,1,8)))*LN(INDEX(lengthElectrodeAG,1,8)/SQRT(INDEX(diameterAG,1,8)*INDEX(depthToMidAG,1,8))),""),"")</f>
        <v/>
      </c>
      <c r="L64" s="430" t="str">
        <f>IF(ISNUMBER(SEARCH(L36,C64)),IFERROR((INDEX(resistivitySoilAG,1,9)/(PI()*INDEX(lengthElectrodeAG,1,9)))*LN(INDEX(lengthElectrodeAG,1,9)/SQRT(INDEX(diameterAG,1,9)*INDEX(depthToMidAG,1,9))),""),"")</f>
        <v/>
      </c>
      <c r="M64" s="430">
        <f>IF(ISNUMBER(SEARCH(M36,C64)),IFERROR((INDEX(resistivitySoilAG,1,10)/(PI()*INDEX(lengthElectrodeAG,1,10)))*LN(INDEX(lengthElectrodeAG,1,10)/SQRT(INDEX(diameterAG,1,10)*INDEX(depthToMidAG,1,10))),""))</f>
        <v>3.9248670686631182</v>
      </c>
      <c r="O64" s="432"/>
      <c r="P64" s="433"/>
      <c r="CW64" s="695" t="s">
        <v>1032</v>
      </c>
      <c r="CX64" s="732"/>
      <c r="CY64" s="732"/>
    </row>
    <row r="65" spans="1:103" s="431" customFormat="1" ht="31" hidden="1">
      <c r="A65" s="428"/>
      <c r="B65" s="429" t="s">
        <v>1066</v>
      </c>
      <c r="C65" s="502" t="s">
        <v>975</v>
      </c>
      <c r="D65" s="430" t="str">
        <f>IF(ISNUMBER(SEARCH(D36,C65)),IFERROR((INDEX(resistivitySoilAG,1,1)/(PI()*INDEX(сokeBreezelengthElectrodeAG,1,1)))*(LN((INDEX(сokeBreezelengthElectrodeAG,1,1))/SQRT(INDEX(сokeBreezeDiameterAG,1,1)*INDEX(depthToMidAG,1,1)))+(INDEX(сokeBreezeResistivityAG,1,1)/(2*INDEX(resistivitySoilAG,1,1)))*LN(INDEX(сokeBreezeDiameterAG,1,1)/INDEX(diameterAG,1,1))),""),"")</f>
        <v/>
      </c>
      <c r="E65" s="430" t="str">
        <f>IF(ISNUMBER(SEARCH(E36,C65)),IFERROR((INDEX(resistivitySoilAG,1,2)/(PI()*INDEX(сokeBreezelengthElectrodeAG,1,2)))*(LN((INDEX(сokeBreezelengthElectrodeAG,1,2))/SQRT(INDEX(сokeBreezeDiameterAG,1,2)*INDEX(depthToMidAG,1,2)))+(INDEX(сokeBreezeResistivityAG,1,2)/(2*INDEX(resistivitySoilAG,1,2)))*LN(INDEX(сokeBreezeDiameterAG,1,2)/INDEX(diameterAG,1,2))),""),"")</f>
        <v/>
      </c>
      <c r="F65" s="430" t="str">
        <f>IF(ISNUMBER(SEARCH(F36,C65)),IFERROR((INDEX(resistivitySoilAG,1,3)/(PI()*INDEX(сokeBreezelengthElectrodeAG,1,3)))*(LN((INDEX(сokeBreezelengthElectrodeAG,1,3))/SQRT(INDEX(сokeBreezeDiameterAG,1,3)*INDEX(depthToMidAG,1,3)))+(INDEX(сokeBreezeResistivityAG,1,3)/(2*INDEX(resistivitySoilAG,1,3)))*LN(INDEX(сokeBreezeDiameterAG,1,3)/INDEX(diameterAG,1,3))),""),"")</f>
        <v/>
      </c>
      <c r="G65" s="430" t="str">
        <f>IF(ISNUMBER(SEARCH(G36,C65)),IFERROR((INDEX(resistivitySoilAG,1,4)/(PI()*INDEX(сokeBreezelengthElectrodeAG,1,4)))*(LN((INDEX(сokeBreezelengthElectrodeAG,1,4))/SQRT(INDEX(сokeBreezeDiameterAG,1,4)*INDEX(depthToMidAG,1,4)))+(INDEX(сokeBreezeResistivityAG,1,4)/(2*INDEX(resistivitySoilAG,1,4)))*LN(INDEX(сokeBreezeDiameterAG,1,4)/INDEX(diameterAG,1,4))),""),"")</f>
        <v/>
      </c>
      <c r="H65" s="430" t="str">
        <f>IF(ISNUMBER(SEARCH(H36,C65)),IFERROR((INDEX(resistivitySoilAG,1,5)/(PI()*INDEX(сokeBreezelengthElectrodeAG,1,5)))*(LN((INDEX(сokeBreezelengthElectrodeAG,1,5))/SQRT(INDEX(сokeBreezeDiameterAG,1,5)*INDEX(depthToMidAG,1,5)))+(INDEX(сokeBreezeResistivityAG,1,5)/(2*INDEX(resistivitySoilAG,1,5)))*LN(INDEX(сokeBreezeDiameterAG,1,5)/INDEX(diameterAG,1,5))),""),"")</f>
        <v/>
      </c>
      <c r="I65" s="430">
        <f>IF(ISNUMBER(SEARCH(I36,C65)),IFERROR((INDEX(resistivitySoilAG,1,6)/(PI()*INDEX(сokeBreezelengthElectrodeAG,1,6)))*(LN((INDEX(сokeBreezelengthElectrodeAG,1,6))/SQRT(INDEX(сokeBreezeDiameterAG,1,6)*INDEX(depthToMidAG,1,6)))+(INDEX(сokeBreezeResistivityAG,1,6)/(2*INDEX(resistivitySoilAG,1,6)))*LN(INDEX(сokeBreezeDiameterAG,1,6)/INDEX(diameterAG,1,6))),""),"")</f>
        <v>0.5268084728161756</v>
      </c>
      <c r="J65" s="430">
        <f>IF(ISNUMBER(SEARCH(J36,C65)),IFERROR((INDEX(resistivitySoilAG,1,7)/(PI()*INDEX(сokeBreezelengthElectrodeAG,1,7)))*(LN((INDEX(сokeBreezelengthElectrodeAG,1,7))/SQRT(INDEX(сokeBreezeDiameterAG,1,7)*INDEX(depthToMidAG,1,7)))+(INDEX(сokeBreezeResistivityAG,1,7)/(2*INDEX(resistivitySoilAG,1,7)))*LN(INDEX(сokeBreezeDiameterAG,1,7)/INDEX(diameterAG,1,7))),""),"")</f>
        <v>0.52739190979801898</v>
      </c>
      <c r="K65" s="430" t="str">
        <f>IF(ISNUMBER(SEARCH(K36,C65)),IFERROR((INDEX(resistivitySoilAG,1,8)/(PI()*INDEX(сokeBreezelengthElectrodeAG,1,8)))*(LN((INDEX(сokeBreezelengthElectrodeAG,1,8))/SQRT(INDEX(сokeBreezeDiameterAG,1,8)*INDEX(depthToMidAG,1,8)))+(INDEX(сokeBreezeResistivityAG,1,8)/(2*INDEX(resistivitySoilAG,1,8)))*LN(INDEX(сokeBreezeDiameterAG,1,8)/INDEX(diameterAG,1,8))),""),"")</f>
        <v/>
      </c>
      <c r="L65" s="430" t="str">
        <f>IF(ISNUMBER(SEARCH(L36,C65)),IFERROR((INDEX(resistivitySoilAG,1,9)/(PI()*INDEX(сokeBreezelengthElectrodeAG,1,9)))*(LN((INDEX(сokeBreezelengthElectrodeAG,1,9))/SQRT(INDEX(сokeBreezeDiameterAG,1,9)*INDEX(depthToMidAG,1,9)))+(INDEX(сokeBreezeResistivityAG,1,9)/(2*INDEX(resistivitySoilAG,1,9)))*LN(INDEX(сokeBreezeDiameterAG,1,9)/INDEX(diameterAG,1,9))),""),"")</f>
        <v/>
      </c>
      <c r="M65" s="430" t="str">
        <f>IF(ISNUMBER(SEARCH(M36,C65)),IFERROR((INDEX(resistivitySoilAG,1,10)/(PI()*INDEX(сokeBreezelengthElectrodeAG,1,10)))*(LN((INDEX(сokeBreezelengthElectrodeAG,1,10))/SQRT(INDEX(сokeBreezeDiameterAG,1,10)*INDEX(depthToMidAG,1,10)))+(INDEX(сokeBreezeResistivityAG,1,10)/(2*INDEX(resistivitySoilAG,1,10)))*LN(INDEX(сokeBreezeDiameterAG,1,10)/INDEX(diameterAG,1,10))),""),"")</f>
        <v/>
      </c>
      <c r="O65" s="432"/>
      <c r="P65" s="433"/>
      <c r="CW65" s="695" t="s">
        <v>1032</v>
      </c>
      <c r="CX65" s="732"/>
      <c r="CY65" s="732"/>
    </row>
    <row r="66" spans="1:103" s="431" customFormat="1" ht="35" hidden="1" customHeight="1">
      <c r="A66" s="428"/>
      <c r="B66" s="429" t="s">
        <v>1062</v>
      </c>
      <c r="C66" s="502" t="s">
        <v>978</v>
      </c>
      <c r="D66" s="430" t="str">
        <f>IF(ISNUMBER(SEARCH(D36,C66)),IFERROR((INDEX(resistivity_i_layerDeepAG,1,1)/(2*PI()*INDEX(lengthElectrodeAG,1,1)))*(LN(2*INDEX(lengthElectrodeAG,1,1)/INDEX(diameterAG,1,1))+0.5*LN((4*INDEX(depthToMidAG,1,1)+INDEX(lengthElectrodeAG,1,1))/(4*INDEX(depthToMidAG,1,1)-INDEX(lengthElectrodeAG,1,1)))),""),"")</f>
        <v/>
      </c>
      <c r="E66" s="430" t="str">
        <f>IF(ISNUMBER(SEARCH(E36,C66)),IFERROR((INDEX(resistivity_i_layerDeepAG,1,2)/(2*PI()*INDEX(lengthElectrodeAG,1,2)))*(LN(2*INDEX(lengthElectrodeAG,1,2)/INDEX(diameterAG,1,2))+0.5*LN((4*INDEX(depthToMidAG,1,2)+INDEX(lengthElectrodeAG,1,2))/(4*INDEX(depthToMidAG,1,2)-INDEX(lengthElectrodeAG,1,2)))),""),"")</f>
        <v/>
      </c>
      <c r="F66" s="430" t="str">
        <f>IF(ISNUMBER(SEARCH(F36,C66)),IFERROR((INDEX(resistivity_i_layerDeepAG,1,3)/(2*PI()*INDEX(lengthElectrodeAG,1,3)))*(LN(2*INDEX(lengthElectrodeAG,1,3)/INDEX(diameterAG,1,3))+0.5*LN((4*INDEX(depthToMidAG,1,3)+INDEX(lengthElectrodeAG,1,3))/(4*INDEX(depthToMidAG,1,3)-INDEX(lengthElectrodeAG,1,3)))),""),"")</f>
        <v/>
      </c>
      <c r="G66" s="430" t="str">
        <f>IF(ISNUMBER(SEARCH(G36,C66)),IFERROR((INDEX(resistivity_i_layerDeepAG,1,4)/(2*PI()*INDEX(lengthElectrodeAG,1,4)))*(LN(2*INDEX(lengthElectrodeAG,1,4)/INDEX(diameterAG,1,4))+0.5*LN((4*INDEX(depthToMidAG,1,4)+INDEX(lengthElectrodeAG,1,4))/(4*INDEX(depthToMidAG,1,4)-INDEX(lengthElectrodeAG,1,4)))),""),"")</f>
        <v/>
      </c>
      <c r="H66" s="430" t="str">
        <f>IF(ISNUMBER(SEARCH(H36,C66)),IFERROR((INDEX(resistivity_i_layerDeepAG,1,5)/(2*PI()*INDEX(lengthElectrodeAG,1,5)))*(LN(2*INDEX(lengthElectrodeAG,1,5)/INDEX(diameterAG,1,5))+0.5*LN((4*INDEX(depthToMidAG,1,5)+INDEX(lengthElectrodeAG,1,5))/(4*INDEX(depthToMidAG,1,5)-INDEX(lengthElectrodeAG,1,5)))),""),"")</f>
        <v/>
      </c>
      <c r="I66" s="430" t="str">
        <f>IF(ISNUMBER(SEARCH(I36,C66)),IFERROR((INDEX(resistivity_i_layerDeepAG,1,6)/(2*PI()*INDEX(lengthElectrodeAG,1,6)))*(LN(2*INDEX(lengthElectrodeAG,1,6)/INDEX(diameterAG,1,6))+0.5*LN((4*INDEX(depthToMidAG,1,6)+INDEX(lengthElectrodeAG,1,6))/(4*INDEX(depthToMidAG,1,6)-INDEX(lengthElectrodeAG,1,6)))),""),"")</f>
        <v/>
      </c>
      <c r="J66" s="430" t="str">
        <f>IF(ISNUMBER(SEARCH(J36,C66)),IFERROR((INDEX(resistivity_i_layerDeepAG,1,7)/(2*PI()*INDEX(lengthElectrodeAG,1,7)))*(LN(2*INDEX(lengthElectrodeAG,1,7)/INDEX(diameterAG,1,7))+0.5*LN((4*INDEX(depthToMidAG,1,7)+INDEX(lengthElectrodeAG,1,7))/(4*INDEX(depthToMidAG,1,7)-INDEX(lengthElectrodeAG,1,7)))),""),"")</f>
        <v/>
      </c>
      <c r="K66" s="430" t="str">
        <f>IF(ISNUMBER(SEARCH(K36,C66)),IFERROR((INDEX(resistivity_i_layerDeepAG,1,8)/(2*PI()*INDEX(lengthElectrodeAG,1,8)))*(LN(2*INDEX(lengthElectrodeAG,1,8)/INDEX(diameterAG,1,8))+0.5*LN((4*INDEX(depthToMidAG,1,8)+INDEX(lengthElectrodeAG,1,8))/(4*INDEX(depthToMidAG,1,8)-INDEX(lengthElectrodeAG,1,8)))),""),"")</f>
        <v/>
      </c>
      <c r="L66" s="430">
        <f>IF(ISNUMBER(SEARCH(L36,C66)),IFERROR((INDEX(resistivity_i_layerDeepAG,1,9)/(2*PI()*INDEX(lengthElectrodeAG,1,9)))*(LN(2*INDEX(lengthElectrodeAG,1,9)/INDEX(diameterAG,1,9))+0.5*LN((4*INDEX(depthToMidAG,1,9)+INDEX(lengthElectrodeAG,1,9))/(4*INDEX(depthToMidAG,1,9)-INDEX(lengthElectrodeAG,1,9)))),""),"")</f>
        <v>30.608837630800959</v>
      </c>
      <c r="M66" s="430" t="str">
        <f>IF(ISNUMBER(SEARCH(M36,C66)),IFERROR((INDEX(resistivity_i_layerDeepAG,1,10)/(2*PI()*INDEX(lengthElectrodeAG,1,10)))*(LN(2*INDEX(lengthElectrodeAG,1,10)/INDEX(diameterAG,1,10))+0.5*LN((4*INDEX(depthToMidAG,1,10)+INDEX(lengthElectrodeAG,1,10))/(4*INDEX(depthToMidAG,1,10)-INDEX(lengthElectrodeAG,1,10)))),""),"")</f>
        <v/>
      </c>
      <c r="O66" s="432"/>
      <c r="P66" s="433"/>
      <c r="CW66" s="695" t="s">
        <v>1032</v>
      </c>
      <c r="CX66" s="732"/>
      <c r="CY66" s="732"/>
    </row>
    <row r="67" spans="1:103" s="431" customFormat="1" ht="31" hidden="1">
      <c r="A67" s="428" t="s">
        <v>1068</v>
      </c>
      <c r="B67" s="429" t="s">
        <v>1067</v>
      </c>
      <c r="C67" s="502" t="s">
        <v>979</v>
      </c>
      <c r="D67" s="430" t="str">
        <f>IF(ISNUMBER(SEARCH(D36,C67)),IFERROR(INDEX(сokeBreezelengthElectrodeAG,1,1)*INDEX(resistivityMaterialAG,1,1)/(2*INDEX(diameterAG,1,1)^2*PI()/4)+INDEX(resistivity_i_layerDeepAG,1,1)/(2*PI()*INDEX(сokeBreezelengthElectrodeAG,1,1))*(LN(4*INDEX(сokeBreezelengthElectrodeAG,1,1)/INDEX(сokeBreezeDiameterAG,1,1))+(INDEX(сokeBreezeResistivityAG,1,1)/INDEX(resistivity_i_layerDeepAG,1,1))*LN(INDEX(сokeBreezeDiameterAG,1,1)/INDEX(diameterAG,1,1))),""),"")</f>
        <v/>
      </c>
      <c r="E67" s="430">
        <f>IF(ISNUMBER(SEARCH(E36,C67)),IFERROR(INDEX(сokeBreezelengthElectrodeAG,1,2)*INDEX(resistivityMaterialAG,1,2)/(2*INDEX(diameterAG,1,2)^2*PI()/4)+INDEX(resistivity_i_layerDeepAG,1,2)/(2*PI()*INDEX(сokeBreezelengthElectrodeAG,1,2))*(LN(4*INDEX(сokeBreezelengthElectrodeAG,1,2)/INDEX(сokeBreezeDiameterAG,1,2))+(INDEX(сokeBreezeResistivityAG,1,2)/INDEX(resistivity_i_layerDeepAG,1,2))*LN(INDEX(сokeBreezeDiameterAG,1,2)/INDEX(diameterAG,1,2))),""),"")</f>
        <v>19.289618196849286</v>
      </c>
      <c r="F67" s="430" t="str" cm="1">
        <f t="array" ref="F67">IF(ISNUMBER(SEARCH(F36,C67)),IFERROR(INDEX(сokeBreezelengthElectrodeAG,1,3)*INDEX(resistivityMaterialAG,1,3)/(2*INDEX(diameterAG,1,3)^2*PI()/4)+INDEX(resistivity_i_layerDeepAG,1,3)/(2*PI()*INDEX(сokeBreezelengthElectrodeAG,1,3))*(LN(4*INDEX(сokeBreezelengthElectrodeAG,1,3)/INDEX(сokeBreezeDiameterAG,1,3))+(INDEX(сokeBreezeResistivityAG,1,3)/INDEX(resistivity_i_layerDeepAG1,3))*LN(INDEX(сokeBreezeDiameterAG,1,3)/INDEX(diameterAG,1,3))),""),"")</f>
        <v/>
      </c>
      <c r="G67" s="430" t="str">
        <f>IF(ISNUMBER(SEARCH(G36,C67)),IFERROR(INDEX(сokeBreezelengthElectrodeAG,1,4)*INDEX(resistivityMaterialAG,1,4)/(2*INDEX(diameterAG,1,4)^2*PI()/4)+INDEX(resistivity_i_layerDeepAG,1,4)/(2*PI()*INDEX(сokeBreezelengthElectrodeAG,1,4))*(LN(4*INDEX(сokeBreezelengthElectrodeAG,1,4)/INDEX(сokeBreezeDiameterAG,1,4))+(INDEX(сokeBreezeResistivityAG,1,4)/INDEX(resistivity_i_layerDeepAG,1,4))*LN(INDEX(сokeBreezeDiameterAG,1,4)/INDEX(diameterAG,1,4))),""),"")</f>
        <v/>
      </c>
      <c r="H67" s="430" t="str">
        <f>IF(ISNUMBER(SEARCH(H36,C67)),IFERROR(INDEX(сokeBreezelengthElectrodeAG,1,5)*INDEX(resistivityMaterialAG,1,5)/(2*INDEX(diameterAG,1,5)^2*PI()/4)+INDEX(resistivity_i_layerDeepAG,1,5)/(2*PI()*INDEX(сokeBreezelengthElectrodeAG,1,5))*(LN(4*INDEX(сokeBreezelengthElectrodeAG,1,5)/INDEX(сokeBreezeDiameterAG,1,5))+(INDEX(сokeBreezeResistivityAG,1,5)/INDEX(resistivity_i_layerDeepAG,1,5))*LN(INDEX(сokeBreezeDiameterAG,1,5)/INDEX(diameterAG,1,5))),""),"")</f>
        <v/>
      </c>
      <c r="I67" s="430" t="str">
        <f>IF(ISNUMBER(SEARCH(I36,C67)),IFERROR(INDEX(сokeBreezelengthElectrodeAG,1,6)*INDEX(resistivityMaterialAG,1,6)/(2*INDEX(diameterAG,1,6)^2*PI()/4)+INDEX(resistivity_i_layerDeepAG,1,6)/(2*PI()*INDEX(сokeBreezelengthElectrodeAG,1,6))*(LN(4*INDEX(сokeBreezelengthElectrodeAG,1,6)/INDEX(сokeBreezeDiameterAG,1,6))+(INDEX(сokeBreezeResistivityAG,1,6)/INDEX(resistivity_i_layerDeepAG,1,6))*LN(INDEX(сokeBreezeDiameterAG,1,6)/INDEX(diameterAG,1,6))),""),"")</f>
        <v/>
      </c>
      <c r="J67" s="430" t="str">
        <f>IF(ISNUMBER(SEARCH(J36,C67)),IFERROR(INDEX(сokeBreezelengthElectrodeAG,1,7)*INDEX(resistivityMaterialAG,1,7)/(2*INDEX(diameterAG,1,7)^2*PI()/4)+INDEX(resistivity_i_layerDeepAG,1,7)/(2*PI()*INDEX(сokeBreezelengthElectrodeAG,1,7))*(LN(4*INDEX(сokeBreezelengthElectrodeAG,1,7)/INDEX(сokeBreezeDiameterAG,1,7))+(INDEX(сokeBreezeResistivityAG,1,7)/INDEX(resistivity_i_layerDeepAG,1,7))*LN(INDEX(сokeBreezeDiameterAG,1,7)/INDEX(diameterAG,1,7))),""),"")</f>
        <v/>
      </c>
      <c r="K67" s="430" t="str">
        <f>IF(ISNUMBER(SEARCH(K36,C67)),IFERROR(INDEX(сokeBreezelengthElectrodeAG,1,8)*INDEX(resistivityMaterialAG,1,8)/(2*INDEX(diameterAG,1,8)^2*PI()/4)+INDEX(resistivity_i_layerDeepAG,1,8)/(2*PI()*INDEX(сokeBreezelengthElectrodeAG,1,8))*(LN(4*INDEX(сokeBreezelengthElectrodeAG,1,8)/INDEX(сokeBreezeDiameterAG,1,8))+(INDEX(сokeBreezeResistivityAG,1,8)/INDEX(resistivity_i_layerDeepAG,1,8))*LN(INDEX(сokeBreezeDiameterAG,1,8)/INDEX(diameterAG,1,8))),""),"")</f>
        <v/>
      </c>
      <c r="L67" s="430" t="str">
        <f>IF(ISNUMBER(SEARCH(L36,C67)),IFERROR(INDEX(сokeBreezelengthElectrodeAG,1,9)*INDEX(resistivityMaterialAG,1,9)/(2*INDEX(diameterAG,1,9)^2*PI()/4)+INDEX(resistivity_i_layerDeepAG,1,9)/(2*PI()*INDEX(сokeBreezelengthElectrodeAG,1,9))*(LN(4*INDEX(сokeBreezelengthElectrodeAG,1,9)/INDEX(сokeBreezeDiameterAG,1,9))+(INDEX(сokeBreezeResistivityAG,1,9)/INDEX(resistivity_i_layerDeepAG,1,9))*LN(INDEX(сokeBreezeDiameterAG,1,9)/INDEX(diameterAG,1,9))),""),"")</f>
        <v/>
      </c>
      <c r="M67" s="430" t="str">
        <f>IF(ISNUMBER(SEARCH(M36,C67)),IFERROR(INDEX(сokeBreezelengthElectrodeAG,1,10)*INDEX(resistivityMaterialAG,1,10)/(2*INDEX(diameterAG,1,10)^2*PI()/4)+INDEX(resistivity_i_layerDeepAG,1,10)/(2*PI()*INDEX(сokeBreezelengthElectrodeAG,1,10))*(LN(4*INDEX(сokeBreezelengthElectrodeAG,1,10)/INDEX(сokeBreezeDiameterAG,1,10))+(INDEX(сokeBreezeResistivityAG,1,10)/INDEX(resistivity_i_layerDeepAG,1,10))*LN(INDEX(сokeBreezeDiameterAG,1,10)/INDEX(diameterAG,1,10))),""),"")</f>
        <v/>
      </c>
      <c r="O67" s="432"/>
      <c r="P67" s="433"/>
      <c r="CW67" s="695" t="s">
        <v>1032</v>
      </c>
      <c r="CX67" s="732"/>
      <c r="CY67" s="732"/>
    </row>
    <row r="68" spans="1:103" s="431" customFormat="1" ht="31">
      <c r="A68" s="428" t="s">
        <v>1068</v>
      </c>
      <c r="B68" s="429" t="s">
        <v>1069</v>
      </c>
      <c r="C68" s="502" t="s">
        <v>980</v>
      </c>
      <c r="D68" s="430">
        <f>IF(ISNUMBER(SEARCH(D36,C68)),IFERROR(INDEX(сokeBreezelengthElectrodeAG,1,1)*INDEX(resistivityMaterialAG,1,1)/(2*INDEX(diameterAG,1,1)^2*PI()/4)+INDEX(resistivity_i_layerDeepAG,1,1)/(2*PI()*INDEX(сokeBreezelengthElectrodeAG,1,1))*(LN(2*INDEX(сokeBreezelengthElectrodeAG,1,1)/INDEX(сokeBreezeDiameterAG,1,1))+0.5*LN((4*INDEX(depthToMidAG,1,1)+INDEX(сokeBreezelengthElectrodeAG,1,1))/(4*INDEX(depthToMidAG,1,1)-INDEX(сokeBreezelengthElectrodeAG,1,1)))+(INDEX(сokeBreezeResistivityAG,1,1)/INDEX(resistivity_i_layerDeepAG,1,1))*LN(INDEX(сokeBreezeDiameterAG,1,1)/INDEX(diameterAG,1,1))),""),"")</f>
        <v>6.7391993948204512</v>
      </c>
      <c r="E68" s="430" t="str">
        <f>IF(ISNUMBER(SEARCH(E36,C68)),IFERROR(INDEX(сokeBreezelengthElectrodeAG,1,2)*INDEX(resistivityMaterialAG,1,2)/(2*INDEX(diameterAG,1,2)^2*PI()/4)+INDEX(resistivity_i_layerDeepAG,1,2)/(2*PI()*INDEX(сokeBreezelengthElectrodeAG,1,2))*(LN(2*INDEX(сokeBreezelengthElectrodeAG,1,2)/INDEX(сokeBreezeDiameterAG,1,2))+0.5*LN((4*INDEX(depthToMidAG,1,2)+INDEX(сokeBreezelengthElectrodeAG,1,2))/(4*INDEX(depthToMidAG,1,2)-INDEX(сokeBreezelengthElectrodeAG,1,2)))+(INDEX(сokeBreezeResistivityAG,1,2)/INDEX(resistivity_i_layerDeepAG,1,2))*LN(INDEX(сokeBreezeDiameterAG,1,2)/INDEX(diameterAG,1,2))),""),"")</f>
        <v/>
      </c>
      <c r="F68" s="430" t="str">
        <f>IF(ISNUMBER(SEARCH(F36,C68)),IFERROR(INDEX(сokeBreezelengthElectrodeAG,1,3)*INDEX(resistivityMaterialAG,1,3)/(2*INDEX(diameterAG,1,3)^2*PI()/4)+INDEX(resistivity_i_layerDeepAG,1,3)/(2*PI()*INDEX(сokeBreezelengthElectrodeAG,1,3))*(LN(2*INDEX(сokeBreezelengthElectrodeAG,1,3)/INDEX(сokeBreezeDiameterAG,1,3))+0.5*LN((4*INDEX(depthToMidAG,1,3)+INDEX(сokeBreezelengthElectrodeAG,1,3))/(4*INDEX(depthToMidAG,1,3)-INDEX(сokeBreezelengthElectrodeAG,1,3)))+(INDEX(сokeBreezeResistivityAG,1,3)/INDEX(resistivity_i_layerDeepAG,1,3))*LN(INDEX(сokeBreezeDiameterAG,1,3)/INDEX(diameterAG,1,3))),""),"")</f>
        <v/>
      </c>
      <c r="G68" s="430" t="str">
        <f>IF(ISNUMBER(SEARCH(G36,C68)),IFERROR(INDEX(сokeBreezelengthElectrodeAG,1,4)*INDEX(resistivityMaterialAG,1,4)/(2*INDEX(diameterAG,1,4)^2*PI()/4)+INDEX(resistivity_i_layerDeepAG,1,4)/(2*PI()*INDEX(сokeBreezelengthElectrodeAG,1,4))*(LN(2*INDEX(сokeBreezelengthElectrodeAG,1,4)/INDEX(сokeBreezeDiameterAG,1,4))+0.5*LN((4*INDEX(depthToMidAG,1,4)+INDEX(сokeBreezelengthElectrodeAG,1,4))/(4*INDEX(depthToMidAG,1,4)-INDEX(сokeBreezelengthElectrodeAG,1,4)))+(INDEX(сokeBreezeResistivityAG,1,4)/INDEX(resistivity_i_layerDeepAG,1,4))*LN(INDEX(сokeBreezeDiameterAG,1,4)/INDEX(diameterAG,1,4))),""),"")</f>
        <v/>
      </c>
      <c r="H68" s="430" t="str">
        <f>IF(ISNUMBER(SEARCH(H36,C68)),IFERROR(INDEX(сokeBreezelengthElectrodeAG,1,5)*INDEX(resistivityMaterialAG,1,5)/(2*INDEX(diameterAG,1,5)^2*PI()/4)+INDEX(resistivity_i_layerDeepAG,1,5)/(2*PI()*INDEX(сokeBreezelengthElectrodeAG,1,5))*(LN(2*INDEX(сokeBreezelengthElectrodeAG,1,5)/INDEX(сokeBreezeDiameterAG,1,5))+0.5*LN((4*INDEX(depthToMidAG,1,5)+INDEX(сokeBreezelengthElectrodeAG,1,5))/(4*INDEX(depthToMidAG,1,5)-INDEX(сokeBreezelengthElectrodeAG,1,5)))+(INDEX(сokeBreezeResistivityAG,1,5)/INDEX(resistivity_i_layerDeepAG,1,5))*LN(INDEX(сokeBreezeDiameterAG,1,5)/INDEX(diameterAG,1,5))),""),"")</f>
        <v/>
      </c>
      <c r="I68" s="430" t="str">
        <f>IF(ISNUMBER(SEARCH(I36,C68)),IFERROR(INDEX(сokeBreezelengthElectrodeAG,1,6)*INDEX(resistivityMaterialAG,1,6)/(2*INDEX(diameterAG,1,6)^2*PI()/4)+INDEX(resistivity_i_layerDeepAG,1,6)/(2*PI()*INDEX(сokeBreezelengthElectrodeAG,1,6))*(LN(2*INDEX(сokeBreezelengthElectrodeAG,1,6)/INDEX(сokeBreezeDiameterAG,1,6))+0.5*LN((4*INDEX(depthToMidAG,1,6)+INDEX(сokeBreezelengthElectrodeAG,1,6))/(4*INDEX(depthToMidAG,1,6)-INDEX(сokeBreezelengthElectrodeAG,1,6)))+(INDEX(сokeBreezeResistivityAG,1,6)/INDEX(resistivity_i_layerDeepAG,1,6))*LN(INDEX(сokeBreezeDiameterAG,1,6)/INDEX(diameterAG,1,6))),""),"")</f>
        <v/>
      </c>
      <c r="J68" s="430" t="str">
        <f>IF(ISNUMBER(SEARCH(J36,C68)),IFERROR(INDEX(сokeBreezelengthElectrodeAG,1,7)*INDEX(resistivityMaterialAG,1,7)/(2*INDEX(diameterAG,1,7)^2*PI()/4)+INDEX(resistivity_i_layerDeepAG,1,7)/(2*PI()*INDEX(сokeBreezelengthElectrodeAG,1,7))*(LN(2*INDEX(сokeBreezelengthElectrodeAG,1,7)/INDEX(сokeBreezeDiameterAG,1,7))+0.5*LN((4*INDEX(depthToMidAG,1,7)+INDEX(сokeBreezelengthElectrodeAG,1,7))/(4*INDEX(depthToMidAG,1,7)-INDEX(сokeBreezelengthElectrodeAG,1,7)))+(INDEX(сokeBreezeResistivityAG,1,7)/INDEX(resistivity_i_layerDeepAG,1,7))*LN(INDEX(сokeBreezeDiameterAG,1,7)/INDEX(diameterAG,1,7))),""),"")</f>
        <v/>
      </c>
      <c r="K68" s="430">
        <f>IF(ISNUMBER(SEARCH(K36,C68)),IFERROR(INDEX(сokeBreezelengthElectrodeAG,1,8)*INDEX(resistivityMaterialAG,1,8)/(2*INDEX(diameterAG,1,8)^2*PI()/4)+INDEX(resistivity_i_layerDeepAG,1,8)/(2*PI()*INDEX(сokeBreezelengthElectrodeAG,1,8))*(LN(2*INDEX(сokeBreezelengthElectrodeAG,1,8)/INDEX(сokeBreezeDiameterAG,1,8))+0.5*LN((4*INDEX(depthToMidAG,1,8)+INDEX(сokeBreezelengthElectrodeAG,1,8))/(4*INDEX(depthToMidAG,1,8)-INDEX(сokeBreezelengthElectrodeAG,1,8)))+(INDEX(сokeBreezeResistivityAG,1,8)/INDEX(resistivity_i_layerDeepAG,1,8))*LN(INDEX(сokeBreezeDiameterAG,1,8)/INDEX(diameterAG,1,8))),""),"")</f>
        <v>16.879304631516977</v>
      </c>
      <c r="L68" s="430" t="str">
        <f>IF(ISNUMBER(SEARCH(L36,C68)),IFERROR(INDEX(сokeBreezelengthElectrodeAG,1,9)*INDEX(resistivityMaterialAG,1,9)/(2*INDEX(diameterAG,1,9)^2*PI()/4)+INDEX(resistivity_i_layerDeepAG,1,9)/(2*PI()*INDEX(сokeBreezelengthElectrodeAG,1,9))*(LN(2*INDEX(сokeBreezelengthElectrodeAG,1,9)/INDEX(сokeBreezeDiameterAG,1,9))+0.5*LN((4*INDEX(depthToMidAG,1,9)+INDEX(сokeBreezelengthElectrodeAG,1,9))/(4*INDEX(depthToMidAG,1,9)-INDEX(сokeBreezelengthElectrodeAG,1,9)))+(INDEX(сokeBreezeResistivityAG,1,9)/INDEX(resistivity_i_layerDeepAG,1,9))*LN(INDEX(сokeBreezeDiameterAG,1,9)/INDEX(diameterAG,1,9))),""),"")</f>
        <v/>
      </c>
      <c r="M68" s="430" t="str">
        <f>IF(ISNUMBER(SEARCH(M36,C68)),IFERROR(INDEX(сokeBreezelengthElectrodeAG,1,10)*INDEX(resistivityMaterialAG,1,10)/(2*INDEX(diameterAG,1,10)^2*PI()/4)+INDEX(resistivity_i_layerDeepAG,1,10)/(2*PI()*INDEX(сokeBreezelengthElectrodeAG,1,10))*(LN(2*INDEX(сokeBreezelengthElectrodeAG,1,10)/INDEX(сokeBreezeDiameterAG,1,10))+0.5*LN((4*INDEX(depthToMidAG,1,10)+INDEX(сokeBreezelengthElectrodeAG,1,10))/(4*INDEX(depthToMidAG,1,10)-INDEX(сokeBreezelengthElectrodeAG,1,10)))+(INDEX(сokeBreezeResistivityAG,1,10)/INDEX(resistivity_i_layerDeepAG,1,10))*LN(INDEX(сokeBreezeDiameterAG,1,10)/INDEX(diameterAG,1,10))),""),"")</f>
        <v/>
      </c>
      <c r="O68" s="432"/>
      <c r="P68" s="433"/>
      <c r="CW68" s="695" t="s">
        <v>1032</v>
      </c>
      <c r="CX68" s="734"/>
      <c r="CY68" s="732"/>
    </row>
    <row r="69" spans="1:103" s="431" customFormat="1" ht="21" hidden="1">
      <c r="A69" s="440"/>
      <c r="B69" s="429"/>
      <c r="C69" s="502"/>
      <c r="D69" s="430"/>
      <c r="E69" s="430"/>
      <c r="F69" s="430"/>
      <c r="G69" s="430"/>
      <c r="H69" s="430"/>
      <c r="I69" s="430"/>
      <c r="J69" s="430"/>
      <c r="K69" s="430"/>
      <c r="L69" s="430"/>
      <c r="M69" s="430"/>
      <c r="O69" s="432"/>
      <c r="P69" s="433"/>
      <c r="CW69" s="695" t="s">
        <v>1032</v>
      </c>
      <c r="CX69" s="732"/>
      <c r="CY69" s="732"/>
    </row>
    <row r="70" spans="1:103" s="431" customFormat="1" ht="21" hidden="1">
      <c r="A70" s="440" t="s">
        <v>136</v>
      </c>
      <c r="B70" s="429" t="s">
        <v>1060</v>
      </c>
      <c r="C70" s="625" t="s">
        <v>981</v>
      </c>
      <c r="D70" s="434" t="str">
        <f>IF(ISNUMBER(SEARCH($D$36, $C$70)), IFERROR(ROUNDUP(INDEX(oneElectrodeResistanceAG,1,1)/(INDEX(factorVoltageMarginCP,1,1)*INDEX(resistanceEndLifeAG,1,1)),0), ""), "")</f>
        <v/>
      </c>
      <c r="E70" s="434" t="str">
        <f>IF(ISNUMBER(SEARCH($E$36, $C$70)), IFERROR(ROUNDUP(INDEX(oneElectrodeResistanceAG,1,2)/(INDEX(factorVoltageMarginCP,1,2)*INDEX(resistanceEndLifeAG,1,2)),0), ""), "")</f>
        <v/>
      </c>
      <c r="F70" s="434" t="str">
        <f>IF(ISNUMBER(SEARCH($F$36, $C$70)), IFERROR(ROUNDUP(INDEX(oneElectrodeResistanceAG,1,3)/(INDEX(factorVoltageMarginCP,1,3)*INDEX(resistanceEndLifeAG,1,3)),0), ""), "")</f>
        <v/>
      </c>
      <c r="G70" s="434" t="str">
        <f>IF(ISNUMBER(SEARCH($G$36, $C$70)), IFERROR(ROUNDUP(INDEX(oneElectrodeResistanceAG,1,4)/(INDEX(factorVoltageMarginCP,1,4)*INDEX(resistanceEndLifeAG,1,4)),0), ""), "")</f>
        <v/>
      </c>
      <c r="H70" s="434" t="str">
        <f>IF(ISNUMBER(SEARCH($H$36, $C$70)), IFERROR(ROUNDUP(INDEX(oneElectrodeResistanceAG,1,5)/(INDEX(factorVoltageMarginCP,1,5)*INDEX(resistanceEndLifeAG,1,5)),0), ""), "")</f>
        <v/>
      </c>
      <c r="I70" s="434" t="str">
        <f>IF(ISNUMBER(SEARCH($I$36, $C$70)), IFERROR(ROUNDUP(INDEX(oneElectrodeResistanceAG,1,6)/(INDEX(factorVoltageMarginCP,1,6)*INDEX(resistanceEndLifeAG,1,6)),0), ""), "")</f>
        <v/>
      </c>
      <c r="J70" s="434" t="str">
        <f>IF(ISNUMBER(SEARCH($J$36, $C$70)), IFERROR(ROUNDUP(INDEX(oneElectrodeResistanceAG,1,7)/(INDEX(factorVoltageMarginCP,1,7)*INDEX(resistanceEndLifeAG,1,7)),0), ""), "")</f>
        <v/>
      </c>
      <c r="K70" s="434" t="str">
        <f>IF(ISNUMBER(SEARCH($K$36, $C$70)), IFERROR(ROUNDUP(INDEX(oneElectrodeResistanceAG,1,8)/(INDEX(factorVoltageMarginCP,1,8)*INDEX(resistanceEndLifeAG,1,8)),0), ""), "")</f>
        <v/>
      </c>
      <c r="L70" s="434" t="str">
        <f>IF(ISNUMBER(SEARCH($L$36, $C$70)), IFERROR(ROUNDUP(INDEX(oneElectrodeResistanceAG,1,9)/(INDEX(factorVoltageMarginCP,1,9)*INDEX(resistanceEndLifeAG,1,9)),0), ""), "")</f>
        <v/>
      </c>
      <c r="M70" s="434" t="str">
        <f>IF(ISNUMBER(SEARCH($M$36, $C$70)), IFERROR(ROUNDUP(INDEX(oneElectrodeResistanceAG,1,10)/(INDEX(factorVoltageMarginCP,1,10)*INDEX(resistanceEndLifeAG,1,10)),0), ""), "")</f>
        <v/>
      </c>
      <c r="O70" s="432"/>
      <c r="P70" s="433"/>
      <c r="CW70" s="695" t="s">
        <v>1032</v>
      </c>
      <c r="CX70" s="732"/>
      <c r="CY70" s="732"/>
    </row>
    <row r="71" spans="1:103" s="431" customFormat="1" ht="21" hidden="1">
      <c r="A71" s="440"/>
      <c r="B71" s="429" t="s">
        <v>1060</v>
      </c>
      <c r="C71" s="625" t="s">
        <v>1092</v>
      </c>
      <c r="D71" s="434" t="str">
        <f>IF(ISNUMBER(SEARCH($D$36, $C$71)), IFERROR(ROUNDUP(INDEX(oneElectrodeResistanceAG,2,1)/(INDEX(factorVoltageMarginCP,1,1)*INDEX(resistanceEndLifeAG,1,1)),0), ""), "")</f>
        <v/>
      </c>
      <c r="E71" s="434" t="str">
        <f>IF(ISNUMBER(SEARCH($E$36, $C$71)), IFERROR(ROUNDUP(INDEX(oneElectrodeResistanceAG,2,2)/(INDEX(factorVoltageMarginCP,1,2)*INDEX(resistanceEndLifeAG,1,2)),0), ""), "")</f>
        <v/>
      </c>
      <c r="F71" s="434" t="str">
        <f>IF(ISNUMBER(SEARCH($F$36, $C$71)), IFERROR(ROUNDUP(INDEX(oneElectrodeResistanceAG,2,3)/(INDEX(factorVoltageMarginCP,1,3)*INDEX(resistanceEndLifeAG,1,3)),0), ""), "")</f>
        <v/>
      </c>
      <c r="G71" s="434" t="str">
        <f>IF(ISNUMBER(SEARCH($G$36, $C$71)), IFERROR(ROUNDUP(INDEX(oneElectrodeResistanceAG,2,4)/(INDEX(factorVoltageMarginCP,1,4)*INDEX(resistanceEndLifeAG,1,4)),0), ""), "")</f>
        <v/>
      </c>
      <c r="H71" s="434" t="str">
        <f>IF(ISNUMBER(SEARCH($H$36, $C$71)), IFERROR(ROUNDUP(INDEX(oneElectrodeResistanceAG,2,5)/(INDEX(factorVoltageMarginCP,1,5)*INDEX(resistanceEndLifeAG,1,5)),0), ""), "")</f>
        <v/>
      </c>
      <c r="I71" s="434" t="str">
        <f>IF(ISNUMBER(SEARCH($I$36, $C$71)), IFERROR(ROUNDUP(INDEX(oneElectrodeResistanceAG,2,6)/(INDEX(factorVoltageMarginCP,1,6)*INDEX(resistanceEndLifeAG,1,6)),0), ""), "")</f>
        <v/>
      </c>
      <c r="J71" s="434" t="str">
        <f>IF(ISNUMBER(SEARCH($J$36, $C$71)), IFERROR(ROUNDUP(INDEX(oneElectrodeResistanceAG,2,7)/(INDEX(factorVoltageMarginCP,1,7)*INDEX(resistanceEndLifeAG,1,7)),0), ""), "")</f>
        <v/>
      </c>
      <c r="K71" s="434" t="str">
        <f>IF(ISNUMBER(SEARCH($K$36, $C$71)), IFERROR(ROUNDUP(INDEX(oneElectrodeResistanceAG,2,8)/(INDEX(factorVoltageMarginCP,1,8)*INDEX(resistanceEndLifeAG,1,8)),0), ""), "")</f>
        <v/>
      </c>
      <c r="L71" s="434" t="str">
        <f>IF(ISNUMBER(SEARCH($L$36, $C$71)), IFERROR(ROUNDUP(INDEX(oneElectrodeResistanceAG,2,9)/(INDEX(factorVoltageMarginCP,1,9)*INDEX(resistanceEndLifeAG,1,9)),0), ""), "")</f>
        <v/>
      </c>
      <c r="M71" s="434" t="str">
        <f>IF(ISNUMBER(SEARCH($M$36, $C$71)), IFERROR(ROUNDUP(INDEX(oneElectrodeResistanceAG,2,10)/(INDEX(factorVoltageMarginCP,1,10)*INDEX(resistanceEndLifeAG,1,10)),0), ""), "")</f>
        <v/>
      </c>
      <c r="O71" s="432"/>
      <c r="P71" s="433"/>
      <c r="CW71" s="695" t="s">
        <v>1032</v>
      </c>
      <c r="CX71" s="732"/>
      <c r="CY71" s="732"/>
    </row>
    <row r="72" spans="1:103" s="431" customFormat="1" ht="21" hidden="1">
      <c r="A72" s="428">
        <f>1.2/0.7</f>
        <v>1.7142857142857144</v>
      </c>
      <c r="B72" s="429" t="s">
        <v>1094</v>
      </c>
      <c r="C72" s="625" t="s">
        <v>982</v>
      </c>
      <c r="D72" s="434" t="str">
        <f>IF(ISNUMBER(SEARCH($D$36, $C$72)), IFERROR(ROUNDUP((1.7*INDEX(oneElectrodeResistanceAG,1,1)*INDEX(oneElectrodeResistanceAG,2,1)-1.4*INDEX(resistanceEndLifeAG,1,1)*INDEX(oneElectrodeResistanceAG,1,1))/(INDEX(resistanceEndLifeAG,1,1)*INDEX(oneElectrodeResistanceAG,2,1)),0), ""), "")</f>
        <v/>
      </c>
      <c r="E72" s="434" t="str">
        <f>IF(ISNUMBER(SEARCH($E$36, $C$72)), IFERROR(ROUNDUP((1.7*INDEX(oneElectrodeResistanceAG,1,2)*INDEX(oneElectrodeResistanceAG,2,2)-1.4*INDEX(resistanceEndLifeAG,1,2)*INDEX(oneElectrodeResistanceAG,1,2))/(INDEX(resistanceEndLifeAG,1,2)*INDEX(oneElectrodeResistanceAG,2,2)),0), ""), "")</f>
        <v/>
      </c>
      <c r="F72" s="434" t="str">
        <f>IF(ISNUMBER(SEARCH($F$36, $C$72)), IFERROR(ROUNDUP((1.7*INDEX(oneElectrodeResistanceAG,1,3)*INDEX(oneElectrodeResistanceAG,2,3)-1.4*INDEX(resistanceEndLifeAG,1,3)*INDEX(oneElectrodeResistanceAG,1,3))/(INDEX(resistanceEndLifeAG,1,3)*INDEX(oneElectrodeResistanceAG,2,3)),0), ""), "")</f>
        <v/>
      </c>
      <c r="G72" s="434" t="str">
        <f>IF(ISNUMBER(SEARCH($G$36, $C$72)), IFERROR(ROUNDUP((1.7*INDEX(oneElectrodeResistanceAG,1,4)*INDEX(oneElectrodeResistanceAG,2,4)-1.4*INDEX(resistanceEndLifeAG,1,4)*INDEX(oneElectrodeResistanceAG,1,4))/(INDEX(resistanceEndLifeAG,1,4)*INDEX(oneElectrodeResistanceAG,2,4)),0), ""), "")</f>
        <v/>
      </c>
      <c r="H72" s="434" t="str">
        <f>IF(ISNUMBER(SEARCH($H$36, $C$72)), IFERROR(ROUNDUP((1.7*INDEX(oneElectrodeResistanceAG,1,5)*INDEX(oneElectrodeResistanceAG,2,5)-1.4*INDEX(resistanceEndLifeAG,1,5)*INDEX(oneElectrodeResistanceAG,1,5))/(INDEX(resistanceEndLifeAG,1,5)*INDEX(oneElectrodeResistanceAG,2,5)),0), ""), "")</f>
        <v/>
      </c>
      <c r="I72" s="434" t="str">
        <f>IF(ISNUMBER(SEARCH($I$36, $C$72)), IFERROR(ROUNDUP((1.7*INDEX(oneElectrodeResistanceAG,1,6)*INDEX(oneElectrodeResistanceAG,2,6)-1.4*INDEX(resistanceEndLifeAG,1,6)*INDEX(oneElectrodeResistanceAG,1,6))/(INDEX(resistanceEndLifeAG,1,6)*INDEX(oneElectrodeResistanceAG,2,6)),0), ""), "")</f>
        <v/>
      </c>
      <c r="J72" s="434" t="str">
        <f>IF(ISNUMBER(SEARCH($J$36, $C$72)), IFERROR(ROUNDUP((1.7*INDEX(oneElectrodeResistanceAG,1,7)*INDEX(oneElectrodeResistanceAG,2,7)-1.4*INDEX(resistanceEndLifeAG,1,7)*INDEX(oneElectrodeResistanceAG,1,7))/(INDEX(resistanceEndLifeAG,1,7)*INDEX(oneElectrodeResistanceAG,2,7)),0), ""), "")</f>
        <v/>
      </c>
      <c r="K72" s="434" t="str">
        <f>IF(ISNUMBER(SEARCH($K$36, $C$72)), IFERROR(ROUNDUP((1.7*INDEX(oneElectrodeResistanceAG,1,8)*INDEX(oneElectrodeResistanceAG,2,8)-1.4*INDEX(resistanceEndLifeAG,1,8)*INDEX(oneElectrodeResistanceAG,1,8))/(INDEX(resistanceEndLifeAG,1,8)*INDEX(oneElectrodeResistanceAG,2,8)),0), ""), "")</f>
        <v/>
      </c>
      <c r="L72" s="434" t="str">
        <f>IF(ISNUMBER(SEARCH($L$36, $C$72)), IFERROR(ROUNDUP((1.7*INDEX(oneElectrodeResistanceAG,1,9)*INDEX(oneElectrodeResistanceAG,2,9)-1.4*INDEX(resistanceEndLifeAG,1,9)*INDEX(oneElectrodeResistanceAG,1,9))/(INDEX(resistanceEndLifeAG,1,9)*INDEX(oneElectrodeResistanceAG,2,9)),0), ""), "")</f>
        <v/>
      </c>
      <c r="M72" s="434" t="str">
        <f>IF(ISNUMBER(SEARCH($M$36, $C$72)), IFERROR(ROUNDUP((1.7*INDEX(oneElectrodeResistanceAG,1,10)*INDEX(oneElectrodeResistanceAG,2,10)-1.4*INDEX(resistanceEndLifeAG,1,10)*INDEX(oneElectrodeResistanceAG,1,10))/(INDEX(resistanceEndLifeAG,1,10)*INDEX(oneElectrodeResistanceAG,2,10)),0), ""), "")</f>
        <v/>
      </c>
      <c r="O72" s="432"/>
      <c r="P72" s="433"/>
      <c r="CW72" s="695" t="s">
        <v>1032</v>
      </c>
      <c r="CX72" s="732"/>
      <c r="CY72" s="732"/>
    </row>
    <row r="73" spans="1:103" s="431" customFormat="1" ht="21" hidden="1">
      <c r="A73" s="428"/>
      <c r="B73" s="429" t="s">
        <v>1060</v>
      </c>
      <c r="C73" s="625" t="s">
        <v>983</v>
      </c>
      <c r="D73" s="434" t="str">
        <f>IF(ISNUMBER(SEARCH($D$36, $C$73)), IFERROR(ROUNDUP(INDEX(oneElectrodeResistanceAG,4,1)/(INDEX(factorVoltageMarginCP,1,1)*INDEX(resistanceEndLifeAG,1,1)),0), ""), "")</f>
        <v/>
      </c>
      <c r="E73" s="434" t="str">
        <f>IF(ISNUMBER(SEARCH($E$36, $C$73)), IFERROR(ROUNDUP(INDEX(oneElectrodeResistanceAG,4,2)/(INDEX(factorVoltageMarginCP,1,2)*INDEX(resistanceEndLifeAG,1,2)),0), ""), "")</f>
        <v/>
      </c>
      <c r="F73" s="434" t="str">
        <f>IF(ISNUMBER(SEARCH($F$36, $C$73)), IFERROR(ROUNDUP(INDEX(oneElectrodeResistanceAG,4,3)/(INDEX(factorVoltageMarginCP,1,3)*INDEX(resistanceEndLifeAG,1,3)),0), ""), "")</f>
        <v/>
      </c>
      <c r="G73" s="434" t="str">
        <f>IF(ISNUMBER(SEARCH($G$36, $C$73)), IFERROR(ROUNDUP(INDEX(oneElectrodeResistanceAG,4,4)/(INDEX(factorVoltageMarginCP,1,4)*INDEX(resistanceEndLifeAG,1,4)),0), ""), "")</f>
        <v/>
      </c>
      <c r="H73" s="434" t="str">
        <f>IF(ISNUMBER(SEARCH($H$36, $C$73)), IFERROR(ROUNDUP(INDEX(oneElectrodeResistanceAG,4,5)/(INDEX(factorVoltageMarginCP,1,5)*INDEX(resistanceEndLifeAG,1,5)),0), ""), "")</f>
        <v/>
      </c>
      <c r="I73" s="434" t="str">
        <f>IF(ISNUMBER(SEARCH($I$36, $C$73)), IFERROR(ROUNDUP(INDEX(oneElectrodeResistanceAG,4,6)/(INDEX(factorVoltageMarginCP,1,6)*INDEX(resistanceEndLifeAG,1,6)),0), ""), "")</f>
        <v/>
      </c>
      <c r="J73" s="434" t="str">
        <f>IF(ISNUMBER(SEARCH($J$36, $C$73)), IFERROR(ROUNDUP(INDEX(oneElectrodeResistanceAG,4,7)/(INDEX(factorVoltageMarginCP,1,7)*INDEX(resistanceEndLifeAG,1,7)),0), ""), "")</f>
        <v/>
      </c>
      <c r="K73" s="434" t="str">
        <f>IF(ISNUMBER(SEARCH($K$36, $C$73)), IFERROR(ROUNDUP(INDEX(oneElectrodeResistanceAG,4,8)/(INDEX(factorVoltageMarginCP,1,8)*INDEX(resistanceEndLifeAG,1,8)),0), ""), "")</f>
        <v/>
      </c>
      <c r="L73" s="434" t="str">
        <f>IF(ISNUMBER(SEARCH($L$36, $C$73)), IFERROR(ROUNDUP(INDEX(oneElectrodeResistanceAG,4,9)/(INDEX(factorVoltageMarginCP,1,9)*INDEX(resistanceEndLifeAG,1,9)),0), ""), "")</f>
        <v/>
      </c>
      <c r="M73" s="434" t="str">
        <f>IF(ISNUMBER(SEARCH($M$36, $C$73)), IFERROR(ROUNDUP(INDEX(oneElectrodeResistanceAG,4,10)/(INDEX(factorVoltageMarginCP,1,10)*INDEX(resistanceEndLifeAG,1,10)),0), ""), "")</f>
        <v/>
      </c>
      <c r="O73" s="432"/>
      <c r="P73" s="433"/>
      <c r="CW73" s="695" t="s">
        <v>1032</v>
      </c>
      <c r="CX73" s="732"/>
      <c r="CY73" s="732"/>
    </row>
    <row r="74" spans="1:103" s="431" customFormat="1" ht="21" hidden="1">
      <c r="A74" s="428"/>
      <c r="B74" s="429" t="s">
        <v>1060</v>
      </c>
      <c r="C74" s="625" t="s">
        <v>984</v>
      </c>
      <c r="D74" s="434" t="str">
        <f>IF(ISNUMBER(SEARCH($D$36, $C$74)), IFERROR(ROUNDUP(INDEX(oneElectrodeResistanceAG,5,1)/(INDEX(factorVoltageMarginCP,1,1)*INDEX(resistanceEndLifeAG,1,1)),2), ""), "")</f>
        <v/>
      </c>
      <c r="E74" s="434" t="str">
        <f>IF(ISNUMBER(SEARCH($E$36, $C$74)), IFERROR(ROUNDUP(INDEX(oneElectrodeResistanceAG,5,2)/(INDEX(factorVoltageMarginCP,1,2)*INDEX(resistanceEndLifeAG,1,2)),2), ""), "")</f>
        <v/>
      </c>
      <c r="F74" s="434" t="str">
        <f>IF(ISNUMBER(SEARCH($F$36, $C$74)), IFERROR(ROUNDUP(INDEX(oneElectrodeResistanceAG,5,3)/(INDEX(factorVoltageMarginCP,1,3)*INDEX(resistanceEndLifeAG,1,3)),2), ""), "")</f>
        <v/>
      </c>
      <c r="G74" s="434" t="str">
        <f>IF(ISNUMBER(SEARCH($G$36, $C$74)), IFERROR(ROUNDUP(INDEX(oneElectrodeResistanceAG,5,4)/(INDEX(factorVoltageMarginCP,1,4)*INDEX(resistanceEndLifeAG,1,4)),2), ""), "")</f>
        <v/>
      </c>
      <c r="H74" s="434" t="str">
        <f>IF(ISNUMBER(SEARCH($H$36, $C$74)), IFERROR(ROUNDUP(INDEX(oneElectrodeResistanceAG,5,5)/(INDEX(factorVoltageMarginCP,1,5)*INDEX(resistanceEndLifeAG,1,5)),2), ""), "")</f>
        <v/>
      </c>
      <c r="I74" s="434" t="str">
        <f>IF(ISNUMBER(SEARCH($I$36, $C$74)), IFERROR(ROUNDUP(INDEX(oneElectrodeResistanceAG,5,6)/(INDEX(factorVoltageMarginCP,1,6)*INDEX(resistanceEndLifeAG,1,6)),2), ""), "")</f>
        <v/>
      </c>
      <c r="J74" s="434" t="str">
        <f>IF(ISNUMBER(SEARCH($J$36, $C$74)), IFERROR(ROUNDUP(INDEX(oneElectrodeResistanceAG,5,7)/(INDEX(factorVoltageMarginCP,1,7)*INDEX(resistanceEndLifeAG,1,7)),2), ""), "")</f>
        <v/>
      </c>
      <c r="K74" s="434" t="str">
        <f>IF(ISNUMBER(SEARCH($K$36, $C$74)), IFERROR(ROUNDUP(INDEX(oneElectrodeResistanceAG,5,8)/(INDEX(factorVoltageMarginCP,1,8)*INDEX(resistanceEndLifeAG,1,8)),2), ""), "")</f>
        <v/>
      </c>
      <c r="L74" s="434" t="str">
        <f>IF(ISNUMBER(SEARCH($L$36, $C$74)), IFERROR(ROUNDUP(INDEX(oneElectrodeResistanceAG,5,9)/(INDEX(factorVoltageMarginCP,1,9)*INDEX(resistanceEndLifeAG,1,9)),2), ""), "")</f>
        <v/>
      </c>
      <c r="M74" s="434" t="str">
        <f>IF(ISNUMBER(SEARCH($M$36, $C$74)), IFERROR(ROUNDUP(INDEX(oneElectrodeResistanceAG,5,10)/(INDEX(factorVoltageMarginCP,1,10)*INDEX(resistanceEndLifeAG,1,10)),2), ""), "")</f>
        <v/>
      </c>
      <c r="O74" s="432"/>
      <c r="P74" s="433"/>
      <c r="CW74" s="695" t="s">
        <v>1032</v>
      </c>
      <c r="CX74" s="732"/>
      <c r="CY74" s="732"/>
    </row>
    <row r="75" spans="1:103" s="431" customFormat="1" ht="21" hidden="1">
      <c r="A75" s="428"/>
      <c r="B75" s="429" t="s">
        <v>1060</v>
      </c>
      <c r="C75" s="625" t="s">
        <v>985</v>
      </c>
      <c r="D75" s="434" t="str">
        <f>IF(ISNUMBER(SEARCH($D$36, $C$75)), IFERROR(ROUNDUP(INDEX(oneElectrodeResistanceAG,6,1)/(INDEX(factorVoltageMarginCP,1,1)*INDEX(resistanceEndLifeAG,1,1)),2), ""), "")</f>
        <v/>
      </c>
      <c r="E75" s="434" t="str">
        <f>IF(ISNUMBER(SEARCH($E$36, $C$75)), IFERROR(ROUNDUP(INDEX(oneElectrodeResistanceAG,6,2)/(INDEX(factorVoltageMarginCP,1,2)*INDEX(resistanceEndLifeAG,1,2)),2), ""), "")</f>
        <v/>
      </c>
      <c r="F75" s="434" t="str">
        <f>IF(ISNUMBER(SEARCH($F$36, $C$75)), IFERROR(ROUNDUP(INDEX(oneElectrodeResistanceAG,6,3)/(INDEX(factorVoltageMarginCP,1,3)*INDEX(resistanceEndLifeAG,1,3)),2), ""), "")</f>
        <v/>
      </c>
      <c r="G75" s="434" t="str">
        <f>IF(ISNUMBER(SEARCH($G$36, $C$75)), IFERROR(ROUNDUP(INDEX(oneElectrodeResistanceAG,6,4)/(INDEX(factorVoltageMarginCP,1,4)*INDEX(resistanceEndLifeAG,1,4)),2), ""), "")</f>
        <v/>
      </c>
      <c r="H75" s="434" t="str">
        <f>IF(ISNUMBER(SEARCH($H$36, $C$75)), IFERROR(ROUNDUP(INDEX(oneElectrodeResistanceAG,6,5)/(INDEX(factorVoltageMarginCP,1,5)*INDEX(resistanceEndLifeAG,1,5)),2), ""), "")</f>
        <v/>
      </c>
      <c r="I75" s="434" t="str">
        <f>IF(ISNUMBER(SEARCH($I$36, $C$75)), IFERROR(ROUNDUP(INDEX(oneElectrodeResistanceAG,6,6)/(INDEX(factorVoltageMarginCP,1,6)*INDEX(resistanceEndLifeAG,1,6)),2), ""), "")</f>
        <v/>
      </c>
      <c r="J75" s="434" t="str">
        <f>IF(ISNUMBER(SEARCH($J$36, $C$75)), IFERROR(ROUNDUP(INDEX(oneElectrodeResistanceAG,6,7)/(INDEX(factorVoltageMarginCP,1,7)*INDEX(resistanceEndLifeAG,1,7)),2), ""), "")</f>
        <v/>
      </c>
      <c r="K75" s="434" t="str">
        <f>IF(ISNUMBER(SEARCH($K$36, $C$75)), IFERROR(ROUNDUP(INDEX(oneElectrodeResistanceAG,6,8)/(INDEX(factorVoltageMarginCP,1,8)*INDEX(resistanceEndLifeAG,1,8)),2), ""), "")</f>
        <v/>
      </c>
      <c r="L75" s="434" t="str">
        <f>IF(ISNUMBER(SEARCH($L$36, $C$75)), IFERROR(ROUNDUP(INDEX(oneElectrodeResistanceAG,6,9)/(INDEX(factorVoltageMarginCP,1,9)*INDEX(resistanceEndLifeAG,1,9)),2), ""), "")</f>
        <v/>
      </c>
      <c r="M75" s="434" t="str">
        <f>IF(ISNUMBER(SEARCH($M$36, $C$75)), IFERROR(ROUNDUP(INDEX(oneElectrodeResistanceAG,6,10)/(INDEX(factorVoltageMarginCP,1,10)*INDEX(resistanceEndLifeAG,1,10)),2), ""), "")</f>
        <v/>
      </c>
      <c r="O75" s="432"/>
      <c r="P75" s="433"/>
      <c r="CW75" s="695" t="s">
        <v>1032</v>
      </c>
      <c r="CX75" s="732"/>
      <c r="CY75" s="732"/>
    </row>
    <row r="76" spans="1:103" s="431" customFormat="1" ht="21" hidden="1">
      <c r="A76" s="428"/>
      <c r="B76" s="429" t="s">
        <v>1061</v>
      </c>
      <c r="C76" s="625" t="s">
        <v>986</v>
      </c>
      <c r="D76" s="434" t="str">
        <f>IF(ISNUMBER(SEARCH($D$36, $C$76)), IFERROR(ROUNDUP(INDEX(oneElectrodeResistanceAG,7,1)/(INDEX(factorVoltageMarginCP,1,1)*INDEX(resistanceEndLifeAG,1,1)),0), ""), "")</f>
        <v/>
      </c>
      <c r="E76" s="434" t="str">
        <f>IF(ISNUMBER(SEARCH($E$36, $C$76)), IFERROR(ROUNDUP(INDEX(oneElectrodeResistanceAG,7,2)/(INDEX(factorVoltageMarginCP,1,2)*INDEX(resistanceEndLifeAG,1,2)),0), ""), "")</f>
        <v/>
      </c>
      <c r="F76" s="434" t="str">
        <f>IF(ISNUMBER(SEARCH($F$36, $C$76)), IFERROR(ROUNDUP(INDEX(oneElectrodeResistanceAG,7,3)/(INDEX(factorVoltageMarginCP,1,3)*INDEX(resistanceEndLifeAG,1,3)),0), ""), "")</f>
        <v/>
      </c>
      <c r="G76" s="434" t="str">
        <f>IF(ISNUMBER(SEARCH($G$36, $C$76)), IFERROR(ROUNDUP(INDEX(oneElectrodeResistanceAG,7,4)/(INDEX(factorVoltageMarginCP,1,4)*INDEX(resistanceEndLifeAG,1,4)),0), ""), "")</f>
        <v/>
      </c>
      <c r="H76" s="434" t="str">
        <f>IF(ISNUMBER(SEARCH($H$36, $C$76)), IFERROR(ROUNDUP(INDEX(oneElectrodeResistanceAG,7,5)/(INDEX(factorVoltageMarginCP,1,5)*INDEX(resistanceEndLifeAG,1,5)),0), ""), "")</f>
        <v/>
      </c>
      <c r="I76" s="434" t="str">
        <f>IF(ISNUMBER(SEARCH($I$36, $C$76)), IFERROR(ROUNDUP(INDEX(oneElectrodeResistanceAG,7,6)/(INDEX(factorVoltageMarginCP,1,6)*INDEX(resistanceEndLifeAG,1,6)),0), ""), "")</f>
        <v/>
      </c>
      <c r="J76" s="434" t="str">
        <f>IF(ISNUMBER(SEARCH($J$36, $C$76)), IFERROR(ROUNDUP(INDEX(oneElectrodeResistanceAG,7,7)/(INDEX(factorVoltageMarginCP,1,7)*INDEX(resistanceEndLifeAG,1,7)),0), ""), "")</f>
        <v/>
      </c>
      <c r="K76" s="434" t="str">
        <f>IF(ISNUMBER(SEARCH($K$36, $C$76)), IFERROR(ROUNDUP(INDEX(oneElectrodeResistanceAG,7,8)/(INDEX(factorVoltageMarginCP,1,8)*INDEX(resistanceEndLifeAG,1,8)),0), ""), "")</f>
        <v/>
      </c>
      <c r="L76" s="434" t="str">
        <f>IF(ISNUMBER(SEARCH($L$36, $C$76)), IFERROR(ROUNDUP(INDEX(oneElectrodeResistanceAG,7,9)/(INDEX(factorVoltageMarginCP,1,9)*INDEX(resistanceEndLifeAG,1,9)),0), ""), "")</f>
        <v/>
      </c>
      <c r="M76" s="434" t="str">
        <f>IF(ISNUMBER(SEARCH($M$36, $C$76)), IFERROR(ROUNDUP(INDEX(oneElectrodeResistanceAG,7,10)/(INDEX(factorVoltageMarginCP,1,10)*INDEX(resistanceEndLifeAG,1,10)),0), ""), "")</f>
        <v/>
      </c>
      <c r="O76" s="432"/>
      <c r="P76" s="433"/>
      <c r="CW76" s="695" t="s">
        <v>1032</v>
      </c>
      <c r="CX76" s="732"/>
      <c r="CY76" s="732"/>
    </row>
    <row r="77" spans="1:103" s="431" customFormat="1" ht="21" hidden="1">
      <c r="A77" s="428" t="s">
        <v>136</v>
      </c>
      <c r="B77" s="429" t="s">
        <v>1061</v>
      </c>
      <c r="C77" s="625" t="s">
        <v>1000</v>
      </c>
      <c r="D77" s="434" t="str">
        <f>IF(ISNUMBER(SEARCH($D$36, $C$77)), IFERROR(ROUNDUP(INDEX(oneElectrodeResistanceAG,8,1)/(INDEX(factorVoltageMarginCP,1,1)*INDEX(resistanceEndLifeAG,1,1)),0), ""), "")</f>
        <v/>
      </c>
      <c r="E77" s="434" t="str">
        <f>IF(ISNUMBER(SEARCH($E$36, $C$77)), IFERROR(ROUNDUP(INDEX(oneElectrodeResistanceAG,8,2)/(INDEX(factorVoltageMarginCP,1,2)*INDEX(resistanceEndLifeAG,1,2)),0), ""), "")</f>
        <v/>
      </c>
      <c r="F77" s="434" t="str">
        <f>IF(ISNUMBER(SEARCH($F$36, $C$77)), IFERROR(ROUNDUP(INDEX(oneElectrodeResistanceAG,8,3)/(INDEX(factorVoltageMarginCP,1,3)*INDEX(resistanceEndLifeAG,1,3)),0), ""), "")</f>
        <v/>
      </c>
      <c r="G77" s="434" t="str">
        <f>IF(ISNUMBER(SEARCH($G$36, $C$77)), IFERROR(ROUNDUP(INDEX(oneElectrodeResistanceAG,8,4)/(INDEX(factorVoltageMarginCP,1,4)*INDEX(resistanceEndLifeAG,1,4)),0), ""), "")</f>
        <v/>
      </c>
      <c r="H77" s="434" t="str">
        <f>IF(ISNUMBER(SEARCH($H$36, $C$77)), IFERROR(ROUNDUP(INDEX(oneElectrodeResistanceAG,8,5)/(INDEX(factorVoltageMarginCP,1,5)*INDEX(resistanceEndLifeAG,1,5)),0), ""), "")</f>
        <v/>
      </c>
      <c r="I77" s="434" t="str">
        <f>IF(ISNUMBER(SEARCH($I$36, $C$77)), IFERROR(ROUNDUP(INDEX(oneElectrodeResistanceAG,8,6)/(INDEX(factorVoltageMarginCP,1,6)*INDEX(resistanceEndLifeAG,1,6)),0), ""), "")</f>
        <v/>
      </c>
      <c r="J77" s="434" t="str">
        <f>IF(ISNUMBER(SEARCH($J$36, $C$77)), IFERROR(ROUNDUP(INDEX(oneElectrodeResistanceAG,8,7)/(INDEX(factorVoltageMarginCP,1,7)*INDEX(resistanceEndLifeAG,1,7)),0), ""), "")</f>
        <v/>
      </c>
      <c r="K77" s="434" t="str">
        <f>IF(ISNUMBER(SEARCH($K$36, $C$77)), IFERROR(ROUNDUP(INDEX(oneElectrodeResistanceAG,8,8)/(INDEX(factorVoltageMarginCP,1,8)*INDEX(resistanceEndLifeAG,1,8)),0), ""), "")</f>
        <v/>
      </c>
      <c r="L77" s="434" t="str">
        <f>IF(ISNUMBER(SEARCH($L$36, $C$77)), IFERROR(ROUNDUP(INDEX(oneElectrodeResistanceAG,8,9)/(INDEX(factorVoltageMarginCP,1,9)*INDEX(resistanceEndLifeAG,1,9)),0), ""), "")</f>
        <v/>
      </c>
      <c r="M77" s="434" t="str">
        <f>IF(ISNUMBER(SEARCH($M$36, $C$77)), IFERROR(ROUNDUP(INDEX(oneElectrodeResistanceAG,8,10)/(INDEX(factorVoltageMarginCP,1,10)*INDEX(resistanceEndLifeAG,1,10)),0), ""), "")</f>
        <v/>
      </c>
      <c r="O77" s="432"/>
      <c r="P77" s="433"/>
      <c r="CW77" s="695" t="s">
        <v>1032</v>
      </c>
      <c r="CX77" s="732"/>
      <c r="CY77" s="732"/>
    </row>
    <row r="78" spans="1:103" s="431" customFormat="1" ht="35">
      <c r="A78" s="428" t="s">
        <v>136</v>
      </c>
      <c r="B78" s="429" t="s">
        <v>1061</v>
      </c>
      <c r="C78" s="807" t="s">
        <v>1001</v>
      </c>
      <c r="D78" s="434">
        <v>12</v>
      </c>
      <c r="E78" s="434" t="str">
        <f>IF(ISNUMBER(SEARCH($E$36, $C$78)), IFERROR(ROUNDUP(INDEX(oneElectrodeResistanceAG,9,2)/(INDEX(factorVoltageMarginCP,1,2)*INDEX(resistanceEndLifeAG,1,2)),0), ""), "")</f>
        <v/>
      </c>
      <c r="F78" s="434" t="str">
        <f>IF(ISNUMBER(SEARCH($F$36, $C$78)), IFERROR(ROUNDUP(INDEX(oneElectrodeResistanceAG,9,3)/(INDEX(factorVoltageMarginCP,1,3)*INDEX(resistanceEndLifeAG,1,3)),0), ""), "")</f>
        <v/>
      </c>
      <c r="G78" s="434" t="str">
        <f>IF(ISNUMBER(SEARCH($G$36, $C$78)), IFERROR(ROUNDUP(INDEX(oneElectrodeResistanceAG,9,4)/(INDEX(factorVoltageMarginCP,1,4)*INDEX(resistanceEndLifeAG,1,4)),0), ""), "")</f>
        <v/>
      </c>
      <c r="H78" s="434" t="str">
        <f>IF(ISNUMBER(SEARCH($H$36, $C$78)), IFERROR(ROUNDUP(INDEX(oneElectrodeResistanceAG,9,5)/(INDEX(factorVoltageMarginCP,1,5)*INDEX(resistanceEndLifeAG,1,5)),0), ""), "")</f>
        <v/>
      </c>
      <c r="I78" s="434" t="str">
        <f>IF(ISNUMBER(SEARCH($I$36, $C$78)), IFERROR(ROUNDUP(INDEX(oneElectrodeResistanceAG,9,6)/(INDEX(factorVoltageMarginCP,1,6)*INDEX(resistanceEndLifeAG,1,6)),0), ""), "")</f>
        <v/>
      </c>
      <c r="J78" s="434" t="str">
        <f>IF(ISNUMBER(SEARCH($J$36, $C$78)), IFERROR(ROUNDUP(INDEX(oneElectrodeResistanceAG,9,7)/(INDEX(factorVoltageMarginCP,1,7)*INDEX(resistanceEndLifeAG,1,7)),0), ""), "")</f>
        <v/>
      </c>
      <c r="K78" s="434" t="str">
        <f>IF(ISNUMBER(SEARCH($K$36, $C$78)), IFERROR(ROUNDUP(INDEX(oneElectrodeResistanceAG,9,8)/(INDEX(factorVoltageMarginCP,1,8)*INDEX(resistanceEndLifeAG,1,8)),0), ""), "")</f>
        <v/>
      </c>
      <c r="L78" s="434" t="str">
        <f>IF(ISNUMBER(SEARCH($L$36, $C$78)), IFERROR(ROUNDUP(INDEX(oneElectrodeResistanceAG,9,9)/(INDEX(factorVoltageMarginCP,1,9)*INDEX(resistanceEndLifeAG,1,9)),0), ""), "")</f>
        <v/>
      </c>
      <c r="M78" s="434" t="str">
        <f>IF(ISNUMBER(SEARCH($M$36, $C$78)), IFERROR(ROUNDUP(INDEX(oneElectrodeResistanceAG,9,10)/(INDEX(factorVoltageMarginCP,1,10)*INDEX(resistanceEndLifeAG,1,10)),0), ""), "")</f>
        <v/>
      </c>
      <c r="O78" s="432"/>
      <c r="P78" s="433"/>
      <c r="CW78" s="695" t="s">
        <v>1032</v>
      </c>
      <c r="CX78" s="732"/>
      <c r="CY78" s="732"/>
    </row>
    <row r="79" spans="1:103" s="431" customFormat="1" ht="21" hidden="1">
      <c r="A79" s="428"/>
      <c r="B79" s="429"/>
      <c r="C79" s="503"/>
      <c r="D79" s="434"/>
      <c r="E79" s="434"/>
      <c r="F79" s="434"/>
      <c r="G79" s="434"/>
      <c r="H79" s="434"/>
      <c r="I79" s="434"/>
      <c r="J79" s="434"/>
      <c r="K79" s="434"/>
      <c r="L79" s="434"/>
      <c r="M79" s="434"/>
      <c r="O79" s="432"/>
      <c r="P79" s="433"/>
      <c r="CW79" s="695" t="s">
        <v>1032</v>
      </c>
      <c r="CX79" s="732"/>
      <c r="CY79" s="732"/>
    </row>
    <row r="80" spans="1:103" s="431" customFormat="1" ht="30" hidden="1">
      <c r="A80" s="440"/>
      <c r="B80" s="429" t="s">
        <v>923</v>
      </c>
      <c r="C80" s="799" t="s">
        <v>987</v>
      </c>
      <c r="D80" s="430" t="str">
        <f>IF(ISNUMBER(SEARCH(D36,C80)),IFERROR(INDEX(massOneElectrodeAG,1,1)*INDEX(numElectrodesAG,1,1),""),"")</f>
        <v/>
      </c>
      <c r="E80" s="430" t="str">
        <f>IF(ISNUMBER(SEARCH(E36,C80)),IFERROR(INDEX(massOneElectrodeAG,1,2)*INDEX(numElectrodesAG,1,2),""),"")</f>
        <v/>
      </c>
      <c r="F80" s="430" t="str">
        <f>IF(ISNUMBER(SEARCH(F36,C80)),IFERROR(INDEX(massOneElectrodeAG,1,3)*INDEX(numElectrodesAG,1,3),""),"")</f>
        <v/>
      </c>
      <c r="G80" s="430" t="str">
        <f>IF(ISNUMBER(SEARCH(G36,C80)),IFERROR(INDEX(massOneElectrodeAG,1,4)*INDEX(numElectrodesAG,1,4),""),"")</f>
        <v/>
      </c>
      <c r="H80" s="430" t="str">
        <f>IF(ISNUMBER(SEARCH(H36,C80)),IFERROR(INDEX(massOneElectrodeAG,1,5)*INDEX(numElectrodesAG,1,5),""),"")</f>
        <v/>
      </c>
      <c r="I80" s="430" t="str">
        <f>IF(ISNUMBER(SEARCH(I36,C80)),IFERROR(INDEX(massOneElectrodeAG,1,6)*INDEX(numElectrodesAG,1,6),""),"")</f>
        <v/>
      </c>
      <c r="J80" s="430" t="str">
        <f>IF(ISNUMBER(SEARCH(J36,C80)),IFERROR(INDEX(massOneElectrodeAG,1,7)*INDEX(numElectrodesAG,1,7),""),"")</f>
        <v/>
      </c>
      <c r="K80" s="430" t="str">
        <f>IF(ISNUMBER(SEARCH(K36,C80)),IFERROR(INDEX(massOneElectrodeAG,1,8)*INDEX(numElectrodesAG,1,8),""),"")</f>
        <v/>
      </c>
      <c r="L80" s="430" t="str">
        <f>IF(ISNUMBER(SEARCH(L36,C80)),IFERROR(INDEX(massOneElectrodeAG,1,9)*INDEX(numElectrodesAG,1,9),""),"")</f>
        <v/>
      </c>
      <c r="M80" s="430" t="str">
        <f>IF(ISNUMBER(SEARCH(M36,C80)),IFERROR(INDEX(massOneElectrodeAG,1,10)*INDEX(numElectrodesAG,1,10),""),"")</f>
        <v/>
      </c>
      <c r="O80" s="432"/>
      <c r="P80" s="433"/>
      <c r="CW80" s="695" t="s">
        <v>1032</v>
      </c>
      <c r="CX80" s="732"/>
      <c r="CY80" s="732"/>
    </row>
    <row r="81" spans="1:103" s="431" customFormat="1" ht="30" hidden="1">
      <c r="A81" s="440"/>
      <c r="B81" s="429" t="s">
        <v>923</v>
      </c>
      <c r="C81" s="799" t="s">
        <v>1002</v>
      </c>
      <c r="D81" s="430" t="str">
        <f>IF(ISNUMBER(SEARCH(D36,C81)),IFERROR(INDEX(massOneElectrodeAG,1,1)*INDEX(numElectrodesAG,2,1),""),"")</f>
        <v/>
      </c>
      <c r="E81" s="430" t="str">
        <f>IF(ISNUMBER(SEARCH(E36,C81)),IFERROR(INDEX(massOneElectrodeAG,1,2)*INDEX(numElectrodesAG,2,2),""),"")</f>
        <v/>
      </c>
      <c r="F81" s="430" t="str">
        <f>IF(ISNUMBER(SEARCH(F36,C81)),IFERROR(INDEX(massOneElectrodeAG,1,3)*INDEX(numElectrodesAG,2,3),""),"")</f>
        <v/>
      </c>
      <c r="G81" s="430" t="str">
        <f>IF(ISNUMBER(SEARCH(G36,C81)),IFERROR(INDEX(massOneElectrodeAG,1,4)*INDEX(numElectrodesAG,2,4),""),"")</f>
        <v/>
      </c>
      <c r="H81" s="430" t="str">
        <f>IF(ISNUMBER(SEARCH(H36,C81)),IFERROR(INDEX(massOneElectrodeAG,1,5)*INDEX(numElectrodesAG,2,5),""),"")</f>
        <v/>
      </c>
      <c r="I81" s="430" t="str">
        <f>IF(ISNUMBER(SEARCH(I36,C81)),IFERROR(INDEX(massOneElectrodeAG,1,6)*INDEX(numElectrodesAG,2,6),""),"")</f>
        <v/>
      </c>
      <c r="J81" s="430" t="str">
        <f>IF(ISNUMBER(SEARCH(J36,C81)),IFERROR(INDEX(massOneElectrodeAG,1,7)*INDEX(numElectrodesAG,2,7),""),"")</f>
        <v/>
      </c>
      <c r="K81" s="430" t="str">
        <f>IF(ISNUMBER(SEARCH(K36,C81)),IFERROR(INDEX(massOneElectrodeAG,1,8)*INDEX(numElectrodesAG,2,8),""),"")</f>
        <v/>
      </c>
      <c r="L81" s="430" t="str">
        <f>IF(ISNUMBER(SEARCH(L36,C81)),IFERROR(INDEX(massOneElectrodeAG,1,9)*INDEX(numElectrodesAG,2,9),""),"")</f>
        <v/>
      </c>
      <c r="M81" s="430" t="str">
        <f>IF(ISNUMBER(SEARCH(M36,C81)),IFERROR(INDEX(massOneElectrodeAG,1,10)*INDEX(numElectrodesAG,2,10),""),"")</f>
        <v/>
      </c>
      <c r="O81" s="432"/>
      <c r="P81" s="433"/>
      <c r="CW81" s="695" t="s">
        <v>1032</v>
      </c>
      <c r="CX81" s="732"/>
      <c r="CY81" s="732"/>
    </row>
    <row r="82" spans="1:103" s="431" customFormat="1" ht="30" hidden="1">
      <c r="A82" s="428"/>
      <c r="B82" s="429" t="s">
        <v>923</v>
      </c>
      <c r="C82" s="799" t="s">
        <v>988</v>
      </c>
      <c r="D82" s="430" t="str">
        <f>IF(ISNUMBER(SEARCH(D36,C82)),IFERROR(INDEX(massOneElectrodeAG,1,1)*INDEX(numElectrodesAG,3,1),""),"")</f>
        <v/>
      </c>
      <c r="E82" s="430" t="str">
        <f>IF(ISNUMBER(SEARCH(E36,C82)),IFERROR(INDEX(massOneElectrodeAG,1,2)*INDEX(numElectrodesAG,3,2),""),"")</f>
        <v/>
      </c>
      <c r="F82" s="430" t="str">
        <f>IF(ISNUMBER(SEARCH(F36,C82)),IFERROR(INDEX(massOneElectrodeAG,1,3)*INDEX(numElectrodesAG,3,3),""),"")</f>
        <v/>
      </c>
      <c r="G82" s="430" t="str">
        <f>IF(ISNUMBER(SEARCH(G36,C82)),IFERROR(INDEX(massOneElectrodeAG,1,4)*INDEX(numElectrodesAG,3,4),""),"")</f>
        <v/>
      </c>
      <c r="H82" s="430" t="str">
        <f>IF(ISNUMBER(SEARCH(H36,C82)),IFERROR(INDEX(massOneElectrodeAG,1,5)*INDEX(numElectrodesAG,3,5),""),"")</f>
        <v/>
      </c>
      <c r="I82" s="430" t="str">
        <f>IF(ISNUMBER(SEARCH(I36,C82)),IFERROR(INDEX(massOneElectrodeAG,1,6)*INDEX(numElectrodesAG,3,6),""),"")</f>
        <v/>
      </c>
      <c r="J82" s="430" t="str">
        <f>IF(ISNUMBER(SEARCH(J36,C82)),IFERROR(INDEX(massOneElectrodeAG,1,7)*INDEX(numElectrodesAG,3,7),""),"")</f>
        <v/>
      </c>
      <c r="K82" s="430" t="str">
        <f>IF(ISNUMBER(SEARCH(K36,C82)),IFERROR(INDEX(massOneElectrodeAG,1,8)*INDEX(numElectrodesAG,3,8),""),"")</f>
        <v/>
      </c>
      <c r="L82" s="430" t="str">
        <f>IF(ISNUMBER(SEARCH(L36,C82)),IFERROR(INDEX(massOneElectrodeAG,1,9)*INDEX(numElectrodesAG,3,9),""),"")</f>
        <v/>
      </c>
      <c r="M82" s="430" t="str">
        <f>IF(ISNUMBER(SEARCH(M36,C82)),IFERROR(INDEX(massOneElectrodeAG,1,10)*INDEX(numElectrodesAG,3,10),""),"")</f>
        <v/>
      </c>
      <c r="O82" s="432"/>
      <c r="P82" s="433"/>
      <c r="CW82" s="695" t="s">
        <v>1032</v>
      </c>
      <c r="CX82" s="732"/>
      <c r="CY82" s="732"/>
    </row>
    <row r="83" spans="1:103" s="431" customFormat="1" ht="30" hidden="1">
      <c r="A83" s="428"/>
      <c r="B83" s="429" t="s">
        <v>923</v>
      </c>
      <c r="C83" s="799" t="s">
        <v>989</v>
      </c>
      <c r="D83" s="430" t="str">
        <f>IF(ISNUMBER(SEARCH(D36,C83)),IFERROR(INDEX(massOneElectrodeAG,1,1)*INDEX(numElectrodesAG,4,1),""),"")</f>
        <v/>
      </c>
      <c r="E83" s="430" t="str">
        <f>IF(ISNUMBER(SEARCH(E36,C83)),IFERROR(INDEX(massOneElectrodeAG,1,2)*INDEX(numElectrodesAG,4,2),""),"")</f>
        <v/>
      </c>
      <c r="F83" s="430" t="str">
        <f>IF(ISNUMBER(SEARCH(F36,C83)),IFERROR(INDEX(massOneElectrodeAG,1,3)*INDEX(numElectrodesAG,4,3),""),"")</f>
        <v/>
      </c>
      <c r="G83" s="430" t="str">
        <f>IF(ISNUMBER(SEARCH(G36,C83)),IFERROR(INDEX(massOneElectrodeAG,1,4)*INDEX(numElectrodesAG,4,4),""),"")</f>
        <v/>
      </c>
      <c r="H83" s="430" t="str">
        <f>IF(ISNUMBER(SEARCH(H36,C83)),IFERROR(INDEX(massOneElectrodeAG,1,5)*INDEX(numElectrodesAG,4,5),""),"")</f>
        <v/>
      </c>
      <c r="I83" s="430" t="str">
        <f>IF(ISNUMBER(SEARCH(I36,C83)),IFERROR(INDEX(massOneElectrodeAG,1,6)*INDEX(numElectrodesAG,4,6),""),"")</f>
        <v/>
      </c>
      <c r="J83" s="430" t="str">
        <f>IF(ISNUMBER(SEARCH(J36,C83)),IFERROR(INDEX(massOneElectrodeAG,1,7)*INDEX(numElectrodesAG,4,7),""),"")</f>
        <v/>
      </c>
      <c r="K83" s="430" t="str">
        <f>IF(ISNUMBER(SEARCH(K36,C83)),IFERROR(INDEX(massOneElectrodeAG,1,8)*INDEX(numElectrodesAG,4,8),""),"")</f>
        <v/>
      </c>
      <c r="L83" s="430" t="str">
        <f>IF(ISNUMBER(SEARCH(L36,C83)),IFERROR(INDEX(massOneElectrodeAG,1,9)*INDEX(numElectrodesAG,4,9),""),"")</f>
        <v/>
      </c>
      <c r="M83" s="430" t="str">
        <f>IF(ISNUMBER(SEARCH(M36,C83)),IFERROR(INDEX(massOneElectrodeAG,1,10)*INDEX(numElectrodesAG,4,10),""),"")</f>
        <v/>
      </c>
      <c r="O83" s="432"/>
      <c r="P83" s="433"/>
      <c r="CW83" s="695" t="s">
        <v>1032</v>
      </c>
      <c r="CX83" s="732"/>
      <c r="CY83" s="732"/>
    </row>
    <row r="84" spans="1:103" s="431" customFormat="1" ht="30" hidden="1">
      <c r="A84" s="428"/>
      <c r="B84" s="429" t="s">
        <v>1187</v>
      </c>
      <c r="C84" s="799" t="s">
        <v>990</v>
      </c>
      <c r="D84" s="430" t="str">
        <f>IF(ISNUMBER(SEARCH(D36,C84)),IFERROR(INDEX(specificMaccOneMetеrAG,1,1)*INDEX(numElectrodesAG,5,1)*INDEX(lengthElectrodeAG,1,1),""),"")</f>
        <v/>
      </c>
      <c r="E84" s="430" t="str">
        <f>IF(ISNUMBER(SEARCH(E36,C84)),IFERROR(INDEX(specificMaccOneMetеrAG,1,2)*INDEX(numElectrodesAG,5,2)*INDEX(lengthElectrodeAG,1,2),""),"")</f>
        <v/>
      </c>
      <c r="F84" s="430" t="str">
        <f>IF(ISNUMBER(SEARCH(F36,C84)),IFERROR(INDEX(specificMaccOneMetеrAG,1,3)*INDEX(numElectrodesAG,5,3)*INDEX(lengthElectrodeAG,1,3),""),"")</f>
        <v/>
      </c>
      <c r="G84" s="430" t="str">
        <f>IF(ISNUMBER(SEARCH(G36,C84)),IFERROR(INDEX(specificMaccOneMetеrAG,1,4)*INDEX(numElectrodesAG,5,4)*INDEX(lengthElectrodeAG,1,4),""),"")</f>
        <v/>
      </c>
      <c r="H84" s="430" t="str">
        <f>IF(ISNUMBER(SEARCH(H36,C84)),IFERROR(INDEX(specificMaccOneMetеrAG,1,5)*INDEX(numElectrodesAG,5,5)*INDEX(lengthElectrodeAG,1,5),""),"")</f>
        <v/>
      </c>
      <c r="I84" s="430" t="str">
        <f>IF(ISNUMBER(SEARCH(I36,C84)),IFERROR(INDEX(specificMaccOneMetеrAG,1,6)*INDEX(numElectrodesAG,5,6)*INDEX(lengthElectrodeAG,1,6),""),"")</f>
        <v/>
      </c>
      <c r="J84" s="430" t="str">
        <f>IF(ISNUMBER(SEARCH(J36,C84)),IFERROR(INDEX(specificMaccOneMetеrAG,1,7)*INDEX(numElectrodesAG,5,7)*INDEX(lengthElectrodeAG,1,7),""),"")</f>
        <v/>
      </c>
      <c r="K84" s="430" t="str">
        <f>IF(ISNUMBER(SEARCH(K36,C84)),IFERROR(INDEX(specificMaccOneMetеrAG,1,8)*INDEX(numElectrodesAG,5,8)*INDEX(lengthElectrodeAG,1,8),""),"")</f>
        <v/>
      </c>
      <c r="L84" s="430" t="str">
        <f>IF(ISNUMBER(SEARCH(L36,C84)),IFERROR(INDEX(specificMaccOneMetеrAG,1,9)*INDEX(numElectrodesAG,5,9)*INDEX(lengthElectrodeAG,1,9),""),"")</f>
        <v/>
      </c>
      <c r="M84" s="430" t="str">
        <f>IF(ISNUMBER(SEARCH(M36,C84)),IFERROR(INDEX(specificMaccOneMetеrAG,1,10)*INDEX(numElectrodesAG,5,10)*INDEX(lengthElectrodeAG,1,10),""),"")</f>
        <v/>
      </c>
      <c r="O84" s="432"/>
      <c r="P84" s="433"/>
      <c r="CW84" s="695" t="s">
        <v>1032</v>
      </c>
      <c r="CX84" s="732"/>
      <c r="CY84" s="732"/>
    </row>
    <row r="85" spans="1:103" s="431" customFormat="1" ht="30" hidden="1">
      <c r="A85" s="428"/>
      <c r="B85" s="429" t="s">
        <v>1165</v>
      </c>
      <c r="C85" s="799" t="s">
        <v>1089</v>
      </c>
      <c r="D85" s="430" t="str">
        <f>IF(ISNUMBER(SEARCH(D36,C85)),IFERROR(INDEX(specificMaccOneMetеrAG,1,1)*INDEX(numElectrodesAG,6,1)*INDEX(lengthElectrodeAG,1,1),""),"")</f>
        <v/>
      </c>
      <c r="E85" s="430" t="str">
        <f>IF(ISNUMBER(SEARCH(E36,C85)),IFERROR(INDEX(specificMaccOneMetеrAG,1,2)*INDEX(numElectrodesAG,6,2)*INDEX(lengthElectrodeAG,1,2),""),"")</f>
        <v/>
      </c>
      <c r="F85" s="430" t="str">
        <f>IF(ISNUMBER(SEARCH(F36,C85)),IFERROR(INDEX(specificMaccOneMetеrAG,1,3)*INDEX(numElectrodesAG,6,3)*INDEX(lengthElectrodeAG,1,3),""),"")</f>
        <v/>
      </c>
      <c r="G85" s="430" t="str">
        <f>IF(ISNUMBER(SEARCH(G36,C85)),IFERROR(INDEX(specificMaccOneMetеrAG,1,4)*INDEX(numElectrodesAG,6,4)*INDEX(lengthElectrodeAG,1,4),""),"")</f>
        <v/>
      </c>
      <c r="H85" s="430" t="str">
        <f>IF(ISNUMBER(SEARCH(H36,C85)),IFERROR(INDEX(specificMaccOneMetеrAG,1,5)*INDEX(numElectrodesAG,6,5)*INDEX(lengthElectrodeAG,1,5),""),"")</f>
        <v/>
      </c>
      <c r="I85" s="430" t="str">
        <f>IF(ISNUMBER(SEARCH(I36,C85)),IFERROR(INDEX(specificMaccOneMetеrAG,1,6)*INDEX(numElectrodesAG,6,6)*INDEX(lengthElectrodeAG,1,6),""),"")</f>
        <v/>
      </c>
      <c r="J85" s="430" t="str">
        <f>IF(ISNUMBER(SEARCH(J36,C85)),IFERROR(INDEX(specificMaccOneMetеrAG,1,7)*INDEX(numElectrodesAG,6,7)*INDEX(lengthElectrodeAG,1,7),""),"")</f>
        <v/>
      </c>
      <c r="K85" s="430" t="str">
        <f>IF(ISNUMBER(SEARCH(K36,C85)),IFERROR(INDEX(specificMaccOneMetеrAG,1,8)*INDEX(numElectrodesAG,6,8)*INDEX(lengthElectrodeAG,1,8),""),"")</f>
        <v/>
      </c>
      <c r="L85" s="430" t="str">
        <f>IF(ISNUMBER(SEARCH(L36,C85)),IFERROR(INDEX(specificMaccOneMetеrAG,1,9)*INDEX(numElectrodesAG,6,9)*INDEX(lengthElectrodeAG,1,9),""),"")</f>
        <v/>
      </c>
      <c r="M85" s="430" t="str">
        <f>IF(ISNUMBER(SEARCH(M36,C85)),IFERROR(INDEX(specificMaccOneMetеrAG,1,10)*INDEX(numElectrodesAG,6,10)*INDEX(lengthElectrodeAG,1,10),""),"")</f>
        <v/>
      </c>
      <c r="O85" s="432"/>
      <c r="P85" s="433"/>
      <c r="CW85" s="695" t="s">
        <v>1032</v>
      </c>
      <c r="CX85" s="732"/>
      <c r="CY85" s="732"/>
    </row>
    <row r="86" spans="1:103" s="431" customFormat="1" ht="31" hidden="1">
      <c r="A86" s="441"/>
      <c r="B86" s="429" t="s">
        <v>923</v>
      </c>
      <c r="C86" s="501" t="s">
        <v>1003</v>
      </c>
      <c r="D86" s="430" t="str">
        <f>IF(ISNUMBER(SEARCH(D36,C86)),IFERROR(INDEX(massOneElectrodeAG,1,1)*INDEX(numElectrodesAG,7,1),""),"")</f>
        <v/>
      </c>
      <c r="E86" s="430" t="str">
        <f>IF(ISNUMBER(SEARCH(E36,C86)),IFERROR(INDEX(massOneElectrodeAG,1,2)*INDEX(numElectrodesAG,7,2),""),"")</f>
        <v/>
      </c>
      <c r="F86" s="430" t="str">
        <f>IF(ISNUMBER(SEARCH(F36,C86)),IFERROR(INDEX(massOneElectrodeAG,1,3)*INDEX(numElectrodesAG,7,3),""),"")</f>
        <v/>
      </c>
      <c r="G86" s="430" t="str">
        <f>IF(ISNUMBER(SEARCH(G36,C86)),IFERROR(INDEX(massOneElectrodeAG,1,4)*INDEX(numElectrodesAG,7,4),""),"")</f>
        <v/>
      </c>
      <c r="H86" s="430" t="str">
        <f>IF(ISNUMBER(SEARCH(H36,C86)),IFERROR(INDEX(massOneElectrodeAG,1,5)*INDEX(numElectrodesAG,7,5),""),"")</f>
        <v/>
      </c>
      <c r="I86" s="430" t="str">
        <f>IF(ISNUMBER(SEARCH(I36,C86)),IFERROR(INDEX(massOneElectrodeAG,1,6)*INDEX(numElectrodesAG,7,6),""),"")</f>
        <v/>
      </c>
      <c r="J86" s="430" t="str">
        <f>IF(ISNUMBER(SEARCH(J36,C86)),IFERROR(INDEX(massOneElectrodeAG,1,7)*INDEX(numElectrodesAG,7,7),""),"")</f>
        <v/>
      </c>
      <c r="K86" s="430" t="str">
        <f>IF(ISNUMBER(SEARCH(K36,C86)),IFERROR(INDEX(massOneElectrodeAG,1,8)*INDEX(numElectrodesAG,7,8),""),"")</f>
        <v/>
      </c>
      <c r="L86" s="430" t="str">
        <f>IF(ISNUMBER(SEARCH(L36,C86)),IFERROR(INDEX(massOneElectrodeAG,1,9)*INDEX(numElectrodesAG,7,9),""),"")</f>
        <v/>
      </c>
      <c r="M86" s="430" t="str">
        <f>IF(ISNUMBER(SEARCH(M36,C86)),IFERROR(INDEX(massOneElectrodeAG,1,10)*INDEX(numElectrodesAG,7,10),""),"")</f>
        <v/>
      </c>
      <c r="O86" s="432"/>
      <c r="P86" s="433"/>
      <c r="CW86" s="695" t="s">
        <v>1032</v>
      </c>
      <c r="CX86" s="732"/>
      <c r="CY86" s="732"/>
    </row>
    <row r="87" spans="1:103" s="431" customFormat="1" ht="31" hidden="1">
      <c r="A87" s="441"/>
      <c r="B87" s="429" t="s">
        <v>923</v>
      </c>
      <c r="C87" s="501" t="s">
        <v>1004</v>
      </c>
      <c r="D87" s="430" t="str">
        <f>IF(ISNUMBER(SEARCH(D36,C87)),IFERROR(INDEX(massOneElectrodeAG,1,1)*INDEX(numElectrodesAG,8,1),""),"")</f>
        <v/>
      </c>
      <c r="E87" s="430" t="str">
        <f>IF(ISNUMBER(SEARCH(E36,C87)),IFERROR(INDEX(massOneElectrodeAG,1,2)*INDEX(numElectrodesAG,8,2),""),"")</f>
        <v/>
      </c>
      <c r="F87" s="430" t="str">
        <f>IF(ISNUMBER(SEARCH(F36,C87)),IFERROR(INDEX(massOneElectrodeAG,1,3)*INDEX(numElectrodesAG,8,3),""),"")</f>
        <v/>
      </c>
      <c r="G87" s="430" t="str">
        <f>IF(ISNUMBER(SEARCH(G36,C87)),IFERROR(INDEX(massOneElectrodeAG,1,4)*INDEX(numElectrodesAG,8,4),""),"")</f>
        <v/>
      </c>
      <c r="H87" s="430" t="str">
        <f>IF(ISNUMBER(SEARCH(H36,C87)),IFERROR(INDEX(massOneElectrodeAG,1,5)*INDEX(numElectrodesAG,8,5),""),"")</f>
        <v/>
      </c>
      <c r="I87" s="430" t="str">
        <f>IF(ISNUMBER(SEARCH(I36,C87)),IFERROR(INDEX(massOneElectrodeAG,1,6)*INDEX(numElectrodesAG,8,6),""),"")</f>
        <v/>
      </c>
      <c r="J87" s="430" t="str">
        <f>IF(ISNUMBER(SEARCH(J36,C87)),IFERROR(INDEX(massOneElectrodeAG,1,7)*INDEX(numElectrodesAG,8,7),""),"")</f>
        <v/>
      </c>
      <c r="K87" s="430" t="str">
        <f>IF(ISNUMBER(SEARCH(K36,C87)),IFERROR(INDEX(massOneElectrodeAG,1,8)*INDEX(numElectrodesAG,8,8),""),"")</f>
        <v/>
      </c>
      <c r="L87" s="430" t="str">
        <f>IF(ISNUMBER(SEARCH(L36,C87)),IFERROR(INDEX(massOneElectrodeAG,1,9)*INDEX(numElectrodesAG,8,9),""),"")</f>
        <v/>
      </c>
      <c r="M87" s="430" t="str">
        <f>IF(ISNUMBER(SEARCH(M36,C87)),IFERROR(INDEX(massOneElectrodeAG,1,10)*INDEX(numElectrodesAG,8,10),""),"")</f>
        <v/>
      </c>
      <c r="O87" s="432"/>
      <c r="P87" s="433"/>
      <c r="AL87" s="429"/>
      <c r="CW87" s="695" t="s">
        <v>1032</v>
      </c>
      <c r="CX87" s="732"/>
      <c r="CY87" s="732"/>
    </row>
    <row r="88" spans="1:103" s="431" customFormat="1" ht="31">
      <c r="A88" s="441"/>
      <c r="B88" s="429" t="s">
        <v>923</v>
      </c>
      <c r="C88" s="501" t="s">
        <v>1005</v>
      </c>
      <c r="D88" s="430">
        <f>IF(ISNUMBER(SEARCH(D36,C88)),IFERROR(INDEX(massOneElectrodeAG,1,1)*INDEX(numElectrodesAG,9,1),""),"")</f>
        <v>288</v>
      </c>
      <c r="E88" s="430" t="str">
        <f>IF(ISNUMBER(SEARCH(E36,C88)),IFERROR(INDEX(massOneElectrodeAG,1,2)*INDEX(numElectrodesAG,9,2),""),"")</f>
        <v/>
      </c>
      <c r="F88" s="430" t="str">
        <f>IF(ISNUMBER(SEARCH(F36,C88)),IFERROR(INDEX(massOneElectrodeAG,1,3)*INDEX(numElectrodesAG,9,3),""),"")</f>
        <v/>
      </c>
      <c r="G88" s="430" t="str">
        <f>IF(ISNUMBER(SEARCH(G36,C88)),IFERROR(INDEX(massOneElectrodeAG,1,4)*INDEX(numElectrodesAG,9,4),""),"")</f>
        <v/>
      </c>
      <c r="H88" s="430" t="str">
        <f>IF(ISNUMBER(SEARCH(H36,C88)),IFERROR(INDEX(massOneElectrodeAG,1,5)*INDEX(numElectrodesAG,9,5),""),"")</f>
        <v/>
      </c>
      <c r="I88" s="430" t="str">
        <f>IF(ISNUMBER(SEARCH(I36,C88)),IFERROR(INDEX(massOneElectrodeAG,1,6)*INDEX(numElectrodesAG,9,6),""),"")</f>
        <v/>
      </c>
      <c r="J88" s="430" t="str">
        <f>IF(ISNUMBER(SEARCH(J36,C88)),IFERROR(INDEX(massOneElectrodeAG,1,7)*INDEX(numElectrodesAG,9,7),""),"")</f>
        <v/>
      </c>
      <c r="K88" s="430" t="str">
        <f>IF(ISNUMBER(SEARCH(K36,C88)),IFERROR(INDEX(massOneElectrodeAG,1,8)*INDEX(numElectrodesAG,9,8),""),"")</f>
        <v/>
      </c>
      <c r="L88" s="430" t="str">
        <f>IF(ISNUMBER(SEARCH(L36,C88)),IFERROR(INDEX(massOneElectrodeAG,1,9)*INDEX(numElectrodesAG,9,9),""),"")</f>
        <v/>
      </c>
      <c r="M88" s="430" t="str">
        <f>IF(ISNUMBER(SEARCH(M36,C88)),IFERROR(INDEX(massOneElectrodeAG,1,10)*INDEX(numElectrodesAG,9,10),""),"")</f>
        <v/>
      </c>
      <c r="O88" s="432"/>
      <c r="P88" s="433"/>
      <c r="CW88" s="695" t="s">
        <v>1032</v>
      </c>
      <c r="CX88" s="732"/>
      <c r="CY88" s="732"/>
    </row>
    <row r="89" spans="1:103" s="431" customFormat="1" ht="21" hidden="1">
      <c r="A89" s="441"/>
      <c r="B89" s="429"/>
      <c r="C89" s="501"/>
      <c r="D89" s="430"/>
      <c r="E89" s="430"/>
      <c r="F89" s="430"/>
      <c r="G89" s="430"/>
      <c r="H89" s="430"/>
      <c r="I89" s="430"/>
      <c r="J89" s="430"/>
      <c r="K89" s="430"/>
      <c r="L89" s="430"/>
      <c r="M89" s="430"/>
      <c r="O89" s="432"/>
      <c r="P89" s="433"/>
      <c r="CW89" s="695" t="s">
        <v>1032</v>
      </c>
      <c r="CX89" s="732"/>
      <c r="CY89" s="732"/>
    </row>
    <row r="90" spans="1:103" s="431" customFormat="1" ht="30" hidden="1">
      <c r="A90" s="428" t="s">
        <v>495</v>
      </c>
      <c r="B90" s="429" t="s">
        <v>921</v>
      </c>
      <c r="C90" s="800" t="s">
        <v>991</v>
      </c>
      <c r="D90" s="801" t="str">
        <f>IF(ISNUMBER(SEARCH(D36,C90)),IFERROR(ROUNDDOWN((INDEX(weightWithoutFillingAG,1,1)*INDEX(factorUseMassAG,1,1)/(INDEX(dissolutionRateAG,1,1)*INDEX(avgProtectionCurrentCPOverLife,1,1))),0),""),"")</f>
        <v/>
      </c>
      <c r="E90" s="801" t="str">
        <f>IF(ISNUMBER(SEARCH(E36,C90)),IFERROR(ROUNDDOWN((INDEX(weightWithoutFillingAG,1,2)*INDEX(factorUseMassAG,1,2)/(INDEX(dissolutionRateAG,1,2)*INDEX(avgProtectionCurrentCPOverLife,1,2))),0),""),"")</f>
        <v/>
      </c>
      <c r="F90" s="801" t="str">
        <f>IF(ISNUMBER(SEARCH(F36,C90)),IFERROR(ROUNDDOWN((INDEX(weightWithoutFillingAG,1,3)*INDEX(factorUseMassAG,1,3)/(INDEX(dissolutionRateAG,1,3)*INDEX(avgProtectionCurrentCPOverLife,1,3))),0),""),"")</f>
        <v/>
      </c>
      <c r="G90" s="801" t="str">
        <f>IF(ISNUMBER(SEARCH(G36,C90)),IFERROR(ROUNDDOWN((INDEX(weightWithoutFillingAG,1,4)*INDEX(factorUseMassAG,1,4)/(INDEX(dissolutionRateAG,1,4)*INDEX(avgProtectionCurrentCPOverLife,1,4))),0),""),"")</f>
        <v/>
      </c>
      <c r="H90" s="801" t="str">
        <f>IF(ISNUMBER(SEARCH(H36,C90)),IFERROR(ROUNDDOWN((INDEX(weightWithoutFillingAG,1,5)*INDEX(factorUseMassAG,1,5)/(INDEX(dissolutionRateAG,1,5)*INDEX(avgProtectionCurrentCPOverLife,1,5))),0),""),"")</f>
        <v/>
      </c>
      <c r="I90" s="801" t="str">
        <f>IF(ISNUMBER(SEARCH(I36,C90)),IFERROR(ROUNDDOWN((INDEX(weightWithoutFillingAG,1,6)*INDEX(factorUseMassAG,1,6)/(INDEX(dissolutionRateAG,1,6)*INDEX(avgProtectionCurrentCPOverLife,1,6))),0),""),"")</f>
        <v/>
      </c>
      <c r="J90" s="801" t="str">
        <f>IF(ISNUMBER(SEARCH(J36,C90)),IFERROR(ROUNDDOWN((INDEX(weightWithoutFillingAG,1,7)*INDEX(factorUseMassAG,1,7)/(INDEX(dissolutionRateAG,1,7)*INDEX(avgProtectionCurrentCPOverLife,1,7))),0),""),"")</f>
        <v/>
      </c>
      <c r="K90" s="801" t="str">
        <f>IF(ISNUMBER(SEARCH(K36,C90)),IFERROR(ROUNDDOWN((INDEX(weightWithoutFillingAG,1,8)*INDEX(factorUseMassAG,1,8)/(INDEX(dissolutionRateAG,1,8)*INDEX(avgProtectionCurrentCPOverLife,1,8))),0),""),"")</f>
        <v/>
      </c>
      <c r="L90" s="801" t="str">
        <f>IF(ISNUMBER(SEARCH(L36,C90)),IFERROR(ROUNDDOWN((INDEX(weightWithoutFillingAG,1,9)*INDEX(factorUseMassAG,1,9)/(INDEX(dissolutionRateAG,1,9)*INDEX(avgProtectionCurrentCPOverLife,1,9))),0),""),"")</f>
        <v/>
      </c>
      <c r="M90" s="801" t="str">
        <f>IF(ISNUMBER(SEARCH(M36,C90)),IFERROR(ROUNDDOWN((INDEX(weightWithoutFillingAG,1,10)*INDEX(factorUseMassAG,1,10)/(INDEX(dissolutionRateAG,1,10)*INDEX(avgProtectionCurrentCPOverLife,1,10))),0),""),"")</f>
        <v/>
      </c>
      <c r="O90" s="432"/>
      <c r="P90" s="433"/>
      <c r="CW90" s="695" t="s">
        <v>1032</v>
      </c>
      <c r="CX90" s="732"/>
      <c r="CY90" s="732"/>
    </row>
    <row r="91" spans="1:103" s="431" customFormat="1" ht="30" hidden="1">
      <c r="A91" s="428"/>
      <c r="B91" s="429" t="s">
        <v>921</v>
      </c>
      <c r="C91" s="800" t="s">
        <v>1006</v>
      </c>
      <c r="D91" s="801" t="str">
        <f>IF(ISNUMBER(SEARCH(D36,C91)),IFERROR(ROUNDDOWN((INDEX(weightWithoutFillingAG,2,1)*INDEX(factorUseMassAG,1,1)/(INDEX(dissolutionRateAG,1,1)*INDEX(avgProtectionCurrentCPOverLife,1,1))),0),""),"")</f>
        <v/>
      </c>
      <c r="E91" s="801" t="str">
        <f>IF(ISNUMBER(SEARCH(E36,C91)),IFERROR(ROUNDDOWN((INDEX(weightWithoutFillingAG,2,2)*INDEX(factorUseMassAG,1,2)/(INDEX(dissolutionRateAG,1,2)*INDEX(avgProtectionCurrentCPOverLife,1,2))),0),""),"")</f>
        <v/>
      </c>
      <c r="F91" s="801" t="str">
        <f>IF(ISNUMBER(SEARCH(F36,C91)),IFERROR(ROUNDDOWN((INDEX(weightWithoutFillingAG,2,3)*INDEX(factorUseMassAG,1,3)/(INDEX(dissolutionRateAG,1,3)*INDEX(avgProtectionCurrentCPOverLife,1,3))),0),""),"")</f>
        <v/>
      </c>
      <c r="G91" s="801" t="str">
        <f>IF(ISNUMBER(SEARCH(G36,C91)),IFERROR(ROUNDDOWN((INDEX(weightWithoutFillingAG,2,4)*INDEX(factorUseMassAG,1,4)/(INDEX(dissolutionRateAG,1,4)*INDEX(avgProtectionCurrentCPOverLife,1,4))),0),""),"")</f>
        <v/>
      </c>
      <c r="H91" s="801" t="str">
        <f>IF(ISNUMBER(SEARCH(H36,C91)),IFERROR(ROUNDDOWN((INDEX(weightWithoutFillingAG,2,5)*INDEX(factorUseMassAG,1,5)/(INDEX(dissolutionRateAG,1,5)*INDEX(avgProtectionCurrentCPOverLife,1,5))),0),""),"")</f>
        <v/>
      </c>
      <c r="I91" s="801" t="str">
        <f>IF(ISNUMBER(SEARCH(I36,C91)),IFERROR(ROUNDDOWN((INDEX(weightWithoutFillingAG,2,6)*INDEX(factorUseMassAG,1,6)/(INDEX(dissolutionRateAG,1,6)*INDEX(avgProtectionCurrentCPOverLife,1,6))),0),""),"")</f>
        <v/>
      </c>
      <c r="J91" s="801" t="str">
        <f>IF(ISNUMBER(SEARCH(J36,C91)),IFERROR(ROUNDDOWN((INDEX(weightWithoutFillingAG,2,7)*INDEX(factorUseMassAG,1,7)/(INDEX(dissolutionRateAG,1,7)*INDEX(avgProtectionCurrentCPOverLife,1,7))),0),""),"")</f>
        <v/>
      </c>
      <c r="K91" s="801" t="str">
        <f>IF(ISNUMBER(SEARCH(K36,C91)),IFERROR(ROUNDDOWN((INDEX(weightWithoutFillingAG,2,8)*INDEX(factorUseMassAG,1,8)/(INDEX(dissolutionRateAG,1,8)*INDEX(avgProtectionCurrentCPOverLife,1,8))),0),""),"")</f>
        <v/>
      </c>
      <c r="L91" s="801" t="str">
        <f>IF(ISNUMBER(SEARCH(L36,C91)),IFERROR(ROUNDDOWN((INDEX(weightWithoutFillingAG,2,9)*INDEX(factorUseMassAG,1,9)/(INDEX(dissolutionRateAG,1,9)*INDEX(avgProtectionCurrentCPOverLife,1,9))),0),""),"")</f>
        <v/>
      </c>
      <c r="M91" s="801" t="str">
        <f>IF(ISNUMBER(SEARCH(M36,C91)),IFERROR(ROUNDDOWN((INDEX(weightWithoutFillingAG,2,10)*INDEX(factorUseMassAG,1,10)/(INDEX(dissolutionRateAG,1,10)*INDEX(avgProtectionCurrentCPOverLife,1,10))),0),""),"")</f>
        <v/>
      </c>
      <c r="O91" s="432"/>
      <c r="P91" s="433"/>
      <c r="CW91" s="695" t="s">
        <v>1032</v>
      </c>
      <c r="CX91" s="732"/>
      <c r="CY91" s="732"/>
    </row>
    <row r="92" spans="1:103" s="431" customFormat="1" ht="30" hidden="1">
      <c r="A92" s="428"/>
      <c r="B92" s="429" t="s">
        <v>921</v>
      </c>
      <c r="C92" s="800" t="s">
        <v>1007</v>
      </c>
      <c r="D92" s="801" t="str">
        <f>IF(ISNUMBER(SEARCH(D36,C92)),IFERROR(ROUNDDOWN((INDEX(weightWithoutFillingAG,3,1)*INDEX(factorUseMassAG,1,1)/(INDEX(dissolutionRateAG,1,1)*INDEX(avgProtectionCurrentCPOverLife,1,1))),0),""),"")</f>
        <v/>
      </c>
      <c r="E92" s="801" t="str">
        <f>IF(ISNUMBER(SEARCH(E36,C92)),IFERROR(ROUNDDOWN((INDEX(weightWithoutFillingAG,3,2)*INDEX(factorUseMassAG,1,2)/(INDEX(dissolutionRateAG,1,2)*INDEX(avgProtectionCurrentCPOverLife,1,2))),0),""),"")</f>
        <v/>
      </c>
      <c r="F92" s="801" t="str">
        <f>IF(ISNUMBER(SEARCH(F36,C92)),IFERROR(ROUNDDOWN((INDEX(weightWithoutFillingAG,3,3)*INDEX(factorUseMassAG,1,3)/(INDEX(dissolutionRateAG,1,3)*INDEX(avgProtectionCurrentCPOverLife,1,3))),0),""),"")</f>
        <v/>
      </c>
      <c r="G92" s="801" t="str">
        <f>IF(ISNUMBER(SEARCH(G36,C92)),IFERROR(ROUNDDOWN((INDEX(weightWithoutFillingAG,3,4)*INDEX(factorUseMassAG,1,4)/(INDEX(dissolutionRateAG,1,4)*INDEX(avgProtectionCurrentCPOverLife,1,4))),0),""),"")</f>
        <v/>
      </c>
      <c r="H92" s="801" t="str">
        <f>IF(ISNUMBER(SEARCH(H36,C92)),IFERROR(ROUNDDOWN((INDEX(weightWithoutFillingAG,3,5)*INDEX(factorUseMassAG,1,5)/(INDEX(dissolutionRateAG,1,5)*INDEX(avgProtectionCurrentCPOverLife,1,5))),0),""),"")</f>
        <v/>
      </c>
      <c r="I92" s="801" t="str">
        <f>IF(ISNUMBER(SEARCH(I36,C92)),IFERROR(ROUNDDOWN((INDEX(weightWithoutFillingAG,3,6)*INDEX(factorUseMassAG,1,6)/(INDEX(dissolutionRateAG,1,6)*INDEX(avgProtectionCurrentCPOverLife,1,6))),0),""),"")</f>
        <v/>
      </c>
      <c r="J92" s="801" t="str">
        <f>IF(ISNUMBER(SEARCH(J36,C92)),IFERROR(ROUNDDOWN((INDEX(weightWithoutFillingAG,3,7)*INDEX(factorUseMassAG,1,7)/(INDEX(dissolutionRateAG,1,7)*INDEX(avgProtectionCurrentCPOverLife,1,7))),0),""),"")</f>
        <v/>
      </c>
      <c r="K92" s="801" t="str">
        <f>IF(ISNUMBER(SEARCH(K36,C92)),IFERROR(ROUNDDOWN((INDEX(weightWithoutFillingAG,3,8)*INDEX(factorUseMassAG,1,8)/(INDEX(dissolutionRateAG,1,8)*INDEX(avgProtectionCurrentCPOverLife,1,8))),0),""),"")</f>
        <v/>
      </c>
      <c r="L92" s="801" t="str">
        <f>IF(ISNUMBER(SEARCH(L36,C92)),IFERROR(ROUNDDOWN((INDEX(weightWithoutFillingAG,3,9)*INDEX(factorUseMassAG,1,9)/(INDEX(dissolutionRateAG,1,9)*INDEX(avgProtectionCurrentCPOverLife,1,9))),0),""),"")</f>
        <v/>
      </c>
      <c r="M92" s="801" t="str">
        <f>IF(ISNUMBER(SEARCH(M36,C92)),IFERROR(ROUNDDOWN((INDEX(weightWithoutFillingAG,3,10)*INDEX(factorUseMassAG,1,10)/(INDEX(dissolutionRateAG,1,10)*INDEX(avgProtectionCurrentCPOverLife,1,10))),0),""),"")</f>
        <v/>
      </c>
      <c r="O92" s="432"/>
      <c r="P92" s="433"/>
      <c r="CW92" s="695" t="s">
        <v>1032</v>
      </c>
      <c r="CX92" s="732"/>
      <c r="CY92" s="732"/>
    </row>
    <row r="93" spans="1:103" s="431" customFormat="1" ht="30" hidden="1">
      <c r="A93" s="428"/>
      <c r="B93" s="429" t="s">
        <v>921</v>
      </c>
      <c r="C93" s="800" t="s">
        <v>1008</v>
      </c>
      <c r="D93" s="801" t="str">
        <f>IF(ISNUMBER(SEARCH(D36,C93)),IFERROR(ROUNDDOWN((INDEX(weightWithoutFillingAG,4,1)*INDEX(factorUseMassAG,1,1)/(INDEX(dissolutionRateAG,1,1)*INDEX(avgProtectionCurrentCPOverLife,1,1))),0),""),"")</f>
        <v/>
      </c>
      <c r="E93" s="801" t="str">
        <f>IF(ISNUMBER(SEARCH(E36,C93)),IFERROR(ROUNDDOWN((INDEX(weightWithoutFillingAG,4,2)*INDEX(factorUseMassAG,1,2)/(INDEX(dissolutionRateAG,1,2)*INDEX(avgProtectionCurrentCPOverLife,1,2))),0),""),"")</f>
        <v/>
      </c>
      <c r="F93" s="801" t="str">
        <f>IF(ISNUMBER(SEARCH(F36,C93)),IFERROR(ROUNDDOWN((INDEX(weightWithoutFillingAG,4,3)*INDEX(factorUseMassAG,1,3)/(INDEX(dissolutionRateAG,1,3)*INDEX(avgProtectionCurrentCPOverLife,1,3))),0),""),"")</f>
        <v/>
      </c>
      <c r="G93" s="801" t="str">
        <f>IF(ISNUMBER(SEARCH(G36,C93)),IFERROR(ROUNDDOWN((INDEX(weightWithoutFillingAG,4,4)*INDEX(factorUseMassAG,1,4)/(INDEX(dissolutionRateAG,1,4)*INDEX(avgProtectionCurrentCPOverLife,1,4))),0),""),"")</f>
        <v/>
      </c>
      <c r="H93" s="801" t="str">
        <f>IF(ISNUMBER(SEARCH(H36,C93)),IFERROR(ROUNDDOWN((INDEX(weightWithoutFillingAG,4,5)*INDEX(factorUseMassAG,1,5)/(INDEX(dissolutionRateAG,1,5)*INDEX(avgProtectionCurrentCPOverLife,1,5))),0),""),"")</f>
        <v/>
      </c>
      <c r="I93" s="801" t="str">
        <f>IF(ISNUMBER(SEARCH(I36,C93)),IFERROR(ROUNDDOWN((INDEX(weightWithoutFillingAG,4,6)*INDEX(factorUseMassAG,1,6)/(INDEX(dissolutionRateAG,1,6)*INDEX(avgProtectionCurrentCPOverLife,1,6))),0),""),"")</f>
        <v/>
      </c>
      <c r="J93" s="801" t="str">
        <f>IF(ISNUMBER(SEARCH(J36,C93)),IFERROR(ROUNDDOWN((INDEX(weightWithoutFillingAG,4,7)*INDEX(factorUseMassAG,1,7)/(INDEX(dissolutionRateAG,1,7)*INDEX(avgProtectionCurrentCPOverLife,1,7))),0),""),"")</f>
        <v/>
      </c>
      <c r="K93" s="801" t="str">
        <f>IF(ISNUMBER(SEARCH(K36,C93)),IFERROR(ROUNDDOWN((INDEX(weightWithoutFillingAG,4,8)*INDEX(factorUseMassAG,1,8)/(INDEX(dissolutionRateAG,1,8)*INDEX(avgProtectionCurrentCPOverLife,1,8))),0),""),"")</f>
        <v/>
      </c>
      <c r="L93" s="801" t="str">
        <f>IF(ISNUMBER(SEARCH(L36,C93)),IFERROR(ROUNDDOWN((INDEX(weightWithoutFillingAG,4,9)*INDEX(factorUseMassAG,1,9)/(INDEX(dissolutionRateAG,1,9)*INDEX(avgProtectionCurrentCPOverLife,1,9))),0),""),"")</f>
        <v/>
      </c>
      <c r="M93" s="801" t="str">
        <f>IF(ISNUMBER(SEARCH(M36,C93)),IFERROR(ROUNDDOWN((INDEX(weightWithoutFillingAG,4,10)*INDEX(factorUseMassAG,1,10)/(INDEX(dissolutionRateAG,1,10)*INDEX(avgProtectionCurrentCPOverLife,1,10))),0),""),"")</f>
        <v/>
      </c>
      <c r="O93" s="432"/>
      <c r="P93" s="433"/>
      <c r="CW93" s="695" t="s">
        <v>1032</v>
      </c>
      <c r="CX93" s="732"/>
      <c r="CY93" s="732"/>
    </row>
    <row r="94" spans="1:103" s="431" customFormat="1" ht="30" hidden="1">
      <c r="A94" s="428"/>
      <c r="B94" s="429" t="s">
        <v>921</v>
      </c>
      <c r="C94" s="504" t="s">
        <v>992</v>
      </c>
      <c r="D94" s="434" t="str">
        <f>IF(ISNUMBER(SEARCH(D36,C94)),IFERROR(ROUNDDOWN((INDEX(weightWithoutFillingAG,5,1)*INDEX(factorUseMassAG,1,1)/(INDEX(dissolutionRateAG,1,1)*INDEX(avgProtectionCurrentCPOverLife,1,1)*INDEX(factorSoilHeterogeneity,1,1))),0),""),"")</f>
        <v/>
      </c>
      <c r="E94" s="434" t="str">
        <f>IF(ISNUMBER(SEARCH(E36,C94)),IFERROR(ROUNDDOWN((INDEX(weightWithoutFillingAG,5,2)*INDEX(factorUseMassAG,1,2)/(INDEX(dissolutionRateAG,1,2)*INDEX(avgProtectionCurrentCPOverLife,1,2)*INDEX(factorSoilHeterogeneity,1,2))),0),""),"")</f>
        <v/>
      </c>
      <c r="F94" s="434" t="str">
        <f>IF(ISNUMBER(SEARCH(F36,C94)),IFERROR(ROUNDDOWN((INDEX(weightWithoutFillingAG,5,3)*INDEX(factorUseMassAG,1,3)/(INDEX(dissolutionRateAG,1,3)*INDEX(avgProtectionCurrentCPOverLife,1,3)*INDEX(factorSoilHeterogeneity,1,3))),0),""),"")</f>
        <v/>
      </c>
      <c r="G94" s="434" t="str">
        <f>IF(ISNUMBER(SEARCH(G36,C94)),IFERROR(ROUNDDOWN((INDEX(weightWithoutFillingAG,5,4)*INDEX(factorUseMassAG,1,4)/(INDEX(dissolutionRateAG,1,4)*INDEX(avgProtectionCurrentCPOverLife,1,4)*INDEX(factorSoilHeterogeneity,1,4))),0),""),"")</f>
        <v/>
      </c>
      <c r="H94" s="434" t="str">
        <f>IF(ISNUMBER(SEARCH(H36,C94)),IFERROR(ROUNDDOWN((INDEX(weightWithoutFillingAG,5,5)*INDEX(factorUseMassAG,1,5)/(INDEX(dissolutionRateAG,1,5)*INDEX(avgProtectionCurrentCPOverLife,1,5)*INDEX(factorSoilHeterogeneity,1,5))),0),""),"")</f>
        <v/>
      </c>
      <c r="I94" s="434" t="str">
        <f>IF(ISNUMBER(SEARCH(I36,C94)),IFERROR(ROUNDDOWN((INDEX(weightWithoutFillingAG,5,6)*INDEX(factorUseMassAG,1,6)/(INDEX(dissolutionRateAG,1,6)*INDEX(avgProtectionCurrentCPOverLife,1,6)*INDEX(factorSoilHeterogeneity,1,6))),0),""),"")</f>
        <v/>
      </c>
      <c r="J94" s="434" t="str">
        <f>IF(ISNUMBER(SEARCH(J36,C94)),IFERROR(ROUNDDOWN((INDEX(weightWithoutFillingAG,5,7)*INDEX(factorUseMassAG,1,7)/(INDEX(dissolutionRateAG,1,7)*INDEX(avgProtectionCurrentCPOverLife,1,7)*INDEX(factorSoilHeterogeneity,1,7))),0),""),"")</f>
        <v/>
      </c>
      <c r="K94" s="434" t="str">
        <f>IF(ISNUMBER(SEARCH(K36,C94)),IFERROR((INDEX(weightWithoutFillingAG,5,8)*INDEX(factorUseMassAG,1,8)/(INDEX(dissolutionRateAG,1,8)*INDEX(avgProtectionCurrentCPOverLife,1,8)*INDEX(factorSoilHeterogeneity,1,8))),""),"")</f>
        <v/>
      </c>
      <c r="L94" s="434" t="str">
        <f>IF(ISNUMBER(SEARCH(L36,C94)),IFERROR(ROUNDDOWN((INDEX(weightWithoutFillingAG,5,9)*INDEX(factorUseMassAG,1,9)/(INDEX(dissolutionRateAG,1,9)*INDEX(avgProtectionCurrentCPOverLife,1,9)*INDEX(factorSoilHeterogeneity,1,9))),0),""),"")</f>
        <v/>
      </c>
      <c r="M94" s="434" t="str">
        <f>IF(ISNUMBER(SEARCH(M36,C94)),IFERROR(ROUNDDOWN((INDEX(weightWithoutFillingAG,5,10)*INDEX(factorUseMassAG,1,10)/((INDEX(dissolutionRateAG,1,10)*INDEX(avgProtectionCurrentCPOverLife,1,10)*INDEX(factorSoilHeterogeneity,1,10)))),0),""),"")</f>
        <v/>
      </c>
      <c r="O94" s="432"/>
      <c r="P94" s="433"/>
      <c r="CW94" s="695" t="s">
        <v>1032</v>
      </c>
      <c r="CX94" s="732"/>
      <c r="CY94" s="732"/>
    </row>
    <row r="95" spans="1:103" s="431" customFormat="1" ht="30" hidden="1">
      <c r="A95" s="428"/>
      <c r="B95" s="429" t="s">
        <v>921</v>
      </c>
      <c r="C95" s="504" t="s">
        <v>993</v>
      </c>
      <c r="D95" s="434" t="str">
        <f>IF(ISNUMBER(SEARCH(D36,C95)),IFERROR(ROUNDDOWN((INDEX(weightWithoutFillingAG,6,1)*INDEX(factorUseMassAG,1,1)/(INDEX(dissolutionRateAG,1,1)*INDEX(avgProtectionCurrentCPOverLife,1,1)*INDEX(factorSoilHeterogeneity,1,1))),0),""),"")</f>
        <v/>
      </c>
      <c r="E95" s="434" t="str">
        <f>IF(ISNUMBER(SEARCH(E36,C95)),IFERROR(ROUNDDOWN((INDEX(weightWithoutFillingAG,6,2)*INDEX(factorUseMassAG,1,2)/(INDEX(dissolutionRateAG,1,2)*INDEX(avgProtectionCurrentCPOverLife,1,2)*INDEX(factorSoilHeterogeneity,1,2))),0),""),"")</f>
        <v/>
      </c>
      <c r="F95" s="434" t="str">
        <f>IF(ISNUMBER(SEARCH(F36,C95)),IFERROR(ROUNDDOWN((INDEX(weightWithoutFillingAG,6,3)*INDEX(factorUseMassAG,1,3)/(INDEX(dissolutionRateAG,1,3)*INDEX(avgProtectionCurrentCPOverLife,1,3)*INDEX(factorSoilHeterogeneity,1,3))),0),""),"")</f>
        <v/>
      </c>
      <c r="G95" s="434" t="str">
        <f>IF(ISNUMBER(SEARCH(G36,C95)),IFERROR(ROUNDDOWN((INDEX(weightWithoutFillingAG,6,4)*INDEX(factorUseMassAG,1,4)/(INDEX(dissolutionRateAG,1,4)*INDEX(avgProtectionCurrentCPOverLife,1,4)*INDEX(factorSoilHeterogeneity,1,4))),0),""),"")</f>
        <v/>
      </c>
      <c r="H95" s="434" t="str">
        <f>IF(ISNUMBER(SEARCH(H36,C95)),IFERROR(ROUNDDOWN((INDEX(weightWithoutFillingAG,6,5)*INDEX(factorUseMassAG,1,5)/(INDEX(dissolutionRateAG,1,5)*INDEX(avgProtectionCurrentCPOverLife,1,5)*INDEX(factorSoilHeterogeneity,1,5))),0),""),"")</f>
        <v/>
      </c>
      <c r="I95" s="434" t="str">
        <f>IF(ISNUMBER(SEARCH(I36,C95)),IFERROR(ROUNDDOWN((INDEX(weightWithoutFillingAG,6,6)*INDEX(factorUseMassAG,1,6)/(INDEX(dissolutionRateAG,1,6)*INDEX(avgProtectionCurrentCPOverLife,1,6)*INDEX(factorSoilHeterogeneity,1,6))),0),""),"")</f>
        <v/>
      </c>
      <c r="J95" s="434" t="str">
        <f>IF(ISNUMBER(SEARCH(J36,C95)),IFERROR(ROUNDDOWN((INDEX(weightWithoutFillingAG,6,7)*INDEX(factorUseMassAG,1,7)/(INDEX(dissolutionRateAG,1,7)*INDEX(avgProtectionCurrentCPOverLife,1,7)*INDEX(factorSoilHeterogeneity,1,7))),0),""),"")</f>
        <v/>
      </c>
      <c r="K95" s="434" t="str">
        <f>IF(ISNUMBER(SEARCH(K36,C95)),IFERROR(ROUNDDOWN((INDEX(weightWithoutFillingAG,6,8)*INDEX(factorUseMassAG,1,8)/(INDEX(dissolutionRateAG,1,8)*INDEX(avgProtectionCurrentCPOverLife,1,8)*INDEX(factorSoilHeterogeneity,1,8))),0),""),"")</f>
        <v/>
      </c>
      <c r="L95" s="434" t="str">
        <f>IF(ISNUMBER(SEARCH(L36,C95)),IFERROR(ROUNDDOWN((INDEX(weightWithoutFillingAG,6,9)*INDEX(factorUseMassAG,1,9)/(INDEX(dissolutionRateAG,1,9)*INDEX(avgProtectionCurrentCPOverLife,1,9)*INDEX(factorSoilHeterogeneity,1,9))),0),""),"")</f>
        <v/>
      </c>
      <c r="M95" s="434" t="str">
        <f>IF(ISNUMBER(SEARCH(M36,C95)),IFERROR(ROUNDDOWN((INDEX(weightWithoutFillingAG,6,10)*INDEX(factorUseMassAG,1,10)/INDEX(dissolutionRateAG,1,10)*INDEX(avgProtectionCurrentCPOverLife,1,10)*INDEX(factorSoilHeterogeneity,1,10)),0),""),"")</f>
        <v/>
      </c>
      <c r="O95" s="432"/>
      <c r="P95" s="433"/>
      <c r="CW95" s="695" t="s">
        <v>1032</v>
      </c>
      <c r="CX95" s="734"/>
      <c r="CY95" s="732"/>
    </row>
    <row r="96" spans="1:103" s="431" customFormat="1" ht="30" hidden="1">
      <c r="A96" s="428"/>
      <c r="B96" s="429" t="s">
        <v>922</v>
      </c>
      <c r="C96" s="504" t="s">
        <v>1009</v>
      </c>
      <c r="D96" s="434" t="str">
        <f>IF(ISNUMBER(SEARCH(D36,C96)),IFERROR(ROUNDDOWN((INDEX(weightWithoutFillingAG,7,1)*INDEX(factorUseMassAG,1,1)/(INDEX(dissolutionRateAG,1,1)*INDEX(avgProtectionCurrentCPOverLife,1,1)*INDEX(factorSoilHeterogeneity,1,1))),0),""),"")</f>
        <v/>
      </c>
      <c r="E96" s="434" t="str">
        <f>IF(ISNUMBER(SEARCH(E36,C96)),IFERROR(ROUNDDOWN((INDEX(weightWithoutFillingAG,7,2)*INDEX(factorUseMassAG,1,2)/(INDEX(dissolutionRateAG,1,2)*INDEX(avgProtectionCurrentCPOverLife,1,2)*INDEX(factorSoilHeterogeneity,1,2))),0),""),"")</f>
        <v/>
      </c>
      <c r="F96" s="434" t="str">
        <f>IF(ISNUMBER(SEARCH(F36,C96)),IFERROR((INDEX(weightWithoutFillingAG,7,3)*INDEX(factorUseMassAG,1,3)/(INDEX(dissolutionRateAG,1,3)*INDEX(avgProtectionCurrentCPOverLife,1,3)*INDEX(factorSoilHeterogeneity,1,3))),""),"")</f>
        <v/>
      </c>
      <c r="G96" s="434" t="str">
        <f>IF(ISNUMBER(SEARCH(G36,C96)),IFERROR(ROUNDDOWN((INDEX(weightWithoutFillingAG,7,4)*INDEX(factorUseMassAG,1,4)/(INDEX(dissolutionRateAG,1,4)*INDEX(avgProtectionCurrentCPOverLife,1,4)*INDEX(factorSoilHeterogeneity,1,4))),0),""),"")</f>
        <v/>
      </c>
      <c r="H96" s="434" t="str">
        <f>IF(ISNUMBER(SEARCH(H36,C96)),IFERROR(ROUNDDOWN((INDEX(weightWithoutFillingAG,7,5)*INDEX(factorUseMassAG,1,5)/(INDEX(dissolutionRateAG,1,5)*INDEX(avgProtectionCurrentCPOverLife,1,5)*INDEX(factorSoilHeterogeneity,1,5))),0),""),"")</f>
        <v/>
      </c>
      <c r="I96" s="434" t="str">
        <f>IF(ISNUMBER(SEARCH(I36,C96)),IFERROR(ROUNDDOWN((INDEX(weightWithoutFillingAG,7,6)*INDEX(factorUseMassAG,1,6)/(INDEX(dissolutionRateAG,1,6)*INDEX(avgProtectionCurrentCPOverLife,1,6)*INDEX(factorSoilHeterogeneity,1,6))),0),""),"")</f>
        <v/>
      </c>
      <c r="J96" s="434" t="str">
        <f>IF(ISNUMBER(SEARCH(J36,C96)),IFERROR(ROUNDDOWN((INDEX(weightWithoutFillingAG,7,7)*INDEX(factorUseMassAG,1,7)/(INDEX(dissolutionRateAG,1,7)*INDEX(avgProtectionCurrentCPOverLife,1,7)*INDEX(factorSoilHeterogeneity,1,7))),0),""),"")</f>
        <v/>
      </c>
      <c r="K96" s="434" t="str">
        <f>IF(ISNUMBER(SEARCH(K36,C96)),IFERROR(ROUNDDOWN((INDEX(weightWithoutFillingAG,7,8)*INDEX(factorUseMassAG,1,8)/(INDEX(dissolutionRateAG,1,8)*INDEX(avgProtectionCurrentCPOverLife,1,8)*INDEX(factorSoilHeterogeneity,1,8))),0),""),"")</f>
        <v/>
      </c>
      <c r="L96" s="434" t="str">
        <f>IF(ISNUMBER(SEARCH(L36,C96)),IFERROR(ROUNDDOWN((INDEX(weightWithoutFillingAG,7,9)*INDEX(factorUseMassAG,1,9)/(INDEX(dissolutionRateAG,1,9)*INDEX(avgProtectionCurrentCPOverLife,1,9)*INDEX(factorSoilHeterogeneity,1,9))),0),""),"")</f>
        <v/>
      </c>
      <c r="M96" s="434" t="str">
        <f>IF(ISNUMBER(SEARCH(M36,C96)),IFERROR(ROUNDDOWN((INDEX(weightWithoutFillingAG,7,10)*INDEX(factorUseMassAG,1,10)/(INDEX(dissolutionRateAG,1,10)*INDEX(avgProtectionCurrentCPOverLife,1,10)*INDEX(factorSoilHeterogeneity,1,10))),0),""),"")</f>
        <v/>
      </c>
      <c r="O96" s="432"/>
      <c r="P96" s="433"/>
      <c r="CW96" s="695" t="s">
        <v>1032</v>
      </c>
      <c r="CX96" s="732"/>
      <c r="CY96" s="732"/>
    </row>
    <row r="97" spans="1:103" s="431" customFormat="1" ht="30" hidden="1">
      <c r="A97" s="428"/>
      <c r="B97" s="429" t="s">
        <v>922</v>
      </c>
      <c r="C97" s="504" t="s">
        <v>1010</v>
      </c>
      <c r="D97" s="434" t="str">
        <f>IF(ISNUMBER(SEARCH(D36,C97)),IFERROR(ROUNDDOWN((INDEX(weightWithoutFillingAG,8,1)*INDEX(factorUseMassAG,1,1)/(INDEX(dissolutionRateAG,1,1)*INDEX(avgProtectionCurrentCPOverLife,1,1)*INDEX(factorSoilHeterogeneity,1,1))),0),""),"")</f>
        <v/>
      </c>
      <c r="E97" s="434" t="str">
        <f>IF(ISNUMBER(SEARCH(E36,C97)),IFERROR(ROUNDDOWN((INDEX(weightWithoutFillingAG,8,2)*INDEX(factorUseMassAG,1,2)/(INDEX(dissolutionRateAG,1,2)*INDEX(avgProtectionCurrentCPOverLife,1,2)*INDEX(factorSoilHeterogeneity,1,2))),0),""),"")</f>
        <v/>
      </c>
      <c r="F97" s="434" t="str">
        <f>IF(ISNUMBER(SEARCH(F36,C97)),IFERROR(ROUNDDOWN((INDEX(weightWithoutFillingAG,8,3)*INDEX(factorUseMassAG,1,3)/(INDEX(dissolutionRateAG,1,3)*INDEX(avgProtectionCurrentCPOverLife,1,3)*INDEX(factorSoilHeterogeneity,1,3))),0),""),"")</f>
        <v/>
      </c>
      <c r="G97" s="434" t="str">
        <f>IF(ISNUMBER(SEARCH(G36,C97)),IFERROR(ROUNDDOWN((INDEX(weightWithoutFillingAG,8,4)*INDEX(factorUseMassAG,1,4)/(INDEX(dissolutionRateAG,1,4)*INDEX(avgProtectionCurrentCPOverLife,1,4)*INDEX(factorSoilHeterogeneity,1,4))),0),""),"")</f>
        <v/>
      </c>
      <c r="H97" s="434" t="str">
        <f>IF(ISNUMBER(SEARCH(H36,C97)),IFERROR(ROUNDDOWN((INDEX(weightWithoutFillingAG,8,5)*INDEX(factorUseMassAG,1,5)/(INDEX(dissolutionRateAG,1,5)*INDEX(avgProtectionCurrentCPOverLife,1,5)*INDEX(factorSoilHeterogeneity,1,5))),0),""),"")</f>
        <v/>
      </c>
      <c r="I97" s="434" t="str">
        <f>IF(ISNUMBER(SEARCH(I36,C97)),IFERROR(ROUNDDOWN((INDEX(weightWithoutFillingAG,8,6)*INDEX(factorUseMassAG,1,6)/(INDEX(dissolutionRateAG,1,6)*INDEX(avgProtectionCurrentCPOverLife,1,6)*INDEX(factorSoilHeterogeneity,1,6))),0),""),"")</f>
        <v/>
      </c>
      <c r="J97" s="434" t="str">
        <f>IF(ISNUMBER(SEARCH(J36,C97)),IFERROR(ROUNDDOWN((INDEX(weightWithoutFillingAG,8,7)*INDEX(factorUseMassAG,1,7)/(INDEX(dissolutionRateAG,1,7)*INDEX(avgProtectionCurrentCPOverLife,1,7)*INDEX(factorSoilHeterogeneity,1,7))),0),""),"")</f>
        <v/>
      </c>
      <c r="K97" s="434" t="str">
        <f>IF(ISNUMBER(SEARCH(K36,C97)),IFERROR(ROUNDDOWN((INDEX(weightWithoutFillingAG,8,8)*INDEX(factorUseMassAG,1,8)/(INDEX(dissolutionRateAG,1,8)*INDEX(avgProtectionCurrentCPOverLife,1,8)*INDEX(factorSoilHeterogeneity,1,8))),0),""),"")</f>
        <v/>
      </c>
      <c r="L97" s="434" t="str" cm="1">
        <f t="array" ref="L97">IF(ISNUMBER(SEARCH(L36,C97)),IFERROR(ROUNDDOWN((INDEX(weightWithoutFillingAG,8,9)*fИНДЕКС(factorUseMassAG,1,9)/(INDEX(dissolutionRateAG,1,9)*INDEX(avgProtectionCurrentCPOverLife,1,9)*INDEX(factorSoilHeterogeneity,1,9))),0),""),"")</f>
        <v/>
      </c>
      <c r="M97" s="434" t="str">
        <f>IF(ISNUMBER(SEARCH(M36,C97)),IFERROR(ROUNDDOWN((INDEX(weightWithoutFillingAG,8,10)*INDEX(factorUseMassAG,1,10)/(INDEX(dissolutionRateAG,1,10)*INDEX(avgProtectionCurrentCPOverLife,1,10)*INDEX(factorSoilHeterogeneity,1,10))),0),""),"")</f>
        <v/>
      </c>
      <c r="O97" s="432"/>
      <c r="P97" s="433"/>
      <c r="CW97" s="695" t="s">
        <v>1032</v>
      </c>
      <c r="CX97" s="732"/>
      <c r="CY97" s="732"/>
    </row>
    <row r="98" spans="1:103" s="431" customFormat="1" ht="30">
      <c r="A98" s="428"/>
      <c r="B98" s="429" t="s">
        <v>922</v>
      </c>
      <c r="C98" s="504" t="s">
        <v>1011</v>
      </c>
      <c r="D98" s="434">
        <f>IF(ISNUMBER(SEARCH(D36,C98)),IFERROR(ROUNDDOWN((INDEX(weightWithoutFillingAG,9,1)*INDEX(factorUseMassAG,1,1)/(INDEX(dissolutionRateAG,1,1)*INDEX(avgProtectionCurrentCPOverLife,1,1)*INDEX(factorSoilHeterogeneity,1,1))),0),""),"")</f>
        <v>113</v>
      </c>
      <c r="E98" s="434" t="str">
        <f>IF(ISNUMBER(SEARCH(E36,C98)),IFERROR(ROUNDDOWN((INDEX(weightWithoutFillingAG,9,2)*INDEX(factorUseMassAG,1,2)/(INDEX(dissolutionRateAG,1,2)*INDEX(avgProtectionCurrentCPOverLife,1,2)*INDEX(factorSoilHeterogeneity,1,2))),0),""),"")</f>
        <v/>
      </c>
      <c r="F98" s="434" t="str">
        <f>IF(ISNUMBER(SEARCH(F36,C98)),IFERROR(ROUNDDOWN((INDEX(weightWithoutFillingAG,9,3)*INDEX(factorUseMassAG,1,3)/(INDEX(dissolutionRateAG,1,3)*INDEX(avgProtectionCurrentCPOverLife,1,3)*INDEX(factorSoilHeterogeneity,1,3))),0),""),"")</f>
        <v/>
      </c>
      <c r="G98" s="434" t="str">
        <f>IF(ISNUMBER(SEARCH(G36,C98)),IFERROR(ROUNDDOWN((INDEX(weightWithoutFillingAG,9,4)*INDEX(factorUseMassAG,1,4)/(INDEX(dissolutionRateAG,1,4)*INDEX(avgProtectionCurrentCPOverLife,1,4)*INDEX(factorSoilHeterogeneity,1,4))),0),""),"")</f>
        <v/>
      </c>
      <c r="H98" s="434" t="str">
        <f>IF(ISNUMBER(SEARCH(H36,C98)),IFERROR(ROUNDDOWN((INDEX(weightWithoutFillingAG,9,5)*INDEX(factorUseMassAG,1,5)/(INDEX(dissolutionRateAG,1,5)*INDEX(avgProtectionCurrentCPOverLife,1,5)*INDEX(factorSoilHeterogeneity,1,5))),0),""),"")</f>
        <v/>
      </c>
      <c r="I98" s="434" t="str">
        <f>IF(ISNUMBER(SEARCH(I36,C98)),IFERROR(ROUNDDOWN((INDEX(weightWithoutFillingAG,9,6)*INDEX(factorUseMassAG,1,6)/(INDEX(dissolutionRateAG,1,6)*INDEX(avgProtectionCurrentCPOverLife,1,6)*INDEX(factorSoilHeterogeneity,1,6))),0),""),"")</f>
        <v/>
      </c>
      <c r="J98" s="434" t="str">
        <f>IF(ISNUMBER(SEARCH(J36,C98)),IFERROR(ROUNDDOWN((INDEX(weightWithoutFillingAG,9,7)*INDEX(factorUseMassAG,1,7)/(INDEX(dissolutionRateAG,1,7)*INDEX(avgProtectionCurrentCPOverLife,1,7)*INDEX(factorSoilHeterogeneity,1,7))),0),""),"")</f>
        <v/>
      </c>
      <c r="K98" s="434" t="str">
        <f>IF(ISNUMBER(SEARCH(K36,C98)),IFERROR(ROUNDDOWN((INDEX(weightWithoutFillingAG,9,8)*INDEX(factorUseMassAG,1,8)/(INDEX(dissolutionRateAG,1,8)*INDEX(avgProtectionCurrentCPOverLife,1,8)*INDEX(factorSoilHeterogeneity,1,8))),0),""),"")</f>
        <v/>
      </c>
      <c r="L98" s="434" t="str">
        <f>IF(ISNUMBER(SEARCH(L36,C98)),IFERROR(ROUNDDOWN((INDEX(weightWithoutFillingAG,9,9)*INDEX(factorUseMassAG,1,9)/(INDEX(dissolutionRateAG,1,9)*INDEX(avgProtectionCurrentCPOverLife,1,9)*INDEX(factorSoilHeterogeneity,1,9))),0),""),"")</f>
        <v/>
      </c>
      <c r="M98" s="434" t="str">
        <f>IF(ISNUMBER(SEARCH(M36,C98)),IFERROR(ROUNDDOWN((INDEX(weightWithoutFillingAG,9,10)*INDEX(factorUseMassAG,1,10)/(INDEX(dissolutionRateAG,1,10)*INDEX(avgProtectionCurrentCPOverLife,1,10)*INDEX(factorSoilHeterogeneity,1,10))),0),""),"")</f>
        <v/>
      </c>
      <c r="O98" s="432"/>
      <c r="P98" s="433"/>
      <c r="CW98" s="695" t="s">
        <v>1032</v>
      </c>
      <c r="CX98" s="732"/>
      <c r="CY98" s="732"/>
    </row>
    <row r="99" spans="1:103" s="431" customFormat="1" ht="21" hidden="1">
      <c r="A99" s="428"/>
      <c r="B99" s="429"/>
      <c r="C99" s="504"/>
      <c r="D99" s="434"/>
      <c r="E99" s="434"/>
      <c r="F99" s="434"/>
      <c r="G99" s="434"/>
      <c r="H99" s="434"/>
      <c r="I99" s="434"/>
      <c r="J99" s="434"/>
      <c r="K99" s="434"/>
      <c r="L99" s="434"/>
      <c r="M99" s="434"/>
      <c r="O99" s="432"/>
      <c r="P99" s="433"/>
      <c r="CW99" s="695" t="s">
        <v>1032</v>
      </c>
      <c r="CX99" s="732"/>
      <c r="CY99" s="732"/>
    </row>
    <row r="100" spans="1:103" s="436" customFormat="1" ht="30" hidden="1">
      <c r="A100" s="802" t="s">
        <v>561</v>
      </c>
      <c r="B100" s="429" t="s">
        <v>919</v>
      </c>
      <c r="C100" s="803" t="s">
        <v>1012</v>
      </c>
      <c r="D100" s="430" t="str">
        <f>IF(ISNUMBER(SEARCH(D36,C100)),IFERROR((MAX('Pipe calculation'!serviceLifeDesigned)-INDEX(serviceLifeAG,1,1))/MAX('Pipe calculation'!serviceLifeDesigned),""),"")</f>
        <v/>
      </c>
      <c r="E100" s="430" t="str">
        <f>IF(ISNUMBER(SEARCH(E36,C100)),IFERROR((MAX('Pipe calculation'!serviceLifeDesigned)-INDEX(serviceLifeAG,1,2))/MAX('Pipe calculation'!serviceLifeDesigned),""),"")</f>
        <v/>
      </c>
      <c r="F100" s="430" t="str">
        <f>IF(ISNUMBER(SEARCH(F36,C100)),IFERROR((MAX('Pipe calculation'!serviceLifeDesigned)-INDEX(serviceLifeAG,1,3))/MAX('Pipe calculation'!serviceLifeDesigned),""),"")</f>
        <v/>
      </c>
      <c r="G100" s="430" t="str">
        <f>IF(ISNUMBER(SEARCH(G36,C100)),IFERROR((MAX('Pipe calculation'!serviceLifeDesigned)-INDEX(serviceLifeAG,1,4))/MAX('Pipe calculation'!serviceLifeDesigned),""),"")</f>
        <v/>
      </c>
      <c r="H100" s="430" t="str">
        <f>IF(ISNUMBER(SEARCH(H36,C100)),IFERROR((MAX('Pipe calculation'!serviceLifeDesigned)-INDEX(serviceLifeAG,1,5))/MAX('Pipe calculation'!serviceLifeDesigned),""),"")</f>
        <v/>
      </c>
      <c r="I100" s="430" t="str">
        <f>IF(ISNUMBER(SEARCH(I36,C100)),IFERROR((MAX('Pipe calculation'!serviceLifeDesigned)-INDEX(serviceLifeAG,1,6))/MAX('Pipe calculation'!serviceLifeDesigned),""),"")</f>
        <v/>
      </c>
      <c r="J100" s="430" t="str">
        <f>IF(ISNUMBER(SEARCH(J36,C100)),IFERROR((MAX('Pipe calculation'!serviceLifeDesigned)-INDEX(serviceLifeAG,1,7))/MAX('Pipe calculation'!serviceLifeDesigned),""),"")</f>
        <v/>
      </c>
      <c r="K100" s="430" t="str">
        <f>IF(ISNUMBER(SEARCH(K36,C100)),IFERROR((MAX('Pipe calculation'!serviceLifeDesigned)-INDEX(serviceLifeAG,1,8))/MAX('Pipe calculation'!serviceLifeDesigned),""),"")</f>
        <v/>
      </c>
      <c r="L100" s="430" t="str">
        <f>IF(ISNUMBER(SEARCH(L36,C100)),IFERROR((MAX('Pipe calculation'!serviceLifeDesigned)-INDEX(serviceLifeAG,1,9))/MAX('Pipe calculation'!serviceLifeDesigned),""),"")</f>
        <v/>
      </c>
      <c r="M100" s="430" t="str">
        <f>IF(ISNUMBER(SEARCH(M36,C100)),IFERROR((MAX('Pipe calculation'!serviceLifeDesigned)-INDEX(serviceLifeAG,1,10))/MAX('Pipe calculation'!serviceLifeDesigned),""),"")</f>
        <v/>
      </c>
      <c r="O100" s="432"/>
      <c r="P100" s="433"/>
      <c r="CW100" s="695" t="s">
        <v>1032</v>
      </c>
      <c r="CX100" s="735"/>
      <c r="CY100" s="735"/>
    </row>
    <row r="101" spans="1:103" s="436" customFormat="1" ht="30" hidden="1">
      <c r="A101" s="435"/>
      <c r="B101" s="429" t="s">
        <v>919</v>
      </c>
      <c r="C101" s="803" t="s">
        <v>1013</v>
      </c>
      <c r="D101" s="430" t="str">
        <f>IF(ISNUMBER(SEARCH(D36,C101)),IFERROR((MAX('Pipe calculation'!serviceLifeDesigned)-INDEX(serviceLifeAG,2,1))/MAX('Pipe calculation'!serviceLifeDesigned),""),"")</f>
        <v/>
      </c>
      <c r="E101" s="430" t="str">
        <f>IF(ISNUMBER(SEARCH(E36,C101)),IFERROR((MAX('Pipe calculation'!serviceLifeDesigned)-INDEX(serviceLifeAG,2,2))/MAX('Pipe calculation'!serviceLifeDesigned),""),"")</f>
        <v/>
      </c>
      <c r="F101" s="430" t="str">
        <f>IF(ISNUMBER(SEARCH(F36,C101)),IFERROR((MAX('Pipe calculation'!serviceLifeDesigned)-INDEX(serviceLifeAG,2,3))/MAX('Pipe calculation'!serviceLifeDesigned),""),"")</f>
        <v/>
      </c>
      <c r="G101" s="430" t="str">
        <f>IF(ISNUMBER(SEARCH(G36,C101)),IFERROR((MAX('Pipe calculation'!serviceLifeDesigned)-INDEX(serviceLifeAG,2,4))/MAX('Pipe calculation'!serviceLifeDesigned),""),"")</f>
        <v/>
      </c>
      <c r="H101" s="430" t="str">
        <f>IF(ISNUMBER(SEARCH(H36,C101)),IFERROR((MAX('Pipe calculation'!serviceLifeDesigned)-INDEX(serviceLifeAG,2,5))/MAX('Pipe calculation'!serviceLifeDesigned),""),"")</f>
        <v/>
      </c>
      <c r="I101" s="430" t="str">
        <f>IF(ISNUMBER(SEARCH(I36,C101)),IFERROR((MAX('Pipe calculation'!serviceLifeDesigned)-INDEX(serviceLifeAG,2,6))/MAX('Pipe calculation'!serviceLifeDesigned),""),"")</f>
        <v/>
      </c>
      <c r="J101" s="430" t="str">
        <f>IF(ISNUMBER(SEARCH(J36,C101)),IFERROR((MAX('Pipe calculation'!serviceLifeDesigned)-INDEX(serviceLifeAG,2,7))/MAX('Pipe calculation'!serviceLifeDesigned),""),"")</f>
        <v/>
      </c>
      <c r="K101" s="430" t="str">
        <f>IF(ISNUMBER(SEARCH(K36,C101)),IFERROR((MAX('Pipe calculation'!serviceLifeDesigned)-INDEX(serviceLifeAG,2,8))/MAX('Pipe calculation'!serviceLifeDesigned),""),"")</f>
        <v/>
      </c>
      <c r="L101" s="430" t="str">
        <f>IF(ISNUMBER(SEARCH(L36,C101)),IFERROR((MAX('Pipe calculation'!serviceLifeDesigned)-INDEX(serviceLifeAG,2,9))/MAX('Pipe calculation'!serviceLifeDesigned),""),"")</f>
        <v/>
      </c>
      <c r="M101" s="430" t="str">
        <f>IF(ISNUMBER(SEARCH(M36,C101)),IFERROR((MAX('Pipe calculation'!serviceLifeDesigned)-INDEX(serviceLifeAG,2,10))/MAX('Pipe calculation'!serviceLifeDesigned),""),"")</f>
        <v/>
      </c>
      <c r="O101" s="432"/>
      <c r="P101" s="433"/>
      <c r="CW101" s="695" t="s">
        <v>1032</v>
      </c>
      <c r="CX101" s="735"/>
      <c r="CY101" s="735"/>
    </row>
    <row r="102" spans="1:103" s="436" customFormat="1" ht="30" hidden="1">
      <c r="A102" s="435"/>
      <c r="B102" s="429" t="s">
        <v>919</v>
      </c>
      <c r="C102" s="803" t="s">
        <v>1014</v>
      </c>
      <c r="D102" s="430" t="str">
        <f>IF(ISNUMBER(SEARCH(D36,C102)),IFERROR((MAX('Pipe calculation'!serviceLifeDesigned)-INDEX(serviceLifeAG,3,1))/MAX('Pipe calculation'!serviceLifeDesigned),""),"")</f>
        <v/>
      </c>
      <c r="E102" s="430" t="str">
        <f>IF(ISNUMBER(SEARCH(E36,C102)),IFERROR((MAX('Pipe calculation'!serviceLifeDesigned)-INDEX(serviceLifeAG,3,2))/MAX('Pipe calculation'!serviceLifeDesigned),""),"")</f>
        <v/>
      </c>
      <c r="F102" s="430" t="str">
        <f>IF(ISNUMBER(SEARCH(F36,C102)),IFERROR((MAX('Pipe calculation'!serviceLifeDesigned)-INDEX(serviceLifeAG,3,3))/MAX('Pipe calculation'!serviceLifeDesigned),""),"")</f>
        <v/>
      </c>
      <c r="G102" s="430" t="str">
        <f>IF(ISNUMBER(SEARCH(G36,C102)),IFERROR((MAX('Pipe calculation'!serviceLifeDesigned)-INDEX(serviceLifeAG,3,4))/MAX('Pipe calculation'!serviceLifeDesigned),""),"")</f>
        <v/>
      </c>
      <c r="H102" s="430" t="str">
        <f>IF(ISNUMBER(SEARCH(H36,C102)),IFERROR((MAX('Pipe calculation'!serviceLifeDesigned)-INDEX(serviceLifeAG,3,5))/MAX('Pipe calculation'!serviceLifeDesigned),""),"")</f>
        <v/>
      </c>
      <c r="I102" s="430" t="str">
        <f>IF(ISNUMBER(SEARCH(I36,C102)),IFERROR((MAX('Pipe calculation'!serviceLifeDesigned)-INDEX(serviceLifeAG,3,6))/MAX('Pipe calculation'!serviceLifeDesigned),""),"")</f>
        <v/>
      </c>
      <c r="J102" s="430" t="str">
        <f>IF(ISNUMBER(SEARCH(J36,C102)),IFERROR((MAX('Pipe calculation'!serviceLifeDesigned)-INDEX(serviceLifeAG,3,7))/MAX('Pipe calculation'!serviceLifeDesigned),""),"")</f>
        <v/>
      </c>
      <c r="K102" s="430" t="str">
        <f>IF(ISNUMBER(SEARCH(K36,C102)),IFERROR((MAX('Pipe calculation'!serviceLifeDesigned)-INDEX(serviceLifeAG,3,8))/MAX('Pipe calculation'!serviceLifeDesigned),""),"")</f>
        <v/>
      </c>
      <c r="L102" s="430" t="str">
        <f>IF(ISNUMBER(SEARCH(L36,C102)),IFERROR((MAX('Pipe calculation'!serviceLifeDesigned)-INDEX(serviceLifeAG,3,9))/MAX('Pipe calculation'!serviceLifeDesigned),""),"")</f>
        <v/>
      </c>
      <c r="M102" s="430" t="str">
        <f>IF(ISNUMBER(SEARCH(M36,C102)),IFERROR((MAX('Pipe calculation'!serviceLifeDesigned)-INDEX(serviceLifeAG,3,10))/MAX('Pipe calculation'!serviceLifeDesigned),""),"")</f>
        <v/>
      </c>
      <c r="O102" s="432"/>
      <c r="P102" s="433"/>
      <c r="CW102" s="695" t="s">
        <v>1032</v>
      </c>
      <c r="CX102" s="735"/>
      <c r="CY102" s="735"/>
    </row>
    <row r="103" spans="1:103" s="436" customFormat="1" ht="30" hidden="1">
      <c r="A103" s="435"/>
      <c r="B103" s="429" t="s">
        <v>919</v>
      </c>
      <c r="C103" s="803" t="s">
        <v>1015</v>
      </c>
      <c r="D103" s="430" t="str">
        <f>IF(ISNUMBER(SEARCH(D36,C103)),IFERROR((MAX('Pipe calculation'!serviceLifeDesigned)-INDEX(serviceLifeAG,4,1))/MAX('Pipe calculation'!serviceLifeDesigned),""),"")</f>
        <v/>
      </c>
      <c r="E103" s="430" t="str">
        <f>IF(ISNUMBER(SEARCH(E36,C103)),IFERROR((MAX('Pipe calculation'!serviceLifeDesigned)-INDEX(serviceLifeAG,4,2))/MAX('Pipe calculation'!serviceLifeDesigned),""),"")</f>
        <v/>
      </c>
      <c r="F103" s="430" t="str">
        <f>IF(ISNUMBER(SEARCH(F36,C103)),IFERROR((MAX('Pipe calculation'!serviceLifeDesigned)-INDEX(serviceLifeAG,4,3))/MAX('Pipe calculation'!serviceLifeDesigned),""),"")</f>
        <v/>
      </c>
      <c r="G103" s="430" t="str">
        <f>IF(ISNUMBER(SEARCH(G36,C103)),IFERROR((MAX('Pipe calculation'!serviceLifeDesigned)-INDEX(serviceLifeAG,4,4))/MAX('Pipe calculation'!serviceLifeDesigned),""),"")</f>
        <v/>
      </c>
      <c r="H103" s="430" t="str">
        <f>IF(ISNUMBER(SEARCH(H36,C103)),IFERROR((MAX('Pipe calculation'!serviceLifeDesigned)-INDEX(serviceLifeAG,4,5))/MAX('Pipe calculation'!serviceLifeDesigned),""),"")</f>
        <v/>
      </c>
      <c r="I103" s="430" t="str">
        <f>IF(ISNUMBER(SEARCH(I36,C103)),IFERROR((MAX('Pipe calculation'!serviceLifeDesigned)-INDEX(serviceLifeAG,4,6))/MAX('Pipe calculation'!serviceLifeDesigned),""),"")</f>
        <v/>
      </c>
      <c r="J103" s="430" t="str">
        <f>IF(ISNUMBER(SEARCH(J36,C103)),IFERROR((MAX('Pipe calculation'!serviceLifeDesigned)-INDEX(serviceLifeAG,4,7))/MAX('Pipe calculation'!serviceLifeDesigned),""),"")</f>
        <v/>
      </c>
      <c r="K103" s="430" t="str">
        <f>IF(ISNUMBER(SEARCH(K36,C103)),IFERROR((MAX('Pipe calculation'!serviceLifeDesigned)-INDEX(serviceLifeAG,4,8))/MAX('Pipe calculation'!serviceLifeDesigned),""),"")</f>
        <v/>
      </c>
      <c r="L103" s="430" t="str">
        <f>IF(ISNUMBER(SEARCH(L36,C103)),IFERROR((MAX('Pipe calculation'!serviceLifeDesigned)-INDEX(serviceLifeAG,4,9))/MAX('Pipe calculation'!serviceLifeDesigned),""),"")</f>
        <v/>
      </c>
      <c r="M103" s="430" t="str">
        <f>IF(ISNUMBER(SEARCH(M36,C103)),IFERROR((MAX('Pipe calculation'!serviceLifeDesigned)-INDEX(serviceLifeAG,4,10))/MAX('Pipe calculation'!serviceLifeDesigned),""),"")</f>
        <v/>
      </c>
      <c r="O103" s="432"/>
      <c r="P103" s="433"/>
      <c r="CW103" s="695" t="s">
        <v>1032</v>
      </c>
      <c r="CX103" s="735"/>
      <c r="CY103" s="735"/>
    </row>
    <row r="104" spans="1:103" s="436" customFormat="1" ht="30" hidden="1">
      <c r="A104" s="435"/>
      <c r="B104" s="429" t="s">
        <v>919</v>
      </c>
      <c r="C104" s="803" t="s">
        <v>994</v>
      </c>
      <c r="D104" s="430" t="str">
        <f>IF(ISNUMBER(SEARCH(D36,C104)),IFERROR((MAX('Pipe calculation'!serviceLifeDesigned)-INDEX(serviceLifeAG,5,1))/MAX('Pipe calculation'!serviceLifeDesigned),""),"")</f>
        <v/>
      </c>
      <c r="E104" s="430" t="str">
        <f>IF(ISNUMBER(SEARCH(E36,C104)),IFERROR((MAX('Pipe calculation'!serviceLifeDesigned)-INDEX(serviceLifeAG,5,2))/MAX('Pipe calculation'!serviceLifeDesigned),""),"")</f>
        <v/>
      </c>
      <c r="F104" s="430" t="str">
        <f>IF(ISNUMBER(SEARCH(F36,C104)),IFERROR((MAX('Pipe calculation'!serviceLifeDesigned)-INDEX(serviceLifeAG,5,3))/MAX('Pipe calculation'!serviceLifeDesigned),""),"")</f>
        <v/>
      </c>
      <c r="G104" s="430" t="str">
        <f>IF(ISNUMBER(SEARCH(G36,C104)),IFERROR((MAX('Pipe calculation'!serviceLifeDesigned)-INDEX(serviceLifeAG,5,4))/MAX('Pipe calculation'!serviceLifeDesigned),""),"")</f>
        <v/>
      </c>
      <c r="H104" s="430" t="str">
        <f>IF(ISNUMBER(SEARCH(H36,C104)),IFERROR((MAX('Pipe calculation'!serviceLifeDesigned)-INDEX(serviceLifeAG,5,5))/MAX('Pipe calculation'!serviceLifeDesigned),""),"")</f>
        <v/>
      </c>
      <c r="I104" s="430" t="str">
        <f>IF(ISNUMBER(SEARCH(I36,C104)),IFERROR((MAX('Pipe calculation'!serviceLifeDesigned)-INDEX(serviceLifeAG,5,6))/MAX('Pipe calculation'!serviceLifeDesigned),""),"")</f>
        <v/>
      </c>
      <c r="J104" s="430" t="str">
        <f>IF(ISNUMBER(SEARCH(J36,C104)),IFERROR((MAX('Pipe calculation'!serviceLifeDesigned)-INDEX(serviceLifeAG,5,7))/MAX('Pipe calculation'!serviceLifeDesigned),""),"")</f>
        <v/>
      </c>
      <c r="K104" s="430" t="str">
        <f>IF(ISNUMBER(SEARCH(K36,C104)),IFERROR((MAX('Pipe calculation'!serviceLifeDesigned)-INDEX(serviceLifeAG,5,8))/MAX('Pipe calculation'!serviceLifeDesigned),""),"")</f>
        <v/>
      </c>
      <c r="L104" s="430" t="str">
        <f>IF(ISNUMBER(SEARCH(L36,C104)),IFERROR((MAX('Pipe calculation'!serviceLifeDesigned)-INDEX(serviceLifeAG,5,9))/MAX('Pipe calculation'!serviceLifeDesigned),""),"")</f>
        <v/>
      </c>
      <c r="M104" s="430" t="str">
        <f>IF(ISNUMBER(SEARCH(M36,C104)),IFERROR((MAX('Pipe calculation'!serviceLifeDesigned)-INDEX(serviceLifeAG,5,10))/MAX('Pipe calculation'!serviceLifeDesigned),""),"")</f>
        <v/>
      </c>
      <c r="O104" s="432"/>
      <c r="P104" s="433"/>
      <c r="CW104" s="695" t="s">
        <v>1032</v>
      </c>
      <c r="CX104" s="735"/>
      <c r="CY104" s="735"/>
    </row>
    <row r="105" spans="1:103" s="436" customFormat="1" ht="30" hidden="1">
      <c r="A105" s="435"/>
      <c r="B105" s="429" t="s">
        <v>919</v>
      </c>
      <c r="C105" s="803" t="s">
        <v>995</v>
      </c>
      <c r="D105" s="430" t="str">
        <f>IF(ISNUMBER(SEARCH(D36,C105)),IFERROR((MAX('Pipe calculation'!serviceLifeDesigned)-INDEX(serviceLifeAG,6,1))/MAX('Pipe calculation'!serviceLifeDesigned),""),"")</f>
        <v/>
      </c>
      <c r="E105" s="430" t="str">
        <f>IF(ISNUMBER(SEARCH(E36,C105)),IFERROR((MAX('Pipe calculation'!serviceLifeDesigned)-INDEX(serviceLifeAG,6,2))/MAX('Pipe calculation'!serviceLifeDesigned),""),"")</f>
        <v/>
      </c>
      <c r="F105" s="430" t="str">
        <f>IF(ISNUMBER(SEARCH(F36,C105)),IFERROR((MAX('Pipe calculation'!serviceLifeDesigned)-INDEX(serviceLifeAG,6,3))/MAX('Pipe calculation'!serviceLifeDesigned),""),"")</f>
        <v/>
      </c>
      <c r="G105" s="430" t="str">
        <f>IF(ISNUMBER(SEARCH(G36,C105)),IFERROR((MAX('Pipe calculation'!serviceLifeDesigned)-INDEX(serviceLifeAG,6,4))/MAX('Pipe calculation'!serviceLifeDesigned),""),"")</f>
        <v/>
      </c>
      <c r="H105" s="430" t="str">
        <f>IF(ISNUMBER(SEARCH(H36,C105)),IFERROR((MAX('Pipe calculation'!serviceLifeDesigned)-INDEX(serviceLifeAG,6,5))/MAX('Pipe calculation'!serviceLifeDesigned),""),"")</f>
        <v/>
      </c>
      <c r="I105" s="430" t="str">
        <f>IF(ISNUMBER(SEARCH(I36,C105)),IFERROR((MAX('Pipe calculation'!serviceLifeDesigned)-INDEX(serviceLifeAG,6,6))/MAX('Pipe calculation'!serviceLifeDesigned),""),"")</f>
        <v/>
      </c>
      <c r="J105" s="430" t="str">
        <f>IF(ISNUMBER(SEARCH(J36,C105)),IFERROR((MAX('Pipe calculation'!serviceLifeDesigned)-INDEX(serviceLifeAG,6,7))/MAX('Pipe calculation'!serviceLifeDesigned),""),"")</f>
        <v/>
      </c>
      <c r="K105" s="430" t="str">
        <f>IF(ISNUMBER(SEARCH(K36,C105)),IFERROR((MAX('Pipe calculation'!serviceLifeDesigned)-INDEX(serviceLifeAG,6,8))/MAX('Pipe calculation'!serviceLifeDesigned),""),"")</f>
        <v/>
      </c>
      <c r="L105" s="430" t="str">
        <f>IF(ISNUMBER(SEARCH(L36,C105)),IFERROR((MAX('Pipe calculation'!serviceLifeDesigned)-INDEX(serviceLifeAG,6,9))/MAX('Pipe calculation'!serviceLifeDesigned),""),"")</f>
        <v/>
      </c>
      <c r="M105" s="430" t="str">
        <f>IF(ISNUMBER(SEARCH(M36,C105)),IFERROR((MAX('Pipe calculation'!serviceLifeDesigned)-INDEX(serviceLifeAG,6,10))/MAX('Pipe calculation'!serviceLifeDesigned),""),"")</f>
        <v/>
      </c>
      <c r="O105" s="432"/>
      <c r="P105" s="433"/>
      <c r="CW105" s="695" t="s">
        <v>1032</v>
      </c>
      <c r="CX105" s="735"/>
      <c r="CY105" s="735"/>
    </row>
    <row r="106" spans="1:103" s="436" customFormat="1" ht="30" hidden="1">
      <c r="A106" s="435"/>
      <c r="B106" s="429" t="s">
        <v>919</v>
      </c>
      <c r="C106" s="803" t="s">
        <v>1016</v>
      </c>
      <c r="D106" s="430" t="str">
        <f>IF(ISNUMBER(SEARCH(D36,C106)),IFERROR((MAX('Pipe calculation'!serviceLifeDesigned)-INDEX(serviceLifeAG,7,1))/MAX('Pipe calculation'!serviceLifeDesigned),""),"")</f>
        <v/>
      </c>
      <c r="E106" s="430" t="str">
        <f>IF(ISNUMBER(SEARCH(E36,C106)),IFERROR((MAX('Pipe calculation'!serviceLifeDesigned)-INDEX(serviceLifeAG,7,2))/MAX('Pipe calculation'!serviceLifeDesigned),""),"")</f>
        <v/>
      </c>
      <c r="F106" s="430" t="str">
        <f>IF(ISNUMBER(SEARCH(F36,C106)),IFERROR((MAX('Pipe calculation'!serviceLifeDesigned)-INDEX(serviceLifeAG,7,3))/MAX('Pipe calculation'!serviceLifeDesigned),""),"")</f>
        <v/>
      </c>
      <c r="G106" s="430" t="str">
        <f>IF(ISNUMBER(SEARCH(G36,C106)),IFERROR((MAX('Pipe calculation'!serviceLifeDesigned)-INDEX(serviceLifeAG,7,4))/MAX('Pipe calculation'!serviceLifeDesigned),""),"")</f>
        <v/>
      </c>
      <c r="H106" s="430" t="str">
        <f>IF(ISNUMBER(SEARCH(H36,C106)),IFERROR((MAX('Pipe calculation'!serviceLifeDesigned)-INDEX(serviceLifeAG,7,5))/MAX('Pipe calculation'!serviceLifeDesigned),""),"")</f>
        <v/>
      </c>
      <c r="I106" s="430" t="str">
        <f>IF(ISNUMBER(SEARCH(I36,C106)),IFERROR((MAX('Pipe calculation'!serviceLifeDesigned)-INDEX(serviceLifeAG,7,6))/MAX('Pipe calculation'!serviceLifeDesigned),""),"")</f>
        <v/>
      </c>
      <c r="J106" s="430" t="str">
        <f>IF(ISNUMBER(SEARCH(J36,C106)),IFERROR((MAX('Pipe calculation'!serviceLifeDesigned)-INDEX(serviceLifeAG,7,7))/MAX('Pipe calculation'!serviceLifeDesigned),""),"")</f>
        <v/>
      </c>
      <c r="K106" s="430" t="str">
        <f>IF(ISNUMBER(SEARCH(K36,C106)),IFERROR((MAX('Pipe calculation'!serviceLifeDesigned)-INDEX(serviceLifeAG,7,8))/MAX('Pipe calculation'!serviceLifeDesigned),""),"")</f>
        <v/>
      </c>
      <c r="L106" s="430" t="str">
        <f>IF(ISNUMBER(SEARCH(L36,C106)),IFERROR((MAX('Pipe calculation'!serviceLifeDesigned)-INDEX(serviceLifeAG,7,9))/MAX('Pipe calculation'!serviceLifeDesigned),""),"")</f>
        <v/>
      </c>
      <c r="M106" s="430" t="str">
        <f>IF(ISNUMBER(SEARCH(M36,C106)),IFERROR((MAX('Pipe calculation'!serviceLifeDesigned)-INDEX(serviceLifeAG,7,10))/MAX('Pipe calculation'!serviceLifeDesigned),""),"")</f>
        <v/>
      </c>
      <c r="O106" s="432"/>
      <c r="P106" s="433"/>
      <c r="CW106" s="695" t="s">
        <v>1032</v>
      </c>
      <c r="CX106" s="735"/>
      <c r="CY106" s="735"/>
    </row>
    <row r="107" spans="1:103" s="436" customFormat="1" ht="30" hidden="1">
      <c r="A107" s="435"/>
      <c r="B107" s="429" t="s">
        <v>919</v>
      </c>
      <c r="C107" s="803" t="s">
        <v>1017</v>
      </c>
      <c r="D107" s="430" t="str">
        <f>IF(ISNUMBER(SEARCH(D36,C107)),IFERROR((MAX('Pipe calculation'!serviceLifeDesigned)-INDEX(serviceLifeAG,8,1))/MAX('Pipe calculation'!serviceLifeDesigned),""),"")</f>
        <v/>
      </c>
      <c r="E107" s="430" t="str">
        <f>IF(ISNUMBER(SEARCH(E36,C107)),IFERROR((MAX('Pipe calculation'!serviceLifeDesigned)-INDEX(serviceLifeAG,8,2))/MAX('Pipe calculation'!serviceLifeDesigned),""),"")</f>
        <v/>
      </c>
      <c r="F107" s="430" t="str">
        <f>IF(ISNUMBER(SEARCH(F36,C107)),IFERROR((MAX('Pipe calculation'!serviceLifeDesigned)-INDEX(serviceLifeAG,8,3))/MAX('Pipe calculation'!serviceLifeDesigned),""),"")</f>
        <v/>
      </c>
      <c r="G107" s="430" t="str">
        <f>IF(ISNUMBER(SEARCH(G36,C107)),IFERROR((MAX('Pipe calculation'!serviceLifeDesigned)-INDEX(serviceLifeAG,8,4))/MAX('Pipe calculation'!serviceLifeDesigned),""),"")</f>
        <v/>
      </c>
      <c r="H107" s="430" t="str">
        <f>IF(ISNUMBER(SEARCH(H36,C107)),IFERROR((MAX('Pipe calculation'!serviceLifeDesigned)-INDEX(serviceLifeAG,8,5))/MAX('Pipe calculation'!serviceLifeDesigned),""),"")</f>
        <v/>
      </c>
      <c r="I107" s="430" t="str">
        <f>IF(ISNUMBER(SEARCH(I36,C107)),IFERROR((MAX('Pipe calculation'!serviceLifeDesigned)-INDEX(serviceLifeAG,8,6))/MAX('Pipe calculation'!serviceLifeDesigned),""),"")</f>
        <v/>
      </c>
      <c r="J107" s="430" t="str">
        <f>IF(ISNUMBER(SEARCH(J36,C107)),IFERROR((MAX('Pipe calculation'!serviceLifeDesigned)-INDEX(serviceLifeAG,8,7))/MAX('Pipe calculation'!serviceLifeDesigned),""),"")</f>
        <v/>
      </c>
      <c r="K107" s="430" t="str">
        <f>IF(ISNUMBER(SEARCH(K36,C107)),IFERROR((MAX('Pipe calculation'!serviceLifeDesigned)-INDEX(serviceLifeAG,8,8))/MAX('Pipe calculation'!serviceLifeDesigned),""),"")</f>
        <v/>
      </c>
      <c r="L107" s="430" t="str">
        <f>IF(ISNUMBER(SEARCH(L36,C107)),IFERROR((MAX('Pipe calculation'!serviceLifeDesigned)-INDEX(serviceLifeAG,8,9))/MAX('Pipe calculation'!serviceLifeDesigned),""),"")</f>
        <v/>
      </c>
      <c r="M107" s="430" t="str">
        <f>IF(ISNUMBER(SEARCH(M36,C107)),IFERROR((MAX('Pipe calculation'!serviceLifeDesigned)-INDEX(serviceLifeAG,8,10))/MAX('Pipe calculation'!serviceLifeDesigned),""),"")</f>
        <v/>
      </c>
      <c r="O107" s="432"/>
      <c r="P107" s="433"/>
      <c r="CW107" s="695" t="s">
        <v>1032</v>
      </c>
      <c r="CX107" s="735"/>
      <c r="CY107" s="735"/>
    </row>
    <row r="108" spans="1:103" s="436" customFormat="1" ht="31">
      <c r="A108" s="435"/>
      <c r="B108" s="429" t="s">
        <v>919</v>
      </c>
      <c r="C108" s="558" t="s">
        <v>1018</v>
      </c>
      <c r="D108" s="430">
        <f>IF(ISNUMBER(SEARCH(D36,C108)),IFERROR((MAX('Pipe calculation'!serviceLifeDesigned)-INDEX(serviceLifeAG,9,1))/MAX('Pipe calculation'!serviceLifeDesigned),""),"")</f>
        <v>-2.2285714285714286</v>
      </c>
      <c r="E108" s="430" t="str">
        <f>IF(ISNUMBER(SEARCH(E36,C108)),IFERROR((MAX('Pipe calculation'!serviceLifeDesigned)-INDEX(serviceLifeAG,9,2))/MAX('Pipe calculation'!serviceLifeDesigned),""),"")</f>
        <v/>
      </c>
      <c r="F108" s="430" t="str">
        <f>IF(ISNUMBER(SEARCH(F36,C108)),IFERROR((MAX('Pipe calculation'!serviceLifeDesigned)-INDEX(serviceLifeAG,9,3))/MAX('Pipe calculation'!serviceLifeDesigned),""),"")</f>
        <v/>
      </c>
      <c r="G108" s="430" t="str">
        <f>IF(ISNUMBER(SEARCH(G36,C108)),IFERROR((MAX('Pipe calculation'!serviceLifeDesigned)-INDEX(serviceLifeAG,9,4))/MAX('Pipe calculation'!serviceLifeDesigned),""),"")</f>
        <v/>
      </c>
      <c r="H108" s="430" t="str">
        <f>IF(ISNUMBER(SEARCH(H36,C108)),IFERROR((MAX('Pipe calculation'!serviceLifeDesigned)-INDEX(serviceLifeAG,9,5))/MAX('Pipe calculation'!serviceLifeDesigned),""),"")</f>
        <v/>
      </c>
      <c r="I108" s="430" t="str">
        <f>IF(ISNUMBER(SEARCH(I36,C108)),IFERROR((MAX('Pipe calculation'!serviceLifeDesigned)-INDEX(serviceLifeAG,9,6))/MAX('Pipe calculation'!serviceLifeDesigned),""),"")</f>
        <v/>
      </c>
      <c r="J108" s="430" t="str">
        <f>IF(ISNUMBER(SEARCH(J36,C108)),IFERROR((MAX('Pipe calculation'!serviceLifeDesigned)-INDEX(serviceLifeAG,9,7))/MAX('Pipe calculation'!serviceLifeDesigned),""),"")</f>
        <v/>
      </c>
      <c r="K108" s="430" t="str">
        <f>IF(ISNUMBER(SEARCH(K36,C108)),IFERROR((MAX('Pipe calculation'!serviceLifeDesigned)-INDEX(serviceLifeAG,9,8))/MAX('Pipe calculation'!serviceLifeDesigned),""),"")</f>
        <v/>
      </c>
      <c r="L108" s="430" t="str">
        <f>IF(ISNUMBER(SEARCH(L36,C108)),IFERROR((MAX('Pipe calculation'!serviceLifeDesigned)-INDEX(serviceLifeAG,9,9))/MAX('Pipe calculation'!serviceLifeDesigned),""),"")</f>
        <v/>
      </c>
      <c r="M108" s="430" t="str">
        <f>IF(ISNUMBER(SEARCH(M36,C108)),IFERROR((MAX('Pipe calculation'!serviceLifeDesigned)-INDEX(serviceLifeAG,9,10))/MAX('Pipe calculation'!serviceLifeDesigned),""),"")</f>
        <v/>
      </c>
      <c r="O108" s="432"/>
      <c r="P108" s="433"/>
      <c r="CW108" s="695" t="s">
        <v>1032</v>
      </c>
      <c r="CX108" s="735"/>
      <c r="CY108" s="735"/>
    </row>
    <row r="109" spans="1:103" s="436" customFormat="1" ht="21" hidden="1">
      <c r="A109" s="435"/>
      <c r="B109" s="429"/>
      <c r="C109" s="505"/>
      <c r="D109" s="430"/>
      <c r="E109" s="430"/>
      <c r="F109" s="430"/>
      <c r="G109" s="430"/>
      <c r="H109" s="430"/>
      <c r="I109" s="430"/>
      <c r="J109" s="430"/>
      <c r="K109" s="430"/>
      <c r="L109" s="430"/>
      <c r="M109" s="430"/>
      <c r="O109" s="432"/>
      <c r="P109" s="433"/>
      <c r="CW109" s="695" t="s">
        <v>1032</v>
      </c>
      <c r="CX109" s="735"/>
      <c r="CY109" s="735"/>
    </row>
    <row r="110" spans="1:103" s="431" customFormat="1" ht="34" hidden="1">
      <c r="A110" s="437" t="s">
        <v>499</v>
      </c>
      <c r="B110" s="429" t="s">
        <v>924</v>
      </c>
      <c r="C110" s="804" t="s">
        <v>996</v>
      </c>
      <c r="D110" s="438" t="str">
        <f>IF(ISNUMBER(SEARCH(D36,C110)),IFERROR(INDEX(numElectrodesAG,1,1)*INDEX(factorVoltageMarginCP,1,1)*INDEX(resistanceEndLifeAG,1,1),""),"")</f>
        <v/>
      </c>
      <c r="E110" s="438" t="str">
        <f>IF(ISNUMBER(SEARCH(E36,C110)),IFERROR(INDEX(numElectrodesAG,1,2)*INDEX(factorVoltageMarginCP,1,2)*INDEX(resistanceEndLifeAG,1,2),""),"")</f>
        <v/>
      </c>
      <c r="F110" s="438" t="str">
        <f>IF(ISNUMBER(SEARCH(F36,C110)),IFERROR(INDEX(numElectrodesAG,1,3)*INDEX(factorVoltageMarginCP,1,3)*INDEX(resistanceEndLifeAG,1,3),""),"")</f>
        <v/>
      </c>
      <c r="G110" s="438" t="str">
        <f>IF(ISNUMBER(SEARCH(G36,C110)),IFERROR(INDEX(numElectrodesAG,1,4)*INDEX(factorVoltageMarginCP,1,4)*INDEX(resistanceEndLifeAG,1,4),""),"")</f>
        <v/>
      </c>
      <c r="H110" s="438" t="str">
        <f>IF(ISNUMBER(SEARCH(H36,C110)),IFERROR(INDEX(numElectrodesAG,1,5)*INDEX(factorVoltageMarginCP,1,5)*INDEX(resistanceEndLifeAG,1,5),""),"")</f>
        <v/>
      </c>
      <c r="I110" s="438" t="str">
        <f>IF(ISNUMBER(SEARCH(I36,C110)),IFERROR(INDEX(numElectrodesAG,1,6)*INDEX(factorVoltageMarginCP,1,6)*INDEX(resistanceEndLifeAG,1,6),""),"")</f>
        <v/>
      </c>
      <c r="J110" s="438" t="str">
        <f>IF(ISNUMBER(SEARCH(J36,C110)),IFERROR(INDEX(numElectrodesAG,1,7)*INDEX(factorVoltageMarginCP,1,7)*INDEX(resistanceEndLifeAG,1,7),""),"")</f>
        <v/>
      </c>
      <c r="K110" s="438" t="str">
        <f>IF(ISNUMBER(SEARCH(K36,C110)),IFERROR(INDEX(numElectrodesAG,1,8)*INDEX(factorVoltageMarginCP,1,8)*INDEX(resistanceEndLifeAG,1,8),""),"")</f>
        <v/>
      </c>
      <c r="L110" s="438" t="str">
        <f>IF(ISNUMBER(SEARCH(L36,C110)),IFERROR(INDEX(numElectrodesAG,1,9)*INDEX(factorVoltageMarginCP,1,9)*INDEX(resistanceEndLifeAG,1,9),""),"")</f>
        <v/>
      </c>
      <c r="M110" s="438" t="str">
        <f>IF(ISNUMBER(SEARCH(M36,C110)),IFERROR(INDEX(numElectrodesAG,1,10)*INDEX(factorVoltageMarginCP,1,10)*INDEX(resistanceEndLifeAG,1,10),""),"")</f>
        <v/>
      </c>
      <c r="O110" s="432"/>
      <c r="P110" s="433"/>
      <c r="CW110" s="695" t="s">
        <v>1032</v>
      </c>
      <c r="CX110" s="732"/>
      <c r="CY110" s="732"/>
    </row>
    <row r="111" spans="1:103" s="431" customFormat="1" ht="35" hidden="1">
      <c r="A111" s="437"/>
      <c r="B111" s="429" t="s">
        <v>924</v>
      </c>
      <c r="C111" s="559" t="s">
        <v>997</v>
      </c>
      <c r="D111" s="438" t="str">
        <f>IF(ISNUMBER(SEARCH(D36,C111)),IFERROR(INDEX(numElectrodesAG,2,1)*INDEX(factorVoltageMarginCP,1,1)*INDEX(resistanceEndLifeAG,1,1),""),"")</f>
        <v/>
      </c>
      <c r="E111" s="438" t="str">
        <f>IF(ISNUMBER(SEARCH(E36,C111)),IFERROR(INDEX(numElectrodesAG,2,2)*INDEX(factorVoltageMarginCP,1,2)*INDEX(resistanceEndLifeAG,1,2),""),"")</f>
        <v/>
      </c>
      <c r="F111" s="438" t="str">
        <f>IF(ISNUMBER(SEARCH(F36,C111)),IFERROR(INDEX(numElectrodesAG,2,3)*INDEX(factorVoltageMarginCP,1,3)*INDEX(resistanceEndLifeAG,1,3),""),"")</f>
        <v/>
      </c>
      <c r="G111" s="438" t="str">
        <f>IF(ISNUMBER(SEARCH(G36,C111)),IFERROR(INDEX(numElectrodesAG,2,4)*INDEX(factorVoltageMarginCP,1,4)*INDEX(resistanceEndLifeAG,1,4),""),"")</f>
        <v/>
      </c>
      <c r="H111" s="438" t="str">
        <f>IF(ISNUMBER(SEARCH(H36,C111)),IFERROR(INDEX(numElectrodesAG,2,5)*INDEX(factorVoltageMarginCP,1,5)*INDEX(resistanceEndLifeAG,1,5),""),"")</f>
        <v/>
      </c>
      <c r="I111" s="438" t="str">
        <f>IF(ISNUMBER(SEARCH(I36,C111)),IFERROR(INDEX(numElectrodesAG,2,6)*INDEX(factorVoltageMarginCP,1,6)*INDEX(resistanceEndLifeAG,1,6),""),"")</f>
        <v/>
      </c>
      <c r="J111" s="438" t="str">
        <f>IF(ISNUMBER(SEARCH(J36,C111)),IFERROR(INDEX(numElectrodesAG,2,7)*INDEX(factorVoltageMarginCP,1,7)*INDEX(resistanceEndLifeAG,1,7),""),"")</f>
        <v/>
      </c>
      <c r="K111" s="438" t="str">
        <f>IF(ISNUMBER(SEARCH(K36,C111)),IFERROR(INDEX(numElectrodesAG,2,8)*INDEX(factorVoltageMarginCP,1,8)*INDEX(resistanceEndLifeAG,1,8),""),"")</f>
        <v/>
      </c>
      <c r="L111" s="438" t="str">
        <f>IF(ISNUMBER(SEARCH(L36,C111)),IFERROR(INDEX(numElectrodesAG,2,9)*INDEX(factorVoltageMarginCP,1,9)*INDEX(resistanceEndLifeAG,1,9),""),"")</f>
        <v/>
      </c>
      <c r="M111" s="438" t="str">
        <f>IF(ISNUMBER(SEARCH(M36,C111)),IFERROR(INDEX(numElectrodesAG,2,10)*INDEX(factorVoltageMarginCP,1,10)*INDEX(resistanceEndLifeAG,1,10),""),"")</f>
        <v/>
      </c>
      <c r="O111" s="432"/>
      <c r="P111" s="433"/>
      <c r="CW111" s="695" t="s">
        <v>1032</v>
      </c>
      <c r="CX111" s="732"/>
      <c r="CY111" s="732"/>
    </row>
    <row r="112" spans="1:103" s="431" customFormat="1" ht="35" hidden="1">
      <c r="A112" s="437"/>
      <c r="B112" s="429" t="s">
        <v>924</v>
      </c>
      <c r="C112" s="559" t="s">
        <v>1019</v>
      </c>
      <c r="D112" s="438" t="str">
        <f>IF(ISNUMBER(SEARCH(D36,C112)),IFERROR(INDEX(numElectrodesAG,3,1)*INDEX(factorVoltageMarginCP,1,1)*INDEX(resistanceEndLifeAG,1,1),""),"")</f>
        <v/>
      </c>
      <c r="E112" s="438" t="str">
        <f>IF(ISNUMBER(SEARCH(E36,C112)),IFERROR(INDEX(numElectrodesAG,3,2)*INDEX(factorVoltageMarginCP,1,2)*INDEX(resistanceEndLifeAG,1,2),""),"")</f>
        <v/>
      </c>
      <c r="F112" s="438" t="str">
        <f>IF(ISNUMBER(SEARCH(F36,C112)),IFERROR(INDEX(numElectrodesAG,3,3)*INDEX(factorVoltageMarginCP,1,3)*INDEX(resistanceEndLifeAG,1,3),""),"")</f>
        <v/>
      </c>
      <c r="G112" s="438" t="str">
        <f>IF(ISNUMBER(SEARCH(G36,C112)),IFERROR(INDEX(numElectrodesAG,3,4)*INDEX(factorVoltageMarginCP,1,4)*INDEX(resistanceEndLifeAG,1,4),""),"")</f>
        <v/>
      </c>
      <c r="H112" s="438" t="str">
        <f>IF(ISNUMBER(SEARCH(H36,C112)),IFERROR(INDEX(numElectrodesAG,3,5)*INDEX(factorVoltageMarginCP,1,5)*INDEX(resistanceEndLifeAG,1,5),""),"")</f>
        <v/>
      </c>
      <c r="I112" s="438" t="str">
        <f>IF(ISNUMBER(SEARCH(I36,C112)),IFERROR(INDEX(numElectrodesAG,3,6)*INDEX(factorVoltageMarginCP,1,6)*INDEX(resistanceEndLifeAG,1,6),""),"")</f>
        <v/>
      </c>
      <c r="J112" s="438" t="str">
        <f>IF(ISNUMBER(SEARCH(J36,C112)),IFERROR(INDEX(numElectrodesAG,3,7)*INDEX(factorVoltageMarginCP,1,7)*INDEX(resistanceEndLifeAG,1,7),""),"")</f>
        <v/>
      </c>
      <c r="K112" s="438" t="str">
        <f>IF(ISNUMBER(SEARCH(K36,C112)),IFERROR(INDEX(numElectrodesAG,3,8)*INDEX(factorVoltageMarginCP,1,8)*INDEX(resistanceEndLifeAG,1,8),""),"")</f>
        <v/>
      </c>
      <c r="L112" s="438" t="str">
        <f>IF(ISNUMBER(SEARCH(L36,C112)),IFERROR(INDEX(numElectrodesAG,3,9)*INDEX(factorVoltageMarginCP,1,9)*INDEX(resistanceEndLifeAG,1,9),""),"")</f>
        <v/>
      </c>
      <c r="M112" s="438" t="str">
        <f>IF(ISNUMBER(SEARCH(M36,C112)),IFERROR(INDEX(numElectrodesAG,3,10)*INDEX(factorVoltageMarginCP,1,10)*INDEX(resistanceEndLifeAG,1,10),""),"")</f>
        <v/>
      </c>
      <c r="O112" s="432"/>
      <c r="P112" s="433"/>
      <c r="CW112" s="695" t="s">
        <v>1032</v>
      </c>
      <c r="CX112" s="732"/>
      <c r="CY112" s="732"/>
    </row>
    <row r="113" spans="1:103" s="431" customFormat="1" ht="35" hidden="1">
      <c r="A113" s="437"/>
      <c r="B113" s="429" t="s">
        <v>924</v>
      </c>
      <c r="C113" s="559" t="s">
        <v>998</v>
      </c>
      <c r="D113" s="438" t="str">
        <f>IF(ISNUMBER(SEARCH(D36,C113)),IFERROR(INDEX(numElectrodesAG,4,1)*INDEX(factorVoltageMarginCP,1,1)*INDEX(resistanceEndLifeAG,1,1),""),"")</f>
        <v/>
      </c>
      <c r="E113" s="438" t="str">
        <f>IF(ISNUMBER(SEARCH(E36,C113)),IFERROR(INDEX(numElectrodesAG,4,2)*INDEX(factorVoltageMarginCP,1,2)*INDEX(resistanceEndLifeAG,1,2),""),"")</f>
        <v/>
      </c>
      <c r="F113" s="438" t="str">
        <f>IF(ISNUMBER(SEARCH(F36,C113)),IFERROR(INDEX(numElectrodesAG,4,3)*INDEX(factorVoltageMarginCP,1,3)*INDEX(resistanceEndLifeAG,1,3),""),"")</f>
        <v/>
      </c>
      <c r="G113" s="438" t="str">
        <f>IF(ISNUMBER(SEARCH(G36,C113)),IFERROR(INDEX(numElectrodesAG,4,4)*INDEX(factorVoltageMarginCP,1,4)*INDEX(resistanceEndLifeAG,1,4),""),"")</f>
        <v/>
      </c>
      <c r="H113" s="438" t="str">
        <f>IF(ISNUMBER(SEARCH(H36,C113)),IFERROR(INDEX(numElectrodesAG,4,5)*INDEX(factorVoltageMarginCP,1,5)*INDEX(resistanceEndLifeAG,1,5),""),"")</f>
        <v/>
      </c>
      <c r="I113" s="438" t="str">
        <f>IF(ISNUMBER(SEARCH(I36,C113)),IFERROR(INDEX(numElectrodesAG,4,6)*INDEX(factorVoltageMarginCP,1,6)*INDEX(resistanceEndLifeAG,1,6),""),"")</f>
        <v/>
      </c>
      <c r="J113" s="438" t="str">
        <f>IF(ISNUMBER(SEARCH(J36,C113)),IFERROR(INDEX(numElectrodesAG,4,7)*INDEX(factorVoltageMarginCP,1,7)*INDEX(resistanceEndLifeAG,1,7),""),"")</f>
        <v/>
      </c>
      <c r="K113" s="438" t="str">
        <f>IF(ISNUMBER(SEARCH(K36,C113)),IFERROR(INDEX(numElectrodesAG,4,8)*INDEX(factorVoltageMarginCP,1,8)*INDEX(resistanceEndLifeAG,1,8),""),"")</f>
        <v/>
      </c>
      <c r="L113" s="438" t="str">
        <f>IF(ISNUMBER(SEARCH(L36,C113)),IFERROR(INDEX(numElectrodesAG,4,9)*INDEX(factorVoltageMarginCP,1,9)*INDEX(resistanceEndLifeAG,1,9),""),"")</f>
        <v/>
      </c>
      <c r="M113" s="438" t="str">
        <f>IF(ISNUMBER(SEARCH(M36,C113)),IFERROR(INDEX(numElectrodesAG,4,10)*INDEX(factorVoltageMarginCP,1,10)*INDEX(resistanceEndLifeAG,1,10),""),"")</f>
        <v/>
      </c>
      <c r="O113" s="432"/>
      <c r="P113" s="433"/>
      <c r="CW113" s="695" t="s">
        <v>1032</v>
      </c>
      <c r="CX113" s="732"/>
      <c r="CY113" s="732"/>
    </row>
    <row r="114" spans="1:103" s="431" customFormat="1" ht="35" hidden="1">
      <c r="A114" s="805"/>
      <c r="B114" s="429" t="s">
        <v>924</v>
      </c>
      <c r="C114" s="559" t="s">
        <v>1020</v>
      </c>
      <c r="D114" s="438" t="str">
        <f>IF(ISNUMBER(SEARCH(D36,C114)),IFERROR(INDEX(numElectrodesAG,5,1)*INDEX(factorVoltageMarginCP,1,1)*INDEX(resistanceEndLifeAG,1,1),""),"")</f>
        <v/>
      </c>
      <c r="E114" s="438" t="str">
        <f>IF(ISNUMBER(SEARCH(E36,C114)),IFERROR(INDEX(numElectrodesAG,5,2)*INDEX(factorVoltageMarginCP,1,2)*INDEX(resistanceEndLifeAG,1,2),""),"")</f>
        <v/>
      </c>
      <c r="F114" s="438" t="str">
        <f>IF(ISNUMBER(SEARCH(F36,C114)),IFERROR(INDEX(numElectrodesAG,5,3)*INDEX(factorVoltageMarginCP,1,3)*INDEX(resistanceEndLifeAG,1,3),""),"")</f>
        <v/>
      </c>
      <c r="G114" s="438" t="str">
        <f>IF(ISNUMBER(SEARCH(G36,C114)),IFERROR(INDEX(numElectrodesAG,5,4)*INDEX(factorVoltageMarginCP,1,4)*INDEX(resistanceEndLifeAG,1,4),""),"")</f>
        <v/>
      </c>
      <c r="H114" s="438" t="str">
        <f>IF(ISNUMBER(SEARCH(H36,C114)),IFERROR(INDEX(numElectrodesAG,5,5)*INDEX(factorVoltageMarginCP,1,5)*INDEX(resistanceEndLifeAG,1,5),""),"")</f>
        <v/>
      </c>
      <c r="I114" s="438" t="str">
        <f>IF(ISNUMBER(SEARCH(I36,C114)),IFERROR(INDEX(numElectrodesAG,5,6)*INDEX(factorVoltageMarginCP,1,6)*INDEX(resistanceEndLifeAG,1,6),""),"")</f>
        <v/>
      </c>
      <c r="J114" s="438" t="str">
        <f>IF(ISNUMBER(SEARCH(J36,C114)),IFERROR(INDEX(numElectrodesAG,5,7)*INDEX(factorVoltageMarginCP,1,7)*INDEX(resistanceEndLifeAG,1,7),""),"")</f>
        <v/>
      </c>
      <c r="K114" s="438" t="str">
        <f>IF(ISNUMBER(SEARCH(K36,C114)),IFERROR(INDEX(numElectrodesAG,5,8)*INDEX(factorVoltageMarginCP,1,8)*INDEX(resistanceEndLifeAG,1,8),""),"")</f>
        <v/>
      </c>
      <c r="L114" s="438" t="str">
        <f>IF(ISNUMBER(SEARCH(L36,C114)),IFERROR(INDEX(numElectrodesAG,5,9)*INDEX(factorVoltageMarginCP,1,9)*INDEX(resistanceEndLifeAG,1,9),""),"")</f>
        <v/>
      </c>
      <c r="M114" s="438" t="str">
        <f>IF(ISNUMBER(SEARCH(M36,C114)),IFERROR(INDEX(numElectrodesAG,5,10)*INDEX(factorVoltageMarginCP,1,10)*INDEX(resistanceEndLifeAG,1,10),""),"")</f>
        <v/>
      </c>
      <c r="O114" s="432"/>
      <c r="P114" s="433"/>
      <c r="CW114" s="695" t="s">
        <v>1032</v>
      </c>
      <c r="CX114" s="732"/>
      <c r="CY114" s="732"/>
    </row>
    <row r="115" spans="1:103" s="431" customFormat="1" ht="35" hidden="1">
      <c r="A115" s="437"/>
      <c r="B115" s="429" t="s">
        <v>924</v>
      </c>
      <c r="C115" s="559" t="s">
        <v>1090</v>
      </c>
      <c r="D115" s="438" t="str">
        <f>IF(ISNUMBER(SEARCH(D36,C115)),IFERROR(INDEX(numElectrodesAG,6,1)*INDEX(factorVoltageMarginCP,1,1)*INDEX(resistanceEndLifeAG,1,1),""),"")</f>
        <v/>
      </c>
      <c r="E115" s="438" t="str">
        <f>IF(ISNUMBER(SEARCH(E36,C115)),IFERROR(INDEX(numElectrodesAG,6,2)*INDEX(factorVoltageMarginCP,1,2)*INDEX(resistanceEndLifeAG,1,2),""),"")</f>
        <v/>
      </c>
      <c r="F115" s="438" t="str">
        <f>IF(ISNUMBER(SEARCH(F36,C115)),IFERROR(INDEX(numElectrodesAG,6,3)*INDEX(factorVoltageMarginCP,1,3)*INDEX(resistanceEndLifeAG,1,3),""),"")</f>
        <v/>
      </c>
      <c r="G115" s="438" t="str">
        <f>IF(ISNUMBER(SEARCH(G36,C115)),IFERROR(INDEX(numElectrodesAG,6,4)*INDEX(factorVoltageMarginCP,1,4)*INDEX(resistanceEndLifeAG,1,4),""),"")</f>
        <v/>
      </c>
      <c r="H115" s="438" t="str">
        <f>IF(ISNUMBER(SEARCH(H36,C115)),IFERROR(INDEX(numElectrodesAG,6,5)*INDEX(factorVoltageMarginCP,1,5)*INDEX(resistanceEndLifeAG,1,5),""),"")</f>
        <v/>
      </c>
      <c r="I115" s="438" t="str">
        <f>IF(ISNUMBER(SEARCH(I36,C115)),IFERROR(INDEX(numElectrodesAG,6,6)*INDEX(factorVoltageMarginCP,1,6)*INDEX(resistanceEndLifeAG,1,6),""),"")</f>
        <v/>
      </c>
      <c r="J115" s="438" t="str">
        <f>IF(ISNUMBER(SEARCH(J36,C115)),IFERROR(INDEX(numElectrodesAG,6,7)*INDEX(factorVoltageMarginCP,1,7)*INDEX(resistanceEndLifeAG,1,7),""),"")</f>
        <v/>
      </c>
      <c r="K115" s="438" t="str">
        <f>IF(ISNUMBER(SEARCH(K36,C115)),IFERROR(INDEX(numElectrodesAG,6,8)*INDEX(factorVoltageMarginCP,1,8)*INDEX(resistanceEndLifeAG,1,8),""),"")</f>
        <v/>
      </c>
      <c r="L115" s="438" t="str">
        <f>IF(ISNUMBER(SEARCH(L36,C115)),IFERROR(INDEX(numElectrodesAG,6,9)*INDEX(factorVoltageMarginCP,1,9)*INDEX(resistanceEndLifeAG,1,9),""),"")</f>
        <v/>
      </c>
      <c r="M115" s="438" t="str">
        <f>IF(ISNUMBER(SEARCH(M36,C115)),IFERROR(INDEX(numElectrodesAG,6,10)*INDEX(factorVoltageMarginCP,1,10)*INDEX(resistanceEndLifeAG,1,10),""),"")</f>
        <v/>
      </c>
      <c r="O115" s="432"/>
      <c r="P115" s="433"/>
      <c r="CW115" s="695" t="s">
        <v>1032</v>
      </c>
      <c r="CX115" s="732"/>
      <c r="CY115" s="732"/>
    </row>
    <row r="116" spans="1:103" s="431" customFormat="1" ht="35" hidden="1">
      <c r="A116" s="437"/>
      <c r="B116" s="429" t="s">
        <v>925</v>
      </c>
      <c r="C116" s="559" t="s">
        <v>1021</v>
      </c>
      <c r="D116" s="438" t="str">
        <f>IF(ISNUMBER(SEARCH(D36,C116)),IFERROR(INDEX(numElectrodesAG,7,1)*INDEX(factorVoltageMarginCP,1,1)*INDEX(resistanceEndLifeAG,1,1),""),"")</f>
        <v/>
      </c>
      <c r="E116" s="438" t="str">
        <f>IF(ISNUMBER(SEARCH(E36,C116)),IFERROR(INDEX(numElectrodesAG,7,2)*INDEX(factorVoltageMarginCP,1,2)*INDEX(resistanceEndLifeAG,1,2),""),"")</f>
        <v/>
      </c>
      <c r="F116" s="438" t="str">
        <f>IF(ISNUMBER(SEARCH(F36,C116)),IFERROR(INDEX(numElectrodesAG,7,3)*INDEX(factorVoltageMarginCP,1,3)*INDEX(resistanceEndLifeAG,1,3),""),"")</f>
        <v/>
      </c>
      <c r="G116" s="438" t="str">
        <f>IF(ISNUMBER(SEARCH(G36,C116)),IFERROR(INDEX(numElectrodesAG,7,4)*INDEX(factorVoltageMarginCP,1,4)*INDEX(resistanceEndLifeAG,1,4),""),"")</f>
        <v/>
      </c>
      <c r="H116" s="438" t="str">
        <f>IF(ISNUMBER(SEARCH(H36,C116)),IFERROR(INDEX(numElectrodesAG,7,5)*INDEX(factorVoltageMarginCP,1,5)*INDEX(resistanceEndLifeAG,1,5),""),"")</f>
        <v/>
      </c>
      <c r="I116" s="438" t="str">
        <f>IF(ISNUMBER(SEARCH(I36,C116)),IFERROR(INDEX(numElectrodesAG,7,6)*INDEX(factorVoltageMarginCP,1,6)*INDEX(resistanceEndLifeAG,1,6),""),"")</f>
        <v/>
      </c>
      <c r="J116" s="438" t="str">
        <f>IF(ISNUMBER(SEARCH(J36,C116)),IFERROR(INDEX(numElectrodesAG,7,7)*INDEX(factorVoltageMarginCP,1,7)*INDEX(resistanceEndLifeAG,1,7),""),"")</f>
        <v/>
      </c>
      <c r="K116" s="438" t="str">
        <f>IF(ISNUMBER(SEARCH(K36,C116)),IFERROR(INDEX(numElectrodesAG,7,8)*INDEX(factorVoltageMarginCP,1,8)*INDEX(resistanceEndLifeAG,1,8),""),"")</f>
        <v/>
      </c>
      <c r="L116" s="438" t="str">
        <f>IF(ISNUMBER(SEARCH(L36,C116)),IFERROR(INDEX(numElectrodesAG,7,9)*INDEX(factorVoltageMarginCP,1,9)*INDEX(resistanceEndLifeAG,1,9),""),"")</f>
        <v/>
      </c>
      <c r="M116" s="438" t="str">
        <f>IF(ISNUMBER(SEARCH(M36,C116)),IFERROR(INDEX(numElectrodesAG,7,10)*INDEX(factorVoltageMarginCP,1,10)*INDEX(resistanceEndLifeAG,1,10),""),"")</f>
        <v/>
      </c>
      <c r="O116" s="432"/>
      <c r="P116" s="433"/>
      <c r="CW116" s="695" t="s">
        <v>1032</v>
      </c>
      <c r="CX116" s="732"/>
      <c r="CY116" s="732"/>
    </row>
    <row r="117" spans="1:103" s="431" customFormat="1" ht="35" hidden="1">
      <c r="A117" s="437"/>
      <c r="B117" s="429" t="s">
        <v>924</v>
      </c>
      <c r="C117" s="559" t="s">
        <v>1022</v>
      </c>
      <c r="D117" s="438" t="str">
        <f>IF(ISNUMBER(SEARCH(D36,C117)),IFERROR(INDEX(numElectrodesAG,8,1)*INDEX(factorVoltageMarginCP,1,1)*INDEX(resistanceEndLifeAG,1,1),""),"")</f>
        <v/>
      </c>
      <c r="E117" s="438" t="str">
        <f>IF(ISNUMBER(SEARCH(E36,C117)),IFERROR(INDEX(numElectrodesAG,8,2)*INDEX(factorVoltageMarginCP,1,2)*INDEX(resistanceEndLifeAG,1,2),""),"")</f>
        <v/>
      </c>
      <c r="F117" s="438" t="str">
        <f>IF(ISNUMBER(SEARCH(F36,C117)),IFERROR(INDEX(numElectrodesAG,8,3)*INDEX(factorVoltageMarginCP,1,3)*INDEX(resistanceEndLifeAG,1,3),""),"")</f>
        <v/>
      </c>
      <c r="G117" s="438" t="str">
        <f>IF(ISNUMBER(SEARCH(G36,C117)),IFERROR(INDEX(numElectrodesAG,8,4)*INDEX(factorVoltageMarginCP,1,4)*INDEX(resistanceEndLifeAG,1,4),""),"")</f>
        <v/>
      </c>
      <c r="H117" s="438" t="str">
        <f>IF(ISNUMBER(SEARCH(H36,C117)),IFERROR(INDEX(numElectrodesAG,8,5)*INDEX(factorVoltageMarginCP,1,5)*INDEX(resistanceEndLifeAG,1,5),""),"")</f>
        <v/>
      </c>
      <c r="I117" s="438" t="str">
        <f>IF(ISNUMBER(SEARCH(I36,C117)),IFERROR(INDEX(numElectrodesAG,8,6)*INDEX(factorVoltageMarginCP,1,6)*INDEX(resistanceEndLifeAG,1,6),""),"")</f>
        <v/>
      </c>
      <c r="J117" s="438" t="str">
        <f>IF(ISNUMBER(SEARCH(J36,C117)),IFERROR(INDEX(numElectrodesAG,8,7)*INDEX(factorVoltageMarginCP,1,7)*INDEX(resistanceEndLifeAG,1,7),""),"")</f>
        <v/>
      </c>
      <c r="K117" s="438" t="str">
        <f>IF(ISNUMBER(SEARCH(K36,C117)),IFERROR(INDEX(numElectrodesAG,8,8)*INDEX(factorVoltageMarginCP,1,8)*INDEX(resistanceEndLifeAG,1,8),""),"")</f>
        <v/>
      </c>
      <c r="L117" s="438" t="str">
        <f>IF(ISNUMBER(SEARCH(L36,C117)),IFERROR(INDEX(numElectrodesAG,8,9)*INDEX(factorVoltageMarginCP,1,9)*INDEX(resistanceEndLifeAG,1,9),""),"")</f>
        <v/>
      </c>
      <c r="M117" s="438" t="str">
        <f>IF(ISNUMBER(SEARCH(M36,C117)),IFERROR(INDEX(numElectrodesAG,1,10)*INDEX(factorVoltageMarginCP,1,10)*INDEX(resistanceEndLifeAG,1,10),""),"")</f>
        <v/>
      </c>
      <c r="O117" s="432"/>
      <c r="P117" s="433"/>
      <c r="CW117" s="695" t="s">
        <v>1032</v>
      </c>
      <c r="CX117" s="732"/>
      <c r="CY117" s="732"/>
    </row>
    <row r="118" spans="1:103" s="431" customFormat="1" ht="36" thickBot="1">
      <c r="A118" s="437"/>
      <c r="B118" s="429" t="s">
        <v>924</v>
      </c>
      <c r="C118" s="559" t="s">
        <v>999</v>
      </c>
      <c r="D118" s="438">
        <f>IF(ISNUMBER(SEARCH(D36,C118)),IFERROR(INDEX(numElectrodesAG,9,1)*INDEX(factorVoltageMarginCP,1,1)*INDEX(resistanceEndLifeAG,1,1),""),"")</f>
        <v>15.35726657163811</v>
      </c>
      <c r="E118" s="438" t="str">
        <f>IF(ISNUMBER(SEARCH(E36,C118)),IFERROR(INDEX(numElectrodesAG,9,2)*INDEX(factorVoltageMarginCP,1,2)*INDEX(resistanceEndLifeAG,1,2),""),"")</f>
        <v/>
      </c>
      <c r="F118" s="438" t="str">
        <f>IF(ISNUMBER(SEARCH(F36,C118)),IFERROR(INDEX(numElectrodesAG,9,3)*INDEX(factorVoltageMarginCP,1,3)*INDEX(resistanceEndLifeAG,1,3),""),"")</f>
        <v/>
      </c>
      <c r="G118" s="438" t="str">
        <f>IF(ISNUMBER(SEARCH(G36,C118)),IFERROR(INDEX(numElectrodesAG,9,4)*INDEX(factorVoltageMarginCP,1,4)*INDEX(resistanceEndLifeAG,1,4),""),"")</f>
        <v/>
      </c>
      <c r="H118" s="438" t="str">
        <f>IF(ISNUMBER(SEARCH(H36,C118)),IFERROR(INDEX(numElectrodesAG,9,5)*INDEX(factorVoltageMarginCP,1,5)*INDEX(resistanceEndLifeAG,1,5),""),"")</f>
        <v/>
      </c>
      <c r="I118" s="438" t="str">
        <f>IF(ISNUMBER(SEARCH(I36,C118)),IFERROR(INDEX(numElectrodesAG,9,6)*INDEX(factorVoltageMarginCP,1,6)*INDEX(resistanceEndLifeAG,1,6),""),"")</f>
        <v/>
      </c>
      <c r="J118" s="438" t="str">
        <f>IF(ISNUMBER(SEARCH(J36,C118)),IFERROR(INDEX(numElectrodesAG,9,7)*INDEX(factorVoltageMarginCP,1,7)*INDEX(resistanceEndLifeAG,1,7),""),"")</f>
        <v/>
      </c>
      <c r="K118" s="438" t="str">
        <f>IF(ISNUMBER(SEARCH(K36,C118)),IFERROR(INDEX(numElectrodesAG,9,8)*INDEX(factorVoltageMarginCP,1,8)*INDEX(resistanceEndLifeAG,1,8),""),"")</f>
        <v/>
      </c>
      <c r="L118" s="438" t="str">
        <f>IF(ISNUMBER(SEARCH(L36,C118)),IFERROR(INDEX(numElectrodesAG,9,9)*INDEX(factorVoltageMarginCP,1,9)*INDEX(resistanceEndLifeAG,1,9),""),"")</f>
        <v/>
      </c>
      <c r="M118" s="438" t="str">
        <f>IF(ISNUMBER(SEARCH(M36,C118)),IFERROR(INDEX(numElectrodesAG,9,10)*INDEX(factorVoltageMarginCP,1,10)*INDEX(resistanceEndLifeAG,1,10),""),"")</f>
        <v/>
      </c>
      <c r="O118" s="432"/>
      <c r="P118" s="433"/>
      <c r="CW118" s="696" t="s">
        <v>1032</v>
      </c>
      <c r="CX118" s="732"/>
      <c r="CY118" s="732"/>
    </row>
    <row r="119" spans="1:103" s="442" customFormat="1" ht="16" hidden="1" customHeight="1">
      <c r="A119" s="435"/>
      <c r="C119" s="443"/>
      <c r="D119" s="443"/>
      <c r="E119" s="443"/>
      <c r="F119" s="443"/>
      <c r="G119" s="443"/>
      <c r="H119" s="443"/>
      <c r="I119" s="443"/>
      <c r="J119" s="443"/>
      <c r="K119" s="443"/>
      <c r="L119" s="443"/>
      <c r="M119" s="443"/>
      <c r="N119" s="444"/>
      <c r="O119" s="432"/>
      <c r="P119" s="433"/>
      <c r="CY119" s="726"/>
    </row>
    <row r="120" spans="1:103" s="442" customFormat="1" ht="16" hidden="1" customHeight="1">
      <c r="A120" s="435"/>
      <c r="C120" s="445"/>
      <c r="D120" s="446"/>
      <c r="E120" s="446"/>
      <c r="F120" s="446"/>
      <c r="G120" s="446"/>
      <c r="H120" s="446"/>
      <c r="I120" s="446"/>
      <c r="J120" s="446"/>
      <c r="K120" s="446"/>
      <c r="L120" s="446"/>
      <c r="M120" s="446"/>
      <c r="N120" s="444"/>
      <c r="O120" s="447"/>
      <c r="P120" s="447"/>
      <c r="CY120" s="726"/>
    </row>
    <row r="121" spans="1:103">
      <c r="A121" s="404"/>
    </row>
    <row r="122" spans="1:103">
      <c r="A122" s="404"/>
    </row>
    <row r="124" spans="1:103">
      <c r="L124" s="466"/>
    </row>
    <row r="125" spans="1:103">
      <c r="L125" s="466"/>
    </row>
    <row r="145" spans="2:103" ht="30" customHeight="1"/>
    <row r="147" spans="2:103">
      <c r="D147" s="126"/>
      <c r="E147" s="126"/>
      <c r="F147" s="126"/>
      <c r="G147" s="126"/>
      <c r="H147" s="126"/>
      <c r="I147" s="126"/>
      <c r="J147" s="126"/>
      <c r="K147" s="126"/>
      <c r="L147" s="126"/>
      <c r="M147" s="126"/>
    </row>
    <row r="148" spans="2:103" s="126" customFormat="1" ht="14">
      <c r="K148" s="405"/>
      <c r="L148" s="406"/>
      <c r="M148" s="405"/>
      <c r="CX148" s="707"/>
      <c r="CY148" s="727"/>
    </row>
    <row r="149" spans="2:103" s="126" customFormat="1" ht="14">
      <c r="B149" s="409"/>
      <c r="N149" s="410"/>
      <c r="AQ149" s="405"/>
      <c r="AR149" s="142"/>
      <c r="CX149" s="707"/>
      <c r="CY149" s="727"/>
    </row>
    <row r="150" spans="2:103" s="126" customFormat="1" ht="14">
      <c r="B150" s="409"/>
      <c r="C150" s="142"/>
      <c r="N150" s="408"/>
      <c r="O150" s="407"/>
      <c r="P150" s="407"/>
      <c r="CX150" s="707"/>
      <c r="CY150" s="727"/>
    </row>
    <row r="151" spans="2:103" s="126" customFormat="1" ht="14">
      <c r="B151" s="409"/>
      <c r="C151" s="142"/>
      <c r="N151" s="408"/>
      <c r="O151" s="407"/>
      <c r="P151" s="407"/>
      <c r="CX151" s="707"/>
      <c r="CY151" s="727"/>
    </row>
    <row r="152" spans="2:103" s="126" customFormat="1" ht="14">
      <c r="B152" s="409"/>
      <c r="C152" s="142"/>
      <c r="N152" s="408"/>
      <c r="O152" s="407"/>
      <c r="P152" s="407"/>
      <c r="CX152" s="707"/>
      <c r="CY152" s="727"/>
    </row>
    <row r="153" spans="2:103" s="126" customFormat="1" ht="14">
      <c r="B153" s="409"/>
      <c r="C153" s="142"/>
      <c r="N153" s="408"/>
      <c r="O153" s="407"/>
      <c r="P153" s="407"/>
      <c r="CX153" s="707"/>
      <c r="CY153" s="727"/>
    </row>
    <row r="154" spans="2:103" s="126" customFormat="1" ht="14">
      <c r="B154" s="409"/>
      <c r="C154" s="142"/>
      <c r="N154" s="408"/>
      <c r="O154" s="407"/>
      <c r="P154" s="407"/>
      <c r="CX154" s="707"/>
      <c r="CY154" s="727"/>
    </row>
    <row r="155" spans="2:103" s="126" customFormat="1" ht="14">
      <c r="B155" s="409"/>
      <c r="C155" s="142"/>
      <c r="N155" s="408"/>
      <c r="O155" s="407"/>
      <c r="P155" s="407"/>
      <c r="CX155" s="707"/>
      <c r="CY155" s="727"/>
    </row>
    <row r="156" spans="2:103" s="126" customFormat="1" ht="14">
      <c r="B156" s="409"/>
      <c r="C156" s="142"/>
      <c r="N156" s="408"/>
      <c r="O156" s="407"/>
      <c r="P156" s="407"/>
      <c r="CX156" s="707"/>
      <c r="CY156" s="727"/>
    </row>
    <row r="157" spans="2:103" s="126" customFormat="1" ht="14">
      <c r="B157" s="409"/>
      <c r="C157" s="142"/>
      <c r="N157" s="408"/>
      <c r="O157" s="407"/>
      <c r="P157" s="407"/>
      <c r="CX157" s="707"/>
      <c r="CY157" s="727"/>
    </row>
    <row r="158" spans="2:103" s="126" customFormat="1" ht="14">
      <c r="B158" s="409"/>
      <c r="C158" s="142"/>
      <c r="N158" s="408"/>
      <c r="O158" s="407"/>
      <c r="P158" s="407"/>
      <c r="CX158" s="707"/>
      <c r="CY158" s="727"/>
    </row>
    <row r="159" spans="2:103" s="126" customFormat="1" ht="14">
      <c r="B159" s="409"/>
      <c r="C159" s="142"/>
      <c r="N159" s="408"/>
      <c r="O159" s="407"/>
      <c r="P159" s="407"/>
      <c r="CX159" s="707"/>
      <c r="CY159" s="727"/>
    </row>
    <row r="160" spans="2:103" s="126" customFormat="1" ht="14">
      <c r="B160" s="409"/>
      <c r="C160" s="142"/>
      <c r="N160" s="408"/>
      <c r="O160" s="407"/>
      <c r="P160" s="407"/>
      <c r="CX160" s="707"/>
      <c r="CY160" s="727"/>
    </row>
    <row r="161" spans="2:103" s="126" customFormat="1" ht="14">
      <c r="B161" s="409"/>
      <c r="C161" s="142"/>
      <c r="N161" s="408"/>
      <c r="O161" s="407"/>
      <c r="P161" s="407"/>
      <c r="CX161" s="707"/>
      <c r="CY161" s="727"/>
    </row>
    <row r="162" spans="2:103" s="126" customFormat="1" ht="14">
      <c r="B162" s="409"/>
      <c r="C162" s="142"/>
      <c r="N162" s="408"/>
      <c r="O162" s="407"/>
      <c r="P162" s="407"/>
      <c r="CX162" s="707"/>
      <c r="CY162" s="727"/>
    </row>
    <row r="163" spans="2:103" s="126" customFormat="1" ht="14">
      <c r="B163" s="409"/>
      <c r="C163" s="142"/>
      <c r="N163" s="408"/>
      <c r="O163" s="407"/>
      <c r="P163" s="407"/>
      <c r="CX163" s="707"/>
      <c r="CY163" s="727"/>
    </row>
    <row r="164" spans="2:103" s="126" customFormat="1" ht="14">
      <c r="B164" s="409"/>
      <c r="C164" s="142"/>
      <c r="N164" s="408"/>
      <c r="O164" s="407"/>
      <c r="P164" s="407"/>
      <c r="CX164" s="707"/>
      <c r="CY164" s="727"/>
    </row>
    <row r="165" spans="2:103" s="126" customFormat="1" ht="14">
      <c r="B165" s="409"/>
      <c r="C165" s="142"/>
      <c r="N165" s="408"/>
      <c r="O165" s="407"/>
      <c r="P165" s="407"/>
      <c r="CX165" s="707"/>
      <c r="CY165" s="727"/>
    </row>
    <row r="166" spans="2:103" s="126" customFormat="1" ht="14">
      <c r="B166" s="409"/>
      <c r="C166" s="142"/>
      <c r="N166" s="408"/>
      <c r="O166" s="407"/>
      <c r="P166" s="407"/>
      <c r="CX166" s="707"/>
      <c r="CY166" s="727"/>
    </row>
    <row r="167" spans="2:103" s="126" customFormat="1" ht="14">
      <c r="B167" s="409"/>
      <c r="C167" s="142"/>
      <c r="N167" s="408"/>
      <c r="O167" s="407"/>
      <c r="P167" s="407"/>
      <c r="CX167" s="707"/>
      <c r="CY167" s="727"/>
    </row>
    <row r="168" spans="2:103" s="126" customFormat="1" ht="14">
      <c r="B168" s="409"/>
      <c r="C168" s="142"/>
      <c r="N168" s="408"/>
      <c r="O168" s="407"/>
      <c r="P168" s="407"/>
      <c r="CX168" s="707"/>
      <c r="CY168" s="727"/>
    </row>
    <row r="169" spans="2:103" s="126" customFormat="1" ht="14">
      <c r="B169" s="409"/>
      <c r="C169" s="142"/>
      <c r="N169" s="408"/>
      <c r="O169" s="407"/>
      <c r="P169" s="407"/>
      <c r="CX169" s="707"/>
      <c r="CY169" s="727"/>
    </row>
    <row r="170" spans="2:103" s="126" customFormat="1" ht="14">
      <c r="B170" s="409"/>
      <c r="C170" s="142"/>
      <c r="N170" s="408"/>
      <c r="O170" s="407"/>
      <c r="P170" s="407"/>
      <c r="CX170" s="707"/>
      <c r="CY170" s="727"/>
    </row>
    <row r="171" spans="2:103" s="126" customFormat="1" ht="14">
      <c r="B171" s="409"/>
      <c r="C171" s="142"/>
      <c r="N171" s="408"/>
      <c r="O171" s="407"/>
      <c r="P171" s="407"/>
      <c r="CX171" s="707"/>
      <c r="CY171" s="727"/>
    </row>
    <row r="172" spans="2:103" s="126" customFormat="1" ht="14">
      <c r="B172" s="409"/>
      <c r="C172" s="142"/>
      <c r="N172" s="408"/>
      <c r="O172" s="407"/>
      <c r="P172" s="407"/>
      <c r="CX172" s="707"/>
      <c r="CY172" s="727"/>
    </row>
    <row r="173" spans="2:103" s="126" customFormat="1" ht="14">
      <c r="B173" s="409"/>
      <c r="C173" s="142"/>
      <c r="N173" s="408"/>
      <c r="O173" s="407"/>
      <c r="P173" s="407"/>
      <c r="CX173" s="707"/>
      <c r="CY173" s="727"/>
    </row>
    <row r="174" spans="2:103" s="126" customFormat="1" ht="14">
      <c r="B174" s="409"/>
      <c r="C174" s="142"/>
      <c r="N174" s="408"/>
      <c r="O174" s="407"/>
      <c r="P174" s="407"/>
      <c r="CX174" s="707"/>
      <c r="CY174" s="727"/>
    </row>
    <row r="175" spans="2:103" s="126" customFormat="1" ht="14">
      <c r="B175" s="409"/>
      <c r="C175" s="142"/>
      <c r="N175" s="408"/>
      <c r="O175" s="407"/>
      <c r="P175" s="407"/>
      <c r="CX175" s="707"/>
      <c r="CY175" s="727"/>
    </row>
    <row r="176" spans="2:103" s="126" customFormat="1" ht="14">
      <c r="B176" s="409"/>
      <c r="C176" s="142"/>
      <c r="N176" s="408"/>
      <c r="O176" s="407"/>
      <c r="P176" s="407"/>
      <c r="CX176" s="707"/>
      <c r="CY176" s="727"/>
    </row>
    <row r="177" spans="2:103" s="126" customFormat="1" ht="14">
      <c r="B177" s="409"/>
      <c r="C177" s="142"/>
      <c r="N177" s="408"/>
      <c r="O177" s="407"/>
      <c r="P177" s="407"/>
      <c r="CX177" s="707"/>
      <c r="CY177" s="727"/>
    </row>
    <row r="178" spans="2:103" s="126" customFormat="1" ht="14">
      <c r="B178" s="409"/>
      <c r="C178" s="142"/>
      <c r="N178" s="408"/>
      <c r="O178" s="407"/>
      <c r="P178" s="407"/>
      <c r="CX178" s="707"/>
      <c r="CY178" s="727"/>
    </row>
    <row r="179" spans="2:103" s="126" customFormat="1" ht="14">
      <c r="B179" s="409"/>
      <c r="C179" s="142"/>
      <c r="N179" s="408"/>
      <c r="O179" s="407"/>
      <c r="P179" s="407"/>
      <c r="CX179" s="707"/>
      <c r="CY179" s="727"/>
    </row>
    <row r="180" spans="2:103" s="126" customFormat="1" ht="14">
      <c r="B180" s="409"/>
      <c r="C180" s="142"/>
      <c r="N180" s="408"/>
      <c r="O180" s="407"/>
      <c r="P180" s="407"/>
      <c r="CX180" s="707"/>
      <c r="CY180" s="727"/>
    </row>
    <row r="181" spans="2:103" s="126" customFormat="1" ht="14">
      <c r="B181" s="409"/>
      <c r="C181" s="142"/>
      <c r="N181" s="408"/>
      <c r="O181" s="407"/>
      <c r="P181" s="407"/>
      <c r="CX181" s="707"/>
      <c r="CY181" s="727"/>
    </row>
    <row r="182" spans="2:103" s="126" customFormat="1" ht="14">
      <c r="B182" s="409"/>
      <c r="C182" s="142"/>
      <c r="N182" s="408"/>
      <c r="O182" s="407"/>
      <c r="P182" s="407"/>
      <c r="CX182" s="707"/>
      <c r="CY182" s="727"/>
    </row>
    <row r="183" spans="2:103" s="126" customFormat="1" ht="14">
      <c r="B183" s="409"/>
      <c r="C183" s="142"/>
      <c r="N183" s="408"/>
      <c r="O183" s="407"/>
      <c r="P183" s="407"/>
      <c r="CX183" s="707"/>
      <c r="CY183" s="727"/>
    </row>
    <row r="184" spans="2:103" s="126" customFormat="1" ht="14">
      <c r="B184" s="409"/>
      <c r="C184" s="142"/>
      <c r="N184" s="408"/>
      <c r="O184" s="407"/>
      <c r="P184" s="407"/>
      <c r="CX184" s="707"/>
      <c r="CY184" s="727"/>
    </row>
    <row r="185" spans="2:103" s="126" customFormat="1" ht="14">
      <c r="B185" s="409"/>
      <c r="C185" s="142"/>
      <c r="N185" s="408"/>
      <c r="O185" s="407"/>
      <c r="P185" s="407"/>
      <c r="CX185" s="707"/>
      <c r="CY185" s="727"/>
    </row>
    <row r="186" spans="2:103" s="126" customFormat="1" ht="14">
      <c r="B186" s="409"/>
      <c r="C186" s="142"/>
      <c r="N186" s="408"/>
      <c r="O186" s="407"/>
      <c r="P186" s="407"/>
      <c r="CX186" s="707"/>
      <c r="CY186" s="727"/>
    </row>
    <row r="187" spans="2:103" s="126" customFormat="1" ht="14">
      <c r="B187" s="409"/>
      <c r="C187" s="142"/>
      <c r="N187" s="408"/>
      <c r="O187" s="407"/>
      <c r="P187" s="407"/>
      <c r="CX187" s="707"/>
      <c r="CY187" s="727"/>
    </row>
    <row r="188" spans="2:103" s="126" customFormat="1" ht="14">
      <c r="B188" s="409"/>
      <c r="C188" s="142"/>
      <c r="N188" s="408"/>
      <c r="O188" s="407"/>
      <c r="P188" s="407"/>
      <c r="CX188" s="707"/>
      <c r="CY188" s="727"/>
    </row>
    <row r="189" spans="2:103" s="126" customFormat="1" ht="14">
      <c r="B189" s="409"/>
      <c r="C189" s="142"/>
      <c r="N189" s="408"/>
      <c r="O189" s="407"/>
      <c r="P189" s="407"/>
      <c r="CX189" s="707"/>
      <c r="CY189" s="727"/>
    </row>
    <row r="190" spans="2:103" s="126" customFormat="1" ht="14">
      <c r="B190" s="409"/>
      <c r="C190" s="142"/>
      <c r="N190" s="408"/>
      <c r="O190" s="407"/>
      <c r="P190" s="407"/>
      <c r="CX190" s="707"/>
      <c r="CY190" s="727"/>
    </row>
    <row r="191" spans="2:103" s="126" customFormat="1" ht="14">
      <c r="B191" s="409"/>
      <c r="C191" s="142"/>
      <c r="N191" s="408"/>
      <c r="O191" s="407"/>
      <c r="P191" s="407"/>
      <c r="CX191" s="707"/>
      <c r="CY191" s="727"/>
    </row>
    <row r="192" spans="2:103" s="126" customFormat="1" ht="14">
      <c r="B192" s="409"/>
      <c r="C192" s="142"/>
      <c r="N192" s="408"/>
      <c r="O192" s="407"/>
      <c r="P192" s="407"/>
      <c r="CX192" s="707"/>
      <c r="CY192" s="727"/>
    </row>
    <row r="193" spans="2:103" s="126" customFormat="1" ht="14">
      <c r="B193" s="409"/>
      <c r="C193" s="142"/>
      <c r="N193" s="408"/>
      <c r="O193" s="407"/>
      <c r="P193" s="407"/>
      <c r="CX193" s="707"/>
      <c r="CY193" s="727"/>
    </row>
    <row r="194" spans="2:103" s="126" customFormat="1" ht="14">
      <c r="B194" s="409"/>
      <c r="C194" s="142"/>
      <c r="N194" s="408"/>
      <c r="O194" s="407"/>
      <c r="P194" s="407"/>
      <c r="CX194" s="707"/>
      <c r="CY194" s="727"/>
    </row>
    <row r="195" spans="2:103" s="126" customFormat="1" ht="14">
      <c r="B195" s="409"/>
      <c r="C195" s="142"/>
      <c r="N195" s="408"/>
      <c r="O195" s="407"/>
      <c r="P195" s="407"/>
      <c r="CX195" s="707"/>
      <c r="CY195" s="727"/>
    </row>
    <row r="196" spans="2:103" s="126" customFormat="1" ht="14">
      <c r="B196" s="409"/>
      <c r="C196" s="142"/>
      <c r="N196" s="408"/>
      <c r="O196" s="407"/>
      <c r="P196" s="407"/>
      <c r="CX196" s="707"/>
      <c r="CY196" s="727"/>
    </row>
    <row r="197" spans="2:103" s="126" customFormat="1" ht="14">
      <c r="B197" s="409"/>
      <c r="C197" s="142"/>
      <c r="N197" s="408"/>
      <c r="O197" s="407"/>
      <c r="P197" s="407"/>
      <c r="CX197" s="707"/>
      <c r="CY197" s="727"/>
    </row>
    <row r="198" spans="2:103" s="126" customFormat="1" ht="14">
      <c r="B198" s="409"/>
      <c r="C198" s="142"/>
      <c r="N198" s="408"/>
      <c r="O198" s="407"/>
      <c r="P198" s="407"/>
      <c r="CX198" s="707"/>
      <c r="CY198" s="727"/>
    </row>
    <row r="199" spans="2:103" s="126" customFormat="1" ht="14">
      <c r="B199" s="409"/>
      <c r="C199" s="142"/>
      <c r="N199" s="408"/>
      <c r="O199" s="407"/>
      <c r="P199" s="407"/>
      <c r="CX199" s="707"/>
      <c r="CY199" s="727"/>
    </row>
    <row r="200" spans="2:103" s="126" customFormat="1" ht="14">
      <c r="B200" s="409"/>
      <c r="C200" s="142"/>
      <c r="N200" s="408"/>
      <c r="O200" s="407"/>
      <c r="P200" s="407"/>
      <c r="CX200" s="707"/>
      <c r="CY200" s="727"/>
    </row>
    <row r="201" spans="2:103" s="126" customFormat="1" ht="14">
      <c r="B201" s="409"/>
      <c r="C201" s="142"/>
      <c r="N201" s="408"/>
      <c r="O201" s="407"/>
      <c r="P201" s="407"/>
      <c r="CX201" s="707"/>
      <c r="CY201" s="727"/>
    </row>
    <row r="202" spans="2:103" s="126" customFormat="1" ht="14">
      <c r="B202" s="409"/>
      <c r="C202" s="142"/>
      <c r="N202" s="408"/>
      <c r="O202" s="407"/>
      <c r="P202" s="407"/>
      <c r="CX202" s="707"/>
      <c r="CY202" s="727"/>
    </row>
    <row r="203" spans="2:103" s="126" customFormat="1" ht="14">
      <c r="B203" s="409"/>
      <c r="C203" s="142"/>
      <c r="N203" s="408"/>
      <c r="O203" s="407"/>
      <c r="P203" s="407"/>
      <c r="CX203" s="707"/>
      <c r="CY203" s="727"/>
    </row>
    <row r="204" spans="2:103" s="126" customFormat="1" ht="14">
      <c r="B204" s="409"/>
      <c r="C204" s="142"/>
      <c r="N204" s="408"/>
      <c r="O204" s="407"/>
      <c r="P204" s="407"/>
      <c r="CX204" s="707"/>
      <c r="CY204" s="727"/>
    </row>
    <row r="205" spans="2:103" s="126" customFormat="1" ht="14">
      <c r="B205" s="409"/>
      <c r="C205" s="142"/>
      <c r="N205" s="408"/>
      <c r="O205" s="407"/>
      <c r="P205" s="407"/>
      <c r="CX205" s="707"/>
      <c r="CY205" s="727"/>
    </row>
    <row r="206" spans="2:103" s="126" customFormat="1" ht="14">
      <c r="B206" s="409"/>
      <c r="C206" s="142"/>
      <c r="N206" s="408"/>
      <c r="O206" s="407"/>
      <c r="P206" s="407"/>
      <c r="CX206" s="707"/>
      <c r="CY206" s="727"/>
    </row>
    <row r="207" spans="2:103" s="126" customFormat="1" ht="14">
      <c r="B207" s="409"/>
      <c r="C207" s="142"/>
      <c r="N207" s="408"/>
      <c r="O207" s="407"/>
      <c r="P207" s="407"/>
      <c r="CX207" s="707"/>
      <c r="CY207" s="727"/>
    </row>
    <row r="208" spans="2:103" s="126" customFormat="1" ht="14">
      <c r="B208" s="409"/>
      <c r="C208" s="142"/>
      <c r="N208" s="408"/>
      <c r="O208" s="407"/>
      <c r="P208" s="407"/>
      <c r="CX208" s="707"/>
      <c r="CY208" s="727"/>
    </row>
    <row r="209" spans="2:103" s="126" customFormat="1" ht="14">
      <c r="B209" s="409"/>
      <c r="C209" s="142"/>
      <c r="N209" s="408"/>
      <c r="O209" s="407"/>
      <c r="P209" s="407"/>
      <c r="CX209" s="707"/>
      <c r="CY209" s="727"/>
    </row>
    <row r="210" spans="2:103" s="126" customFormat="1" ht="14">
      <c r="B210" s="409"/>
      <c r="C210" s="142"/>
      <c r="N210" s="408"/>
      <c r="O210" s="407"/>
      <c r="P210" s="407"/>
      <c r="CX210" s="707"/>
      <c r="CY210" s="727"/>
    </row>
    <row r="211" spans="2:103" s="126" customFormat="1" ht="14">
      <c r="B211" s="409"/>
      <c r="C211" s="142"/>
      <c r="N211" s="408"/>
      <c r="O211" s="407"/>
      <c r="P211" s="407"/>
      <c r="CX211" s="707"/>
      <c r="CY211" s="727"/>
    </row>
    <row r="212" spans="2:103" s="126" customFormat="1" ht="14">
      <c r="B212" s="409"/>
      <c r="C212" s="142"/>
      <c r="N212" s="408"/>
      <c r="O212" s="407"/>
      <c r="P212" s="407"/>
      <c r="CX212" s="707"/>
      <c r="CY212" s="727"/>
    </row>
    <row r="213" spans="2:103" s="126" customFormat="1" ht="14">
      <c r="B213" s="409"/>
      <c r="C213" s="142"/>
      <c r="N213" s="408"/>
      <c r="O213" s="407"/>
      <c r="P213" s="407"/>
      <c r="CX213" s="707"/>
      <c r="CY213" s="727"/>
    </row>
    <row r="214" spans="2:103" s="126" customFormat="1" ht="14">
      <c r="B214" s="409"/>
      <c r="C214" s="142"/>
      <c r="N214" s="408"/>
      <c r="O214" s="407"/>
      <c r="P214" s="407"/>
      <c r="CX214" s="707"/>
      <c r="CY214" s="727"/>
    </row>
    <row r="215" spans="2:103" s="126" customFormat="1" ht="14">
      <c r="B215" s="409"/>
      <c r="C215" s="142"/>
      <c r="N215" s="408"/>
      <c r="O215" s="407"/>
      <c r="P215" s="407"/>
      <c r="CX215" s="707"/>
      <c r="CY215" s="727"/>
    </row>
    <row r="216" spans="2:103" s="126" customFormat="1" ht="14">
      <c r="B216" s="409"/>
      <c r="C216" s="142"/>
      <c r="N216" s="408"/>
      <c r="O216" s="407"/>
      <c r="P216" s="407"/>
      <c r="CX216" s="707"/>
      <c r="CY216" s="727"/>
    </row>
    <row r="217" spans="2:103" s="126" customFormat="1" ht="14">
      <c r="B217" s="409"/>
      <c r="C217" s="142"/>
      <c r="N217" s="408"/>
      <c r="O217" s="407"/>
      <c r="P217" s="407"/>
      <c r="CX217" s="707"/>
      <c r="CY217" s="727"/>
    </row>
    <row r="218" spans="2:103" s="126" customFormat="1" ht="14">
      <c r="B218" s="409"/>
      <c r="C218" s="142"/>
      <c r="N218" s="408"/>
      <c r="O218" s="407"/>
      <c r="P218" s="407"/>
      <c r="CX218" s="707"/>
      <c r="CY218" s="727"/>
    </row>
    <row r="219" spans="2:103" s="126" customFormat="1" ht="14">
      <c r="B219" s="409"/>
      <c r="C219" s="142"/>
      <c r="N219" s="408"/>
      <c r="O219" s="407"/>
      <c r="P219" s="407"/>
      <c r="CX219" s="707"/>
      <c r="CY219" s="727"/>
    </row>
    <row r="220" spans="2:103" s="126" customFormat="1" ht="14">
      <c r="B220" s="409"/>
      <c r="C220" s="142"/>
      <c r="N220" s="408"/>
      <c r="O220" s="407"/>
      <c r="P220" s="407"/>
      <c r="CX220" s="707"/>
      <c r="CY220" s="727"/>
    </row>
    <row r="221" spans="2:103" s="126" customFormat="1" ht="14">
      <c r="B221" s="409"/>
      <c r="C221" s="142"/>
      <c r="N221" s="408"/>
      <c r="O221" s="407"/>
      <c r="P221" s="407"/>
      <c r="CX221" s="707"/>
      <c r="CY221" s="727"/>
    </row>
    <row r="222" spans="2:103" s="126" customFormat="1" ht="14">
      <c r="B222" s="409"/>
      <c r="C222" s="142"/>
      <c r="N222" s="408"/>
      <c r="O222" s="407"/>
      <c r="P222" s="407"/>
      <c r="CX222" s="707"/>
      <c r="CY222" s="727"/>
    </row>
    <row r="223" spans="2:103" s="126" customFormat="1" ht="14">
      <c r="B223" s="409"/>
      <c r="C223" s="142"/>
      <c r="N223" s="408"/>
      <c r="O223" s="407"/>
      <c r="P223" s="407"/>
      <c r="CX223" s="707"/>
      <c r="CY223" s="727"/>
    </row>
    <row r="224" spans="2:103" s="126" customFormat="1" ht="14">
      <c r="B224" s="409"/>
      <c r="C224" s="142"/>
      <c r="N224" s="408"/>
      <c r="O224" s="407"/>
      <c r="P224" s="407"/>
      <c r="CX224" s="707"/>
      <c r="CY224" s="727"/>
    </row>
    <row r="225" spans="2:103" s="126" customFormat="1" ht="14">
      <c r="B225" s="409"/>
      <c r="C225" s="142"/>
      <c r="N225" s="408"/>
      <c r="O225" s="407"/>
      <c r="P225" s="407"/>
      <c r="CX225" s="707"/>
      <c r="CY225" s="727"/>
    </row>
    <row r="226" spans="2:103" s="126" customFormat="1" ht="14">
      <c r="B226" s="409"/>
      <c r="C226" s="142"/>
      <c r="N226" s="408"/>
      <c r="O226" s="407"/>
      <c r="P226" s="407"/>
      <c r="CX226" s="707"/>
      <c r="CY226" s="727"/>
    </row>
    <row r="227" spans="2:103" s="126" customFormat="1" ht="14">
      <c r="B227" s="409"/>
      <c r="C227" s="142"/>
      <c r="N227" s="408"/>
      <c r="O227" s="407"/>
      <c r="P227" s="407"/>
      <c r="CX227" s="707"/>
      <c r="CY227" s="727"/>
    </row>
    <row r="228" spans="2:103" s="126" customFormat="1" ht="14">
      <c r="B228" s="409"/>
      <c r="C228" s="142"/>
      <c r="N228" s="408"/>
      <c r="O228" s="407"/>
      <c r="P228" s="407"/>
      <c r="CX228" s="707"/>
      <c r="CY228" s="727"/>
    </row>
    <row r="229" spans="2:103" s="126" customFormat="1" ht="14">
      <c r="B229" s="409"/>
      <c r="C229" s="142"/>
      <c r="N229" s="408"/>
      <c r="O229" s="407"/>
      <c r="P229" s="407"/>
      <c r="CX229" s="707"/>
      <c r="CY229" s="727"/>
    </row>
    <row r="230" spans="2:103" s="126" customFormat="1" ht="14">
      <c r="B230" s="409"/>
      <c r="C230" s="142"/>
      <c r="N230" s="408"/>
      <c r="O230" s="407"/>
      <c r="P230" s="407"/>
      <c r="CX230" s="707"/>
      <c r="CY230" s="727"/>
    </row>
    <row r="231" spans="2:103" s="126" customFormat="1" ht="14">
      <c r="B231" s="409"/>
      <c r="C231" s="142"/>
      <c r="N231" s="408"/>
      <c r="O231" s="407"/>
      <c r="P231" s="407"/>
      <c r="CX231" s="707"/>
      <c r="CY231" s="727"/>
    </row>
    <row r="232" spans="2:103" s="126" customFormat="1" ht="14">
      <c r="B232" s="409"/>
      <c r="C232" s="142"/>
      <c r="N232" s="408"/>
      <c r="O232" s="407"/>
      <c r="P232" s="407"/>
      <c r="CX232" s="707"/>
      <c r="CY232" s="727"/>
    </row>
    <row r="233" spans="2:103" s="126" customFormat="1" ht="14">
      <c r="B233" s="409"/>
      <c r="C233" s="142"/>
      <c r="N233" s="408"/>
      <c r="O233" s="407"/>
      <c r="P233" s="407"/>
      <c r="CX233" s="707"/>
      <c r="CY233" s="727"/>
    </row>
    <row r="234" spans="2:103" s="126" customFormat="1" ht="14">
      <c r="B234" s="409"/>
      <c r="C234" s="142"/>
      <c r="N234" s="408"/>
      <c r="O234" s="407"/>
      <c r="P234" s="407"/>
      <c r="CX234" s="707"/>
      <c r="CY234" s="727"/>
    </row>
    <row r="235" spans="2:103" s="126" customFormat="1" ht="14">
      <c r="B235" s="409"/>
      <c r="C235" s="142"/>
      <c r="N235" s="408"/>
      <c r="O235" s="407"/>
      <c r="P235" s="407"/>
      <c r="CX235" s="707"/>
      <c r="CY235" s="727"/>
    </row>
    <row r="236" spans="2:103" s="126" customFormat="1" ht="14">
      <c r="B236" s="409"/>
      <c r="C236" s="142"/>
      <c r="N236" s="408"/>
      <c r="O236" s="407"/>
      <c r="P236" s="407"/>
      <c r="CX236" s="707"/>
      <c r="CY236" s="727"/>
    </row>
    <row r="237" spans="2:103" s="126" customFormat="1" ht="14">
      <c r="B237" s="409"/>
      <c r="C237" s="142"/>
      <c r="N237" s="408"/>
      <c r="O237" s="407"/>
      <c r="P237" s="407"/>
      <c r="CX237" s="707"/>
      <c r="CY237" s="727"/>
    </row>
    <row r="238" spans="2:103" s="126" customFormat="1" ht="14">
      <c r="B238" s="409"/>
      <c r="C238" s="142"/>
      <c r="N238" s="408"/>
      <c r="O238" s="407"/>
      <c r="P238" s="407"/>
      <c r="CX238" s="707"/>
      <c r="CY238" s="727"/>
    </row>
    <row r="239" spans="2:103" s="126" customFormat="1" ht="14">
      <c r="B239" s="409"/>
      <c r="C239" s="142"/>
      <c r="N239" s="408"/>
      <c r="O239" s="407"/>
      <c r="P239" s="407"/>
      <c r="CX239" s="707"/>
      <c r="CY239" s="727"/>
    </row>
    <row r="240" spans="2:103" s="126" customFormat="1" ht="14">
      <c r="B240" s="409"/>
      <c r="C240" s="142"/>
      <c r="N240" s="408"/>
      <c r="O240" s="407"/>
      <c r="P240" s="407"/>
      <c r="CX240" s="707"/>
      <c r="CY240" s="727"/>
    </row>
    <row r="241" spans="2:103" s="126" customFormat="1" ht="14">
      <c r="B241" s="409"/>
      <c r="C241" s="142"/>
      <c r="N241" s="408"/>
      <c r="O241" s="407"/>
      <c r="P241" s="407"/>
      <c r="CX241" s="707"/>
      <c r="CY241" s="727"/>
    </row>
    <row r="242" spans="2:103" s="126" customFormat="1" ht="14">
      <c r="B242" s="409"/>
      <c r="C242" s="142"/>
      <c r="N242" s="408"/>
      <c r="O242" s="407"/>
      <c r="P242" s="407"/>
      <c r="CX242" s="707"/>
      <c r="CY242" s="727"/>
    </row>
    <row r="243" spans="2:103" s="126" customFormat="1" ht="14">
      <c r="B243" s="409"/>
      <c r="C243" s="142"/>
      <c r="N243" s="408"/>
      <c r="O243" s="407"/>
      <c r="P243" s="407"/>
      <c r="CX243" s="707"/>
      <c r="CY243" s="727"/>
    </row>
    <row r="244" spans="2:103" s="126" customFormat="1" ht="14">
      <c r="B244" s="409"/>
      <c r="C244" s="142"/>
      <c r="N244" s="408"/>
      <c r="O244" s="407"/>
      <c r="P244" s="407"/>
      <c r="CX244" s="707"/>
      <c r="CY244" s="727"/>
    </row>
    <row r="245" spans="2:103" s="126" customFormat="1" ht="14">
      <c r="B245" s="409"/>
      <c r="C245" s="142"/>
      <c r="N245" s="408"/>
      <c r="O245" s="407"/>
      <c r="P245" s="407"/>
      <c r="CX245" s="707"/>
      <c r="CY245" s="727"/>
    </row>
    <row r="246" spans="2:103" s="126" customFormat="1" ht="14">
      <c r="B246" s="409"/>
      <c r="C246" s="142"/>
      <c r="N246" s="408"/>
      <c r="O246" s="407"/>
      <c r="P246" s="407"/>
      <c r="CX246" s="707"/>
      <c r="CY246" s="727"/>
    </row>
    <row r="247" spans="2:103" s="126" customFormat="1" ht="14">
      <c r="B247" s="409"/>
      <c r="C247" s="142"/>
      <c r="N247" s="408"/>
      <c r="O247" s="407"/>
      <c r="P247" s="407"/>
      <c r="CX247" s="707"/>
      <c r="CY247" s="727"/>
    </row>
    <row r="248" spans="2:103" s="126" customFormat="1" ht="14">
      <c r="B248" s="409"/>
      <c r="C248" s="142"/>
      <c r="N248" s="408"/>
      <c r="O248" s="407"/>
      <c r="P248" s="407"/>
      <c r="CX248" s="707"/>
      <c r="CY248" s="727"/>
    </row>
    <row r="249" spans="2:103" s="126" customFormat="1" ht="14">
      <c r="B249" s="409"/>
      <c r="C249" s="142"/>
      <c r="N249" s="408"/>
      <c r="O249" s="407"/>
      <c r="P249" s="407"/>
      <c r="CX249" s="707"/>
      <c r="CY249" s="727"/>
    </row>
    <row r="250" spans="2:103" s="126" customFormat="1" ht="14">
      <c r="B250" s="409"/>
      <c r="C250" s="142"/>
      <c r="N250" s="408"/>
      <c r="O250" s="407"/>
      <c r="P250" s="407"/>
      <c r="CX250" s="707"/>
      <c r="CY250" s="727"/>
    </row>
    <row r="251" spans="2:103" s="126" customFormat="1" ht="14">
      <c r="B251" s="409"/>
      <c r="C251" s="142"/>
      <c r="N251" s="408"/>
      <c r="O251" s="407"/>
      <c r="P251" s="407"/>
      <c r="CX251" s="707"/>
      <c r="CY251" s="727"/>
    </row>
    <row r="252" spans="2:103" s="126" customFormat="1" ht="14">
      <c r="B252" s="409"/>
      <c r="C252" s="142"/>
      <c r="N252" s="408"/>
      <c r="O252" s="407"/>
      <c r="P252" s="407"/>
      <c r="CX252" s="707"/>
      <c r="CY252" s="727"/>
    </row>
    <row r="253" spans="2:103" s="126" customFormat="1" ht="14">
      <c r="B253" s="409"/>
      <c r="C253" s="142"/>
      <c r="N253" s="408"/>
      <c r="O253" s="407"/>
      <c r="P253" s="407"/>
      <c r="CX253" s="707"/>
      <c r="CY253" s="727"/>
    </row>
    <row r="254" spans="2:103" s="126" customFormat="1" ht="14">
      <c r="B254" s="409"/>
      <c r="C254" s="142"/>
      <c r="N254" s="408"/>
      <c r="O254" s="407"/>
      <c r="P254" s="407"/>
      <c r="CX254" s="707"/>
      <c r="CY254" s="727"/>
    </row>
    <row r="255" spans="2:103" s="126" customFormat="1" ht="14">
      <c r="B255" s="409"/>
      <c r="C255" s="142"/>
      <c r="N255" s="408"/>
      <c r="O255" s="407"/>
      <c r="P255" s="407"/>
      <c r="CX255" s="707"/>
      <c r="CY255" s="727"/>
    </row>
    <row r="256" spans="2:103" s="126" customFormat="1" ht="14">
      <c r="B256" s="409"/>
      <c r="C256" s="142"/>
      <c r="N256" s="408"/>
      <c r="O256" s="407"/>
      <c r="P256" s="407"/>
      <c r="CX256" s="707"/>
      <c r="CY256" s="727"/>
    </row>
    <row r="257" spans="2:103" s="126" customFormat="1" ht="14">
      <c r="B257" s="409"/>
      <c r="C257" s="142"/>
      <c r="N257" s="408"/>
      <c r="O257" s="407"/>
      <c r="P257" s="407"/>
      <c r="CX257" s="707"/>
      <c r="CY257" s="727"/>
    </row>
    <row r="258" spans="2:103" s="126" customFormat="1" ht="14">
      <c r="B258" s="409"/>
      <c r="C258" s="142"/>
      <c r="N258" s="408"/>
      <c r="O258" s="407"/>
      <c r="P258" s="407"/>
      <c r="CX258" s="707"/>
      <c r="CY258" s="727"/>
    </row>
    <row r="259" spans="2:103" s="126" customFormat="1" ht="14">
      <c r="B259" s="409"/>
      <c r="C259" s="142"/>
      <c r="N259" s="408"/>
      <c r="O259" s="407"/>
      <c r="P259" s="407"/>
      <c r="CX259" s="707"/>
      <c r="CY259" s="727"/>
    </row>
    <row r="260" spans="2:103" s="126" customFormat="1" ht="14">
      <c r="B260" s="409"/>
      <c r="C260" s="142"/>
      <c r="N260" s="408"/>
      <c r="O260" s="407"/>
      <c r="P260" s="407"/>
      <c r="CX260" s="707"/>
      <c r="CY260" s="727"/>
    </row>
    <row r="261" spans="2:103" s="126" customFormat="1" ht="14">
      <c r="B261" s="409"/>
      <c r="C261" s="142"/>
      <c r="N261" s="408"/>
      <c r="O261" s="407"/>
      <c r="P261" s="407"/>
      <c r="CX261" s="707"/>
      <c r="CY261" s="727"/>
    </row>
    <row r="262" spans="2:103" s="126" customFormat="1" ht="14">
      <c r="B262" s="409"/>
      <c r="C262" s="142"/>
      <c r="N262" s="408"/>
      <c r="O262" s="407"/>
      <c r="P262" s="407"/>
      <c r="CX262" s="707"/>
      <c r="CY262" s="727"/>
    </row>
    <row r="263" spans="2:103" s="126" customFormat="1" ht="14">
      <c r="B263" s="409"/>
      <c r="C263" s="142"/>
      <c r="N263" s="408"/>
      <c r="O263" s="407"/>
      <c r="P263" s="407"/>
      <c r="CX263" s="707"/>
      <c r="CY263" s="727"/>
    </row>
    <row r="264" spans="2:103" s="126" customFormat="1" ht="14">
      <c r="B264" s="409"/>
      <c r="C264" s="142"/>
      <c r="N264" s="408"/>
      <c r="O264" s="407"/>
      <c r="P264" s="407"/>
      <c r="CX264" s="707"/>
      <c r="CY264" s="727"/>
    </row>
    <row r="265" spans="2:103" s="126" customFormat="1" ht="14">
      <c r="B265" s="409"/>
      <c r="C265" s="142"/>
      <c r="N265" s="408"/>
      <c r="O265" s="407"/>
      <c r="P265" s="407"/>
      <c r="CX265" s="707"/>
      <c r="CY265" s="727"/>
    </row>
    <row r="266" spans="2:103" s="126" customFormat="1" ht="14">
      <c r="B266" s="409"/>
      <c r="C266" s="142"/>
      <c r="N266" s="408"/>
      <c r="O266" s="407"/>
      <c r="P266" s="407"/>
      <c r="CX266" s="707"/>
      <c r="CY266" s="727"/>
    </row>
    <row r="267" spans="2:103" s="126" customFormat="1" ht="14">
      <c r="B267" s="409"/>
      <c r="C267" s="142"/>
      <c r="N267" s="408"/>
      <c r="O267" s="407"/>
      <c r="P267" s="407"/>
      <c r="CX267" s="707"/>
      <c r="CY267" s="727"/>
    </row>
    <row r="268" spans="2:103" s="126" customFormat="1" ht="14">
      <c r="B268" s="409"/>
      <c r="C268" s="142"/>
      <c r="N268" s="408"/>
      <c r="O268" s="407"/>
      <c r="P268" s="407"/>
      <c r="CX268" s="707"/>
      <c r="CY268" s="727"/>
    </row>
    <row r="269" spans="2:103" s="126" customFormat="1" ht="14">
      <c r="B269" s="409"/>
      <c r="C269" s="142"/>
      <c r="N269" s="408"/>
      <c r="O269" s="407"/>
      <c r="P269" s="407"/>
      <c r="CX269" s="707"/>
      <c r="CY269" s="727"/>
    </row>
    <row r="270" spans="2:103" s="126" customFormat="1" ht="14">
      <c r="B270" s="409"/>
      <c r="C270" s="142"/>
      <c r="N270" s="408"/>
      <c r="O270" s="407"/>
      <c r="P270" s="407"/>
      <c r="CX270" s="707"/>
      <c r="CY270" s="727"/>
    </row>
    <row r="271" spans="2:103" s="126" customFormat="1" ht="14">
      <c r="B271" s="409"/>
      <c r="C271" s="142"/>
      <c r="N271" s="408"/>
      <c r="O271" s="407"/>
      <c r="P271" s="407"/>
      <c r="CX271" s="707"/>
      <c r="CY271" s="727"/>
    </row>
    <row r="272" spans="2:103" s="126" customFormat="1" ht="14">
      <c r="B272" s="409"/>
      <c r="C272" s="142"/>
      <c r="N272" s="408"/>
      <c r="O272" s="407"/>
      <c r="P272" s="407"/>
      <c r="CX272" s="707"/>
      <c r="CY272" s="727"/>
    </row>
    <row r="273" spans="2:103" s="126" customFormat="1" ht="14">
      <c r="B273" s="409"/>
      <c r="C273" s="142"/>
      <c r="N273" s="408"/>
      <c r="O273" s="407"/>
      <c r="P273" s="407"/>
      <c r="CX273" s="707"/>
      <c r="CY273" s="727"/>
    </row>
    <row r="274" spans="2:103" s="126" customFormat="1" ht="14">
      <c r="B274" s="409"/>
      <c r="C274" s="142"/>
      <c r="N274" s="408"/>
      <c r="O274" s="407"/>
      <c r="P274" s="407"/>
      <c r="CX274" s="707"/>
      <c r="CY274" s="727"/>
    </row>
    <row r="275" spans="2:103" s="126" customFormat="1" ht="14">
      <c r="B275" s="409"/>
      <c r="C275" s="142"/>
      <c r="N275" s="408"/>
      <c r="O275" s="407"/>
      <c r="P275" s="407"/>
      <c r="CX275" s="707"/>
      <c r="CY275" s="727"/>
    </row>
    <row r="276" spans="2:103" s="126" customFormat="1" ht="14">
      <c r="B276" s="409"/>
      <c r="C276" s="142"/>
      <c r="N276" s="408"/>
      <c r="O276" s="407"/>
      <c r="P276" s="407"/>
      <c r="CX276" s="707"/>
      <c r="CY276" s="727"/>
    </row>
    <row r="277" spans="2:103" s="126" customFormat="1" ht="14">
      <c r="B277" s="409"/>
      <c r="C277" s="142"/>
      <c r="N277" s="408"/>
      <c r="O277" s="407"/>
      <c r="P277" s="407"/>
      <c r="CX277" s="707"/>
      <c r="CY277" s="727"/>
    </row>
    <row r="278" spans="2:103" s="126" customFormat="1" ht="14">
      <c r="B278" s="409"/>
      <c r="C278" s="142"/>
      <c r="N278" s="408"/>
      <c r="O278" s="407"/>
      <c r="P278" s="407"/>
      <c r="CX278" s="707"/>
      <c r="CY278" s="727"/>
    </row>
    <row r="279" spans="2:103" s="126" customFormat="1" ht="14">
      <c r="B279" s="409"/>
      <c r="C279" s="142"/>
      <c r="N279" s="408"/>
      <c r="O279" s="407"/>
      <c r="P279" s="407"/>
      <c r="CX279" s="707"/>
      <c r="CY279" s="727"/>
    </row>
    <row r="280" spans="2:103" s="126" customFormat="1" ht="14">
      <c r="B280" s="409"/>
      <c r="C280" s="142"/>
      <c r="N280" s="408"/>
      <c r="O280" s="407"/>
      <c r="P280" s="407"/>
      <c r="CX280" s="707"/>
      <c r="CY280" s="727"/>
    </row>
    <row r="281" spans="2:103" s="126" customFormat="1" ht="14">
      <c r="B281" s="409"/>
      <c r="C281" s="142"/>
      <c r="N281" s="408"/>
      <c r="O281" s="407"/>
      <c r="P281" s="407"/>
      <c r="CX281" s="707"/>
      <c r="CY281" s="727"/>
    </row>
    <row r="282" spans="2:103" s="126" customFormat="1" ht="14">
      <c r="B282" s="409"/>
      <c r="C282" s="142"/>
      <c r="N282" s="408"/>
      <c r="O282" s="407"/>
      <c r="P282" s="407"/>
      <c r="CX282" s="707"/>
      <c r="CY282" s="727"/>
    </row>
    <row r="283" spans="2:103" s="126" customFormat="1" ht="14">
      <c r="B283" s="409"/>
      <c r="C283" s="142"/>
      <c r="N283" s="408"/>
      <c r="O283" s="407"/>
      <c r="P283" s="407"/>
      <c r="CX283" s="707"/>
      <c r="CY283" s="727"/>
    </row>
    <row r="284" spans="2:103" s="126" customFormat="1" ht="14">
      <c r="B284" s="409"/>
      <c r="C284" s="142"/>
      <c r="N284" s="408"/>
      <c r="O284" s="407"/>
      <c r="P284" s="407"/>
      <c r="CX284" s="707"/>
      <c r="CY284" s="727"/>
    </row>
    <row r="285" spans="2:103" s="126" customFormat="1" ht="14">
      <c r="B285" s="409"/>
      <c r="C285" s="142"/>
      <c r="N285" s="408"/>
      <c r="O285" s="407"/>
      <c r="P285" s="407"/>
      <c r="CX285" s="707"/>
      <c r="CY285" s="727"/>
    </row>
    <row r="286" spans="2:103" s="126" customFormat="1" ht="14">
      <c r="B286" s="409"/>
      <c r="C286" s="142"/>
      <c r="N286" s="408"/>
      <c r="O286" s="407"/>
      <c r="P286" s="407"/>
      <c r="CX286" s="707"/>
      <c r="CY286" s="727"/>
    </row>
    <row r="287" spans="2:103" s="126" customFormat="1" ht="14">
      <c r="B287" s="409"/>
      <c r="C287" s="142"/>
      <c r="N287" s="408"/>
      <c r="O287" s="407"/>
      <c r="P287" s="407"/>
      <c r="CX287" s="707"/>
      <c r="CY287" s="727"/>
    </row>
    <row r="288" spans="2:103" s="126" customFormat="1" ht="14">
      <c r="B288" s="409"/>
      <c r="C288" s="142"/>
      <c r="N288" s="408"/>
      <c r="O288" s="407"/>
      <c r="P288" s="407"/>
      <c r="CX288" s="707"/>
      <c r="CY288" s="727"/>
    </row>
    <row r="289" spans="2:103" s="126" customFormat="1" ht="14">
      <c r="B289" s="409"/>
      <c r="C289" s="142"/>
      <c r="N289" s="408"/>
      <c r="O289" s="407"/>
      <c r="P289" s="407"/>
      <c r="CX289" s="707"/>
      <c r="CY289" s="727"/>
    </row>
    <row r="290" spans="2:103" s="126" customFormat="1" ht="14">
      <c r="B290" s="409"/>
      <c r="C290" s="142"/>
      <c r="N290" s="408"/>
      <c r="O290" s="407"/>
      <c r="P290" s="407"/>
      <c r="CX290" s="707"/>
      <c r="CY290" s="727"/>
    </row>
    <row r="291" spans="2:103" s="126" customFormat="1" ht="14">
      <c r="B291" s="409"/>
      <c r="C291" s="142"/>
      <c r="N291" s="408"/>
      <c r="O291" s="407"/>
      <c r="P291" s="407"/>
      <c r="CX291" s="707"/>
      <c r="CY291" s="727"/>
    </row>
    <row r="292" spans="2:103" s="126" customFormat="1" ht="14">
      <c r="B292" s="409"/>
      <c r="C292" s="142"/>
      <c r="N292" s="408"/>
      <c r="O292" s="407"/>
      <c r="P292" s="407"/>
      <c r="CX292" s="707"/>
      <c r="CY292" s="727"/>
    </row>
    <row r="293" spans="2:103" s="126" customFormat="1" ht="14">
      <c r="B293" s="409"/>
      <c r="C293" s="142"/>
      <c r="N293" s="408"/>
      <c r="O293" s="407"/>
      <c r="P293" s="407"/>
      <c r="CX293" s="707"/>
      <c r="CY293" s="727"/>
    </row>
    <row r="294" spans="2:103" s="126" customFormat="1" ht="14">
      <c r="B294" s="409"/>
      <c r="C294" s="142"/>
      <c r="N294" s="408"/>
      <c r="O294" s="407"/>
      <c r="P294" s="407"/>
      <c r="CX294" s="707"/>
      <c r="CY294" s="727"/>
    </row>
    <row r="295" spans="2:103" s="126" customFormat="1" ht="14">
      <c r="B295" s="409"/>
      <c r="C295" s="142"/>
      <c r="N295" s="408"/>
      <c r="O295" s="407"/>
      <c r="P295" s="407"/>
      <c r="CX295" s="707"/>
      <c r="CY295" s="727"/>
    </row>
    <row r="296" spans="2:103" s="126" customFormat="1" ht="14">
      <c r="B296" s="409"/>
      <c r="C296" s="142"/>
      <c r="N296" s="408"/>
      <c r="O296" s="407"/>
      <c r="P296" s="407"/>
      <c r="CX296" s="707"/>
      <c r="CY296" s="727"/>
    </row>
    <row r="297" spans="2:103" s="126" customFormat="1" ht="14">
      <c r="B297" s="409"/>
      <c r="C297" s="142"/>
      <c r="N297" s="408"/>
      <c r="O297" s="407"/>
      <c r="P297" s="407"/>
      <c r="CX297" s="707"/>
      <c r="CY297" s="727"/>
    </row>
    <row r="298" spans="2:103" s="126" customFormat="1" ht="14">
      <c r="B298" s="409"/>
      <c r="C298" s="142"/>
      <c r="N298" s="408"/>
      <c r="O298" s="407"/>
      <c r="P298" s="407"/>
      <c r="CX298" s="707"/>
      <c r="CY298" s="727"/>
    </row>
    <row r="299" spans="2:103" s="126" customFormat="1" ht="14">
      <c r="B299" s="409"/>
      <c r="C299" s="142"/>
      <c r="N299" s="408"/>
      <c r="O299" s="407"/>
      <c r="P299" s="407"/>
      <c r="CX299" s="707"/>
      <c r="CY299" s="727"/>
    </row>
    <row r="300" spans="2:103" s="126" customFormat="1" ht="14">
      <c r="B300" s="409"/>
      <c r="C300" s="142"/>
      <c r="N300" s="408"/>
      <c r="O300" s="407"/>
      <c r="P300" s="407"/>
      <c r="CX300" s="707"/>
      <c r="CY300" s="727"/>
    </row>
    <row r="301" spans="2:103" s="126" customFormat="1" ht="14">
      <c r="B301" s="409"/>
      <c r="C301" s="142"/>
      <c r="N301" s="408"/>
      <c r="O301" s="407"/>
      <c r="P301" s="407"/>
      <c r="CX301" s="707"/>
      <c r="CY301" s="727"/>
    </row>
    <row r="302" spans="2:103" s="126" customFormat="1" ht="14">
      <c r="B302" s="409"/>
      <c r="C302" s="142"/>
      <c r="N302" s="408"/>
      <c r="O302" s="407"/>
      <c r="P302" s="407"/>
      <c r="CX302" s="707"/>
      <c r="CY302" s="727"/>
    </row>
    <row r="303" spans="2:103" s="126" customFormat="1" ht="14">
      <c r="B303" s="409"/>
      <c r="C303" s="142"/>
      <c r="N303" s="408"/>
      <c r="O303" s="407"/>
      <c r="P303" s="407"/>
      <c r="CX303" s="707"/>
      <c r="CY303" s="727"/>
    </row>
    <row r="304" spans="2:103" s="126" customFormat="1" ht="14">
      <c r="B304" s="409"/>
      <c r="C304" s="142"/>
      <c r="N304" s="408"/>
      <c r="O304" s="407"/>
      <c r="P304" s="407"/>
      <c r="CX304" s="707"/>
      <c r="CY304" s="727"/>
    </row>
    <row r="305" spans="2:103" s="126" customFormat="1" ht="14">
      <c r="B305" s="409"/>
      <c r="C305" s="142"/>
      <c r="N305" s="408"/>
      <c r="O305" s="407"/>
      <c r="P305" s="407"/>
      <c r="CX305" s="707"/>
      <c r="CY305" s="727"/>
    </row>
    <row r="306" spans="2:103" s="126" customFormat="1" ht="14">
      <c r="B306" s="409"/>
      <c r="C306" s="142"/>
      <c r="N306" s="408"/>
      <c r="O306" s="407"/>
      <c r="P306" s="407"/>
      <c r="CX306" s="707"/>
      <c r="CY306" s="727"/>
    </row>
    <row r="307" spans="2:103" s="126" customFormat="1" ht="14">
      <c r="B307" s="409"/>
      <c r="C307" s="142"/>
      <c r="N307" s="408"/>
      <c r="O307" s="407"/>
      <c r="P307" s="407"/>
      <c r="CX307" s="707"/>
      <c r="CY307" s="727"/>
    </row>
    <row r="308" spans="2:103" s="126" customFormat="1" ht="14">
      <c r="B308" s="409"/>
      <c r="C308" s="142"/>
      <c r="N308" s="408"/>
      <c r="O308" s="407"/>
      <c r="P308" s="407"/>
      <c r="CX308" s="707"/>
      <c r="CY308" s="727"/>
    </row>
    <row r="309" spans="2:103" s="126" customFormat="1" ht="14">
      <c r="B309" s="409"/>
      <c r="C309" s="142"/>
      <c r="N309" s="408"/>
      <c r="O309" s="407"/>
      <c r="P309" s="407"/>
      <c r="CX309" s="707"/>
      <c r="CY309" s="727"/>
    </row>
    <row r="310" spans="2:103" s="126" customFormat="1" ht="14">
      <c r="B310" s="409"/>
      <c r="C310" s="142"/>
      <c r="N310" s="408"/>
      <c r="O310" s="407"/>
      <c r="P310" s="407"/>
      <c r="CX310" s="707"/>
      <c r="CY310" s="727"/>
    </row>
    <row r="311" spans="2:103" s="126" customFormat="1" ht="14">
      <c r="B311" s="409"/>
      <c r="C311" s="142"/>
      <c r="N311" s="408"/>
      <c r="O311" s="407"/>
      <c r="P311" s="407"/>
      <c r="CX311" s="707"/>
      <c r="CY311" s="727"/>
    </row>
    <row r="312" spans="2:103" s="126" customFormat="1" ht="14">
      <c r="B312" s="409"/>
      <c r="C312" s="142"/>
      <c r="N312" s="408"/>
      <c r="O312" s="407"/>
      <c r="P312" s="407"/>
      <c r="CX312" s="707"/>
      <c r="CY312" s="727"/>
    </row>
    <row r="313" spans="2:103" s="126" customFormat="1" ht="14">
      <c r="B313" s="409"/>
      <c r="C313" s="142"/>
      <c r="N313" s="408"/>
      <c r="O313" s="407"/>
      <c r="P313" s="407"/>
      <c r="CX313" s="707"/>
      <c r="CY313" s="727"/>
    </row>
    <row r="314" spans="2:103" s="126" customFormat="1" ht="14">
      <c r="B314" s="409"/>
      <c r="C314" s="142"/>
      <c r="N314" s="408"/>
      <c r="O314" s="407"/>
      <c r="P314" s="407"/>
      <c r="CX314" s="707"/>
      <c r="CY314" s="727"/>
    </row>
    <row r="315" spans="2:103" s="126" customFormat="1" ht="14">
      <c r="B315" s="409"/>
      <c r="C315" s="142"/>
      <c r="N315" s="408"/>
      <c r="O315" s="407"/>
      <c r="P315" s="407"/>
      <c r="CX315" s="707"/>
      <c r="CY315" s="727"/>
    </row>
    <row r="316" spans="2:103" s="126" customFormat="1" ht="14">
      <c r="B316" s="409"/>
      <c r="C316" s="142"/>
      <c r="N316" s="408"/>
      <c r="O316" s="407"/>
      <c r="P316" s="407"/>
      <c r="CX316" s="707"/>
      <c r="CY316" s="727"/>
    </row>
    <row r="317" spans="2:103" s="126" customFormat="1" ht="14">
      <c r="B317" s="409"/>
      <c r="C317" s="142"/>
      <c r="N317" s="408"/>
      <c r="O317" s="407"/>
      <c r="P317" s="407"/>
      <c r="CX317" s="707"/>
      <c r="CY317" s="727"/>
    </row>
    <row r="318" spans="2:103" s="126" customFormat="1" ht="14">
      <c r="B318" s="409"/>
      <c r="C318" s="142"/>
      <c r="N318" s="408"/>
      <c r="O318" s="407"/>
      <c r="P318" s="407"/>
      <c r="CX318" s="707"/>
      <c r="CY318" s="727"/>
    </row>
    <row r="319" spans="2:103" s="126" customFormat="1" ht="14">
      <c r="B319" s="409"/>
      <c r="C319" s="142"/>
      <c r="N319" s="408"/>
      <c r="O319" s="407"/>
      <c r="P319" s="407"/>
      <c r="CX319" s="707"/>
      <c r="CY319" s="727"/>
    </row>
    <row r="320" spans="2:103" s="126" customFormat="1" ht="14">
      <c r="B320" s="409"/>
      <c r="C320" s="142"/>
      <c r="N320" s="408"/>
      <c r="O320" s="407"/>
      <c r="P320" s="407"/>
      <c r="CX320" s="707"/>
      <c r="CY320" s="727"/>
    </row>
    <row r="321" spans="2:103" s="126" customFormat="1" ht="14">
      <c r="B321" s="409"/>
      <c r="C321" s="142"/>
      <c r="N321" s="408"/>
      <c r="O321" s="407"/>
      <c r="P321" s="407"/>
      <c r="CX321" s="707"/>
      <c r="CY321" s="727"/>
    </row>
    <row r="322" spans="2:103" s="126" customFormat="1" ht="14">
      <c r="B322" s="409"/>
      <c r="C322" s="142"/>
      <c r="N322" s="408"/>
      <c r="O322" s="407"/>
      <c r="P322" s="407"/>
      <c r="CX322" s="707"/>
      <c r="CY322" s="727"/>
    </row>
    <row r="323" spans="2:103" s="126" customFormat="1" ht="14">
      <c r="B323" s="409"/>
      <c r="C323" s="142"/>
      <c r="N323" s="408"/>
      <c r="O323" s="407"/>
      <c r="P323" s="407"/>
      <c r="CX323" s="707"/>
      <c r="CY323" s="727"/>
    </row>
    <row r="324" spans="2:103" s="126" customFormat="1" ht="14">
      <c r="B324" s="409"/>
      <c r="C324" s="142"/>
      <c r="N324" s="408"/>
      <c r="O324" s="407"/>
      <c r="P324" s="407"/>
      <c r="CX324" s="707"/>
      <c r="CY324" s="727"/>
    </row>
    <row r="325" spans="2:103" s="126" customFormat="1" ht="14">
      <c r="B325" s="409"/>
      <c r="C325" s="142"/>
      <c r="N325" s="408"/>
      <c r="O325" s="407"/>
      <c r="P325" s="407"/>
      <c r="CX325" s="707"/>
      <c r="CY325" s="727"/>
    </row>
    <row r="326" spans="2:103" s="126" customFormat="1" ht="14">
      <c r="B326" s="409"/>
      <c r="C326" s="142"/>
      <c r="N326" s="408"/>
      <c r="O326" s="407"/>
      <c r="P326" s="407"/>
      <c r="CX326" s="707"/>
      <c r="CY326" s="727"/>
    </row>
    <row r="327" spans="2:103" s="126" customFormat="1" ht="14">
      <c r="B327" s="409"/>
      <c r="C327" s="142"/>
      <c r="N327" s="408"/>
      <c r="O327" s="407"/>
      <c r="P327" s="407"/>
      <c r="CX327" s="707"/>
      <c r="CY327" s="727"/>
    </row>
    <row r="328" spans="2:103" s="126" customFormat="1" ht="14">
      <c r="B328" s="409"/>
      <c r="C328" s="142"/>
      <c r="N328" s="408"/>
      <c r="O328" s="407"/>
      <c r="P328" s="407"/>
      <c r="CX328" s="707"/>
      <c r="CY328" s="727"/>
    </row>
    <row r="329" spans="2:103" s="126" customFormat="1" ht="14">
      <c r="B329" s="409"/>
      <c r="C329" s="142"/>
      <c r="N329" s="408"/>
      <c r="O329" s="407"/>
      <c r="P329" s="407"/>
      <c r="CX329" s="707"/>
      <c r="CY329" s="727"/>
    </row>
    <row r="330" spans="2:103" s="126" customFormat="1" ht="14">
      <c r="B330" s="409"/>
      <c r="C330" s="142"/>
      <c r="N330" s="408"/>
      <c r="O330" s="407"/>
      <c r="P330" s="407"/>
      <c r="CX330" s="707"/>
      <c r="CY330" s="727"/>
    </row>
    <row r="331" spans="2:103" s="126" customFormat="1" ht="14">
      <c r="B331" s="409"/>
      <c r="C331" s="142"/>
      <c r="N331" s="408"/>
      <c r="O331" s="407"/>
      <c r="P331" s="407"/>
      <c r="CX331" s="707"/>
      <c r="CY331" s="727"/>
    </row>
    <row r="332" spans="2:103" s="126" customFormat="1" ht="14">
      <c r="B332" s="409"/>
      <c r="C332" s="142"/>
      <c r="N332" s="408"/>
      <c r="O332" s="407"/>
      <c r="P332" s="407"/>
      <c r="CX332" s="707"/>
      <c r="CY332" s="727"/>
    </row>
    <row r="333" spans="2:103" s="126" customFormat="1" ht="14">
      <c r="B333" s="409"/>
      <c r="C333" s="142"/>
      <c r="N333" s="408"/>
      <c r="O333" s="407"/>
      <c r="P333" s="407"/>
      <c r="CX333" s="707"/>
      <c r="CY333" s="727"/>
    </row>
    <row r="334" spans="2:103" s="126" customFormat="1" ht="14">
      <c r="B334" s="409"/>
      <c r="C334" s="142"/>
      <c r="N334" s="408"/>
      <c r="O334" s="407"/>
      <c r="P334" s="407"/>
      <c r="CX334" s="707"/>
      <c r="CY334" s="727"/>
    </row>
    <row r="335" spans="2:103" s="126" customFormat="1" ht="14">
      <c r="B335" s="409"/>
      <c r="C335" s="142"/>
      <c r="N335" s="408"/>
      <c r="O335" s="407"/>
      <c r="P335" s="407"/>
      <c r="CX335" s="707"/>
      <c r="CY335" s="727"/>
    </row>
    <row r="336" spans="2:103" s="126" customFormat="1" ht="14">
      <c r="B336" s="409"/>
      <c r="C336" s="142"/>
      <c r="N336" s="408"/>
      <c r="O336" s="407"/>
      <c r="P336" s="407"/>
      <c r="CX336" s="707"/>
      <c r="CY336" s="727"/>
    </row>
    <row r="337" spans="2:103" s="126" customFormat="1" ht="14">
      <c r="B337" s="409"/>
      <c r="C337" s="142"/>
      <c r="N337" s="408"/>
      <c r="O337" s="407"/>
      <c r="P337" s="407"/>
      <c r="CX337" s="707"/>
      <c r="CY337" s="727"/>
    </row>
    <row r="338" spans="2:103" s="126" customFormat="1" ht="14">
      <c r="B338" s="409"/>
      <c r="C338" s="142"/>
      <c r="N338" s="408"/>
      <c r="O338" s="407"/>
      <c r="P338" s="407"/>
      <c r="CX338" s="707"/>
      <c r="CY338" s="727"/>
    </row>
    <row r="339" spans="2:103" s="126" customFormat="1" ht="14">
      <c r="B339" s="409"/>
      <c r="C339" s="142"/>
      <c r="N339" s="408"/>
      <c r="O339" s="407"/>
      <c r="P339" s="407"/>
      <c r="CX339" s="707"/>
      <c r="CY339" s="727"/>
    </row>
    <row r="340" spans="2:103" s="126" customFormat="1" ht="14">
      <c r="B340" s="409"/>
      <c r="C340" s="142"/>
      <c r="N340" s="408"/>
      <c r="O340" s="407"/>
      <c r="P340" s="407"/>
      <c r="CX340" s="707"/>
      <c r="CY340" s="727"/>
    </row>
    <row r="341" spans="2:103" s="126" customFormat="1" ht="14">
      <c r="B341" s="409"/>
      <c r="C341" s="142"/>
      <c r="N341" s="408"/>
      <c r="O341" s="407"/>
      <c r="P341" s="407"/>
      <c r="CX341" s="707"/>
      <c r="CY341" s="727"/>
    </row>
    <row r="342" spans="2:103" s="126" customFormat="1" ht="14">
      <c r="B342" s="409"/>
      <c r="C342" s="142"/>
      <c r="N342" s="408"/>
      <c r="O342" s="407"/>
      <c r="P342" s="407"/>
      <c r="CX342" s="707"/>
      <c r="CY342" s="727"/>
    </row>
    <row r="343" spans="2:103" s="126" customFormat="1" ht="14">
      <c r="B343" s="409"/>
      <c r="C343" s="142"/>
      <c r="N343" s="408"/>
      <c r="O343" s="407"/>
      <c r="P343" s="407"/>
      <c r="CX343" s="707"/>
      <c r="CY343" s="727"/>
    </row>
    <row r="344" spans="2:103" s="126" customFormat="1" ht="14">
      <c r="B344" s="409"/>
      <c r="C344" s="142"/>
      <c r="N344" s="408"/>
      <c r="O344" s="407"/>
      <c r="P344" s="407"/>
      <c r="CX344" s="707"/>
      <c r="CY344" s="727"/>
    </row>
    <row r="345" spans="2:103" s="126" customFormat="1" ht="14">
      <c r="B345" s="409"/>
      <c r="C345" s="142"/>
      <c r="N345" s="408"/>
      <c r="O345" s="407"/>
      <c r="P345" s="407"/>
      <c r="CX345" s="707"/>
      <c r="CY345" s="727"/>
    </row>
    <row r="346" spans="2:103" s="126" customFormat="1" ht="14">
      <c r="B346" s="409"/>
      <c r="C346" s="142"/>
      <c r="N346" s="408"/>
      <c r="O346" s="407"/>
      <c r="P346" s="407"/>
      <c r="CX346" s="707"/>
      <c r="CY346" s="727"/>
    </row>
    <row r="347" spans="2:103" s="126" customFormat="1" ht="14">
      <c r="B347" s="409"/>
      <c r="C347" s="142"/>
      <c r="N347" s="408"/>
      <c r="O347" s="407"/>
      <c r="P347" s="407"/>
      <c r="CX347" s="707"/>
      <c r="CY347" s="727"/>
    </row>
    <row r="348" spans="2:103" s="126" customFormat="1" ht="14">
      <c r="B348" s="409"/>
      <c r="C348" s="142"/>
      <c r="N348" s="408"/>
      <c r="O348" s="407"/>
      <c r="P348" s="407"/>
      <c r="CX348" s="707"/>
      <c r="CY348" s="727"/>
    </row>
    <row r="349" spans="2:103" s="126" customFormat="1" ht="14">
      <c r="B349" s="409"/>
      <c r="C349" s="142"/>
      <c r="N349" s="408"/>
      <c r="O349" s="407"/>
      <c r="P349" s="407"/>
      <c r="CX349" s="707"/>
      <c r="CY349" s="727"/>
    </row>
    <row r="350" spans="2:103" s="126" customFormat="1" ht="14">
      <c r="B350" s="409"/>
      <c r="C350" s="142"/>
      <c r="N350" s="408"/>
      <c r="O350" s="407"/>
      <c r="P350" s="407"/>
      <c r="CX350" s="707"/>
      <c r="CY350" s="727"/>
    </row>
    <row r="351" spans="2:103" s="126" customFormat="1" ht="14">
      <c r="B351" s="409"/>
      <c r="C351" s="142"/>
      <c r="N351" s="408"/>
      <c r="O351" s="407"/>
      <c r="P351" s="407"/>
      <c r="CX351" s="707"/>
      <c r="CY351" s="727"/>
    </row>
    <row r="352" spans="2:103" s="126" customFormat="1" ht="14">
      <c r="B352" s="409"/>
      <c r="C352" s="142"/>
      <c r="N352" s="408"/>
      <c r="O352" s="407"/>
      <c r="P352" s="407"/>
      <c r="CX352" s="707"/>
      <c r="CY352" s="727"/>
    </row>
    <row r="353" spans="2:103" s="126" customFormat="1" ht="14">
      <c r="B353" s="409"/>
      <c r="C353" s="142"/>
      <c r="N353" s="408"/>
      <c r="O353" s="407"/>
      <c r="P353" s="407"/>
      <c r="CX353" s="707"/>
      <c r="CY353" s="727"/>
    </row>
    <row r="354" spans="2:103" s="126" customFormat="1" ht="14">
      <c r="B354" s="409"/>
      <c r="C354" s="142"/>
      <c r="N354" s="408"/>
      <c r="O354" s="407"/>
      <c r="P354" s="407"/>
      <c r="CX354" s="707"/>
      <c r="CY354" s="727"/>
    </row>
    <row r="355" spans="2:103" s="126" customFormat="1" ht="14">
      <c r="B355" s="409"/>
      <c r="C355" s="142"/>
      <c r="N355" s="408"/>
      <c r="O355" s="407"/>
      <c r="P355" s="407"/>
      <c r="CX355" s="707"/>
      <c r="CY355" s="727"/>
    </row>
    <row r="356" spans="2:103" s="126" customFormat="1" ht="14">
      <c r="B356" s="409"/>
      <c r="C356" s="142"/>
      <c r="N356" s="408"/>
      <c r="O356" s="407"/>
      <c r="P356" s="407"/>
      <c r="CX356" s="707"/>
      <c r="CY356" s="727"/>
    </row>
    <row r="357" spans="2:103" s="126" customFormat="1" ht="14">
      <c r="B357" s="409"/>
      <c r="C357" s="142"/>
      <c r="N357" s="408"/>
      <c r="O357" s="407"/>
      <c r="P357" s="407"/>
      <c r="CX357" s="707"/>
      <c r="CY357" s="727"/>
    </row>
    <row r="358" spans="2:103" s="126" customFormat="1" ht="14">
      <c r="B358" s="409"/>
      <c r="C358" s="142"/>
      <c r="N358" s="408"/>
      <c r="O358" s="407"/>
      <c r="P358" s="407"/>
      <c r="CX358" s="707"/>
      <c r="CY358" s="727"/>
    </row>
    <row r="359" spans="2:103" s="126" customFormat="1" ht="14">
      <c r="B359" s="409"/>
      <c r="C359" s="142"/>
      <c r="N359" s="408"/>
      <c r="O359" s="407"/>
      <c r="P359" s="407"/>
      <c r="CX359" s="707"/>
      <c r="CY359" s="727"/>
    </row>
    <row r="360" spans="2:103" s="126" customFormat="1" ht="14">
      <c r="B360" s="409"/>
      <c r="C360" s="142"/>
      <c r="N360" s="408"/>
      <c r="O360" s="407"/>
      <c r="P360" s="407"/>
      <c r="CX360" s="707"/>
      <c r="CY360" s="727"/>
    </row>
    <row r="361" spans="2:103" s="126" customFormat="1" ht="14">
      <c r="B361" s="409"/>
      <c r="C361" s="142"/>
      <c r="N361" s="408"/>
      <c r="O361" s="407"/>
      <c r="P361" s="407"/>
      <c r="CX361" s="707"/>
      <c r="CY361" s="727"/>
    </row>
    <row r="362" spans="2:103" s="126" customFormat="1" ht="14">
      <c r="B362" s="409"/>
      <c r="C362" s="142"/>
      <c r="N362" s="408"/>
      <c r="O362" s="407"/>
      <c r="P362" s="407"/>
      <c r="CX362" s="707"/>
      <c r="CY362" s="727"/>
    </row>
    <row r="363" spans="2:103" s="126" customFormat="1" ht="14">
      <c r="B363" s="409"/>
      <c r="C363" s="142"/>
      <c r="N363" s="408"/>
      <c r="O363" s="407"/>
      <c r="P363" s="407"/>
      <c r="CX363" s="707"/>
      <c r="CY363" s="727"/>
    </row>
    <row r="364" spans="2:103" s="126" customFormat="1" ht="14">
      <c r="B364" s="409"/>
      <c r="C364" s="142"/>
      <c r="N364" s="408"/>
      <c r="O364" s="407"/>
      <c r="P364" s="407"/>
      <c r="CX364" s="707"/>
      <c r="CY364" s="727"/>
    </row>
    <row r="365" spans="2:103" s="126" customFormat="1" ht="14">
      <c r="B365" s="409"/>
      <c r="C365" s="142"/>
      <c r="N365" s="408"/>
      <c r="O365" s="407"/>
      <c r="P365" s="407"/>
      <c r="CX365" s="707"/>
      <c r="CY365" s="727"/>
    </row>
    <row r="366" spans="2:103" s="126" customFormat="1" ht="14">
      <c r="B366" s="409"/>
      <c r="C366" s="142"/>
      <c r="N366" s="408"/>
      <c r="O366" s="407"/>
      <c r="P366" s="407"/>
      <c r="CX366" s="707"/>
      <c r="CY366" s="727"/>
    </row>
    <row r="367" spans="2:103" s="126" customFormat="1" ht="14">
      <c r="B367" s="409"/>
      <c r="C367" s="142"/>
      <c r="N367" s="408"/>
      <c r="O367" s="407"/>
      <c r="P367" s="407"/>
      <c r="CX367" s="707"/>
      <c r="CY367" s="727"/>
    </row>
    <row r="368" spans="2:103" s="126" customFormat="1" ht="14">
      <c r="B368" s="409"/>
      <c r="C368" s="142"/>
      <c r="N368" s="408"/>
      <c r="O368" s="407"/>
      <c r="P368" s="407"/>
      <c r="CX368" s="707"/>
      <c r="CY368" s="727"/>
    </row>
    <row r="369" spans="2:103" s="126" customFormat="1" ht="14">
      <c r="B369" s="409"/>
      <c r="C369" s="142"/>
      <c r="N369" s="408"/>
      <c r="O369" s="407"/>
      <c r="P369" s="407"/>
      <c r="CX369" s="707"/>
      <c r="CY369" s="727"/>
    </row>
    <row r="370" spans="2:103" s="126" customFormat="1" ht="14">
      <c r="B370" s="409"/>
      <c r="C370" s="142"/>
      <c r="N370" s="408"/>
      <c r="O370" s="407"/>
      <c r="P370" s="407"/>
      <c r="CX370" s="707"/>
      <c r="CY370" s="727"/>
    </row>
    <row r="371" spans="2:103" s="126" customFormat="1" ht="14">
      <c r="B371" s="409"/>
      <c r="C371" s="142"/>
      <c r="N371" s="408"/>
      <c r="O371" s="407"/>
      <c r="P371" s="407"/>
      <c r="CX371" s="707"/>
      <c r="CY371" s="727"/>
    </row>
    <row r="372" spans="2:103" s="126" customFormat="1" ht="14">
      <c r="B372" s="409"/>
      <c r="C372" s="142"/>
      <c r="N372" s="408"/>
      <c r="O372" s="407"/>
      <c r="P372" s="407"/>
      <c r="CX372" s="707"/>
      <c r="CY372" s="727"/>
    </row>
    <row r="373" spans="2:103" s="126" customFormat="1" ht="14">
      <c r="B373" s="409"/>
      <c r="C373" s="142"/>
      <c r="N373" s="408"/>
      <c r="O373" s="407"/>
      <c r="P373" s="407"/>
      <c r="CX373" s="707"/>
      <c r="CY373" s="727"/>
    </row>
    <row r="374" spans="2:103" s="126" customFormat="1" ht="14">
      <c r="B374" s="409"/>
      <c r="C374" s="142"/>
      <c r="N374" s="408"/>
      <c r="O374" s="407"/>
      <c r="P374" s="407"/>
      <c r="CX374" s="707"/>
      <c r="CY374" s="727"/>
    </row>
    <row r="375" spans="2:103" s="126" customFormat="1" ht="14">
      <c r="B375" s="409"/>
      <c r="C375" s="142"/>
      <c r="N375" s="408"/>
      <c r="O375" s="407"/>
      <c r="P375" s="407"/>
      <c r="CX375" s="707"/>
      <c r="CY375" s="727"/>
    </row>
    <row r="376" spans="2:103" s="126" customFormat="1" ht="14">
      <c r="B376" s="409"/>
      <c r="C376" s="142"/>
      <c r="N376" s="408"/>
      <c r="O376" s="407"/>
      <c r="P376" s="407"/>
      <c r="CX376" s="707"/>
      <c r="CY376" s="727"/>
    </row>
    <row r="377" spans="2:103" s="126" customFormat="1" ht="14">
      <c r="B377" s="409"/>
      <c r="C377" s="142"/>
      <c r="N377" s="408"/>
      <c r="O377" s="407"/>
      <c r="P377" s="407"/>
      <c r="CX377" s="707"/>
      <c r="CY377" s="727"/>
    </row>
    <row r="378" spans="2:103" s="126" customFormat="1" ht="14">
      <c r="B378" s="409"/>
      <c r="C378" s="142"/>
      <c r="N378" s="408"/>
      <c r="O378" s="407"/>
      <c r="P378" s="407"/>
      <c r="CX378" s="707"/>
      <c r="CY378" s="727"/>
    </row>
    <row r="379" spans="2:103" s="126" customFormat="1" ht="14">
      <c r="B379" s="409"/>
      <c r="C379" s="142"/>
      <c r="N379" s="408"/>
      <c r="O379" s="407"/>
      <c r="P379" s="407"/>
      <c r="CX379" s="707"/>
      <c r="CY379" s="727"/>
    </row>
    <row r="380" spans="2:103" s="126" customFormat="1" ht="14">
      <c r="B380" s="409"/>
      <c r="C380" s="142"/>
      <c r="N380" s="408"/>
      <c r="O380" s="407"/>
      <c r="P380" s="407"/>
      <c r="CX380" s="707"/>
      <c r="CY380" s="727"/>
    </row>
    <row r="381" spans="2:103" s="126" customFormat="1" ht="14">
      <c r="B381" s="409"/>
      <c r="C381" s="142"/>
      <c r="N381" s="408"/>
      <c r="O381" s="407"/>
      <c r="P381" s="407"/>
      <c r="CX381" s="707"/>
      <c r="CY381" s="727"/>
    </row>
    <row r="382" spans="2:103" s="126" customFormat="1" ht="14">
      <c r="B382" s="409"/>
      <c r="C382" s="142"/>
      <c r="N382" s="408"/>
      <c r="O382" s="407"/>
      <c r="P382" s="407"/>
      <c r="CX382" s="707"/>
      <c r="CY382" s="727"/>
    </row>
    <row r="383" spans="2:103" s="126" customFormat="1" ht="14">
      <c r="B383" s="409"/>
      <c r="C383" s="142"/>
      <c r="N383" s="408"/>
      <c r="O383" s="407"/>
      <c r="P383" s="407"/>
      <c r="CX383" s="707"/>
      <c r="CY383" s="727"/>
    </row>
    <row r="384" spans="2:103" s="126" customFormat="1" ht="14">
      <c r="B384" s="409"/>
      <c r="C384" s="142"/>
      <c r="N384" s="408"/>
      <c r="O384" s="407"/>
      <c r="P384" s="407"/>
      <c r="CX384" s="707"/>
      <c r="CY384" s="727"/>
    </row>
    <row r="385" spans="2:103" s="126" customFormat="1" ht="14">
      <c r="B385" s="409"/>
      <c r="C385" s="142"/>
      <c r="N385" s="408"/>
      <c r="O385" s="407"/>
      <c r="P385" s="407"/>
      <c r="CX385" s="707"/>
      <c r="CY385" s="727"/>
    </row>
    <row r="386" spans="2:103" s="126" customFormat="1" ht="14">
      <c r="B386" s="409"/>
      <c r="C386" s="142"/>
      <c r="N386" s="408"/>
      <c r="O386" s="407"/>
      <c r="P386" s="407"/>
      <c r="CX386" s="707"/>
      <c r="CY386" s="727"/>
    </row>
    <row r="387" spans="2:103" s="126" customFormat="1" ht="14">
      <c r="B387" s="409"/>
      <c r="C387" s="142"/>
      <c r="N387" s="408"/>
      <c r="O387" s="407"/>
      <c r="P387" s="407"/>
      <c r="CX387" s="707"/>
      <c r="CY387" s="727"/>
    </row>
    <row r="388" spans="2:103" s="126" customFormat="1" ht="14">
      <c r="B388" s="409"/>
      <c r="C388" s="142"/>
      <c r="N388" s="408"/>
      <c r="O388" s="407"/>
      <c r="P388" s="407"/>
      <c r="CX388" s="707"/>
      <c r="CY388" s="727"/>
    </row>
    <row r="389" spans="2:103" s="126" customFormat="1" ht="14">
      <c r="B389" s="409"/>
      <c r="C389" s="142"/>
      <c r="N389" s="408"/>
      <c r="O389" s="407"/>
      <c r="P389" s="407"/>
      <c r="CX389" s="707"/>
      <c r="CY389" s="727"/>
    </row>
    <row r="390" spans="2:103" s="126" customFormat="1" ht="14">
      <c r="B390" s="409"/>
      <c r="C390" s="142"/>
      <c r="N390" s="408"/>
      <c r="O390" s="407"/>
      <c r="P390" s="407"/>
      <c r="CX390" s="707"/>
      <c r="CY390" s="727"/>
    </row>
    <row r="391" spans="2:103" s="126" customFormat="1" ht="14">
      <c r="B391" s="409"/>
      <c r="C391" s="142"/>
      <c r="N391" s="408"/>
      <c r="O391" s="407"/>
      <c r="P391" s="407"/>
      <c r="CX391" s="707"/>
      <c r="CY391" s="727"/>
    </row>
    <row r="392" spans="2:103" s="126" customFormat="1" ht="14">
      <c r="B392" s="409"/>
      <c r="C392" s="142"/>
      <c r="N392" s="408"/>
      <c r="O392" s="407"/>
      <c r="P392" s="407"/>
      <c r="CX392" s="707"/>
      <c r="CY392" s="727"/>
    </row>
    <row r="393" spans="2:103" s="126" customFormat="1" ht="14">
      <c r="B393" s="409"/>
      <c r="C393" s="142"/>
      <c r="N393" s="408"/>
      <c r="O393" s="407"/>
      <c r="P393" s="407"/>
      <c r="CX393" s="707"/>
      <c r="CY393" s="727"/>
    </row>
    <row r="394" spans="2:103" s="126" customFormat="1" ht="14">
      <c r="B394" s="409"/>
      <c r="C394" s="142"/>
      <c r="N394" s="408"/>
      <c r="O394" s="407"/>
      <c r="P394" s="407"/>
      <c r="CX394" s="707"/>
      <c r="CY394" s="727"/>
    </row>
    <row r="395" spans="2:103" s="126" customFormat="1" ht="14">
      <c r="B395" s="409"/>
      <c r="C395" s="142"/>
      <c r="N395" s="408"/>
      <c r="O395" s="407"/>
      <c r="P395" s="407"/>
      <c r="CX395" s="707"/>
      <c r="CY395" s="727"/>
    </row>
    <row r="396" spans="2:103" s="126" customFormat="1" ht="14">
      <c r="B396" s="409"/>
      <c r="C396" s="142"/>
      <c r="N396" s="408"/>
      <c r="O396" s="407"/>
      <c r="P396" s="407"/>
      <c r="CX396" s="707"/>
      <c r="CY396" s="727"/>
    </row>
    <row r="397" spans="2:103" s="126" customFormat="1" ht="14">
      <c r="B397" s="409"/>
      <c r="C397" s="142"/>
      <c r="N397" s="408"/>
      <c r="O397" s="407"/>
      <c r="P397" s="407"/>
      <c r="CX397" s="707"/>
      <c r="CY397" s="727"/>
    </row>
    <row r="398" spans="2:103" s="126" customFormat="1" ht="14">
      <c r="B398" s="409"/>
      <c r="C398" s="142"/>
      <c r="N398" s="408"/>
      <c r="O398" s="407"/>
      <c r="P398" s="407"/>
      <c r="CX398" s="707"/>
      <c r="CY398" s="727"/>
    </row>
    <row r="399" spans="2:103" s="126" customFormat="1" ht="14">
      <c r="B399" s="409"/>
      <c r="C399" s="142"/>
      <c r="N399" s="408"/>
      <c r="O399" s="407"/>
      <c r="P399" s="407"/>
      <c r="CX399" s="707"/>
      <c r="CY399" s="727"/>
    </row>
    <row r="400" spans="2:103" s="126" customFormat="1" ht="14">
      <c r="B400" s="409"/>
      <c r="C400" s="142"/>
      <c r="N400" s="408"/>
      <c r="O400" s="407"/>
      <c r="P400" s="407"/>
      <c r="CX400" s="707"/>
      <c r="CY400" s="727"/>
    </row>
    <row r="401" spans="2:103" s="126" customFormat="1" ht="14">
      <c r="B401" s="409"/>
      <c r="C401" s="142"/>
      <c r="N401" s="408"/>
      <c r="O401" s="407"/>
      <c r="P401" s="407"/>
      <c r="CX401" s="707"/>
      <c r="CY401" s="727"/>
    </row>
    <row r="402" spans="2:103" s="126" customFormat="1" ht="14">
      <c r="B402" s="409"/>
      <c r="C402" s="142"/>
      <c r="N402" s="408"/>
      <c r="O402" s="407"/>
      <c r="P402" s="407"/>
      <c r="CX402" s="707"/>
      <c r="CY402" s="727"/>
    </row>
    <row r="403" spans="2:103" s="126" customFormat="1" ht="14">
      <c r="B403" s="409"/>
      <c r="C403" s="142"/>
      <c r="N403" s="408"/>
      <c r="O403" s="407"/>
      <c r="P403" s="407"/>
      <c r="CX403" s="707"/>
      <c r="CY403" s="727"/>
    </row>
    <row r="404" spans="2:103" s="126" customFormat="1" ht="14">
      <c r="B404" s="409"/>
      <c r="C404" s="142"/>
      <c r="N404" s="408"/>
      <c r="O404" s="407"/>
      <c r="P404" s="407"/>
      <c r="CX404" s="707"/>
      <c r="CY404" s="727"/>
    </row>
    <row r="405" spans="2:103" s="126" customFormat="1" ht="14">
      <c r="B405" s="409"/>
      <c r="C405" s="142"/>
      <c r="N405" s="408"/>
      <c r="O405" s="407"/>
      <c r="P405" s="407"/>
      <c r="CX405" s="707"/>
      <c r="CY405" s="727"/>
    </row>
    <row r="406" spans="2:103" s="126" customFormat="1" ht="14">
      <c r="B406" s="409"/>
      <c r="C406" s="142"/>
      <c r="D406" s="119"/>
      <c r="E406" s="119"/>
      <c r="F406" s="119"/>
      <c r="G406" s="119"/>
      <c r="H406" s="119"/>
      <c r="I406" s="119"/>
      <c r="J406" s="119"/>
      <c r="K406" s="119"/>
      <c r="L406" s="119"/>
      <c r="M406" s="119"/>
      <c r="N406" s="408"/>
      <c r="O406" s="407"/>
      <c r="P406" s="407"/>
      <c r="CX406" s="707"/>
      <c r="CY406" s="727"/>
    </row>
  </sheetData>
  <dataConsolidate/>
  <mergeCells count="4">
    <mergeCell ref="CW55:CW56"/>
    <mergeCell ref="CW52:CW54"/>
    <mergeCell ref="CW39:CW49"/>
    <mergeCell ref="CW27:CW31"/>
  </mergeCells>
  <phoneticPr fontId="5" type="noConversion"/>
  <conditionalFormatting sqref="AI6:CV7 O6:O7 A6:B6 A7 Q6:AD7 CZ6:XFD7">
    <cfRule type="duplicateValues" dxfId="75" priority="152"/>
  </conditionalFormatting>
  <conditionalFormatting sqref="D29:M29">
    <cfRule type="cellIs" dxfId="74" priority="146" operator="lessThan">
      <formula>$D$21*2</formula>
    </cfRule>
  </conditionalFormatting>
  <conditionalFormatting sqref="D30:M30">
    <cfRule type="cellIs" dxfId="73" priority="134" operator="lessThan">
      <formula>$D$22</formula>
    </cfRule>
  </conditionalFormatting>
  <conditionalFormatting sqref="D19">
    <cfRule type="cellIs" dxfId="72" priority="106" operator="greaterThan">
      <formula>10</formula>
    </cfRule>
  </conditionalFormatting>
  <conditionalFormatting sqref="AI50:CV50 O50 B50 Q50:AD50 CZ50:XFD50">
    <cfRule type="duplicateValues" dxfId="71" priority="1825"/>
  </conditionalFormatting>
  <conditionalFormatting sqref="AR149 D26:M26">
    <cfRule type="uniqueValues" dxfId="70" priority="1834"/>
  </conditionalFormatting>
  <conditionalFormatting sqref="M148">
    <cfRule type="duplicateValues" dxfId="69" priority="1894"/>
  </conditionalFormatting>
  <conditionalFormatting sqref="CW7">
    <cfRule type="duplicateValues" dxfId="68" priority="102"/>
  </conditionalFormatting>
  <conditionalFormatting sqref="CW50">
    <cfRule type="duplicateValues" dxfId="67" priority="103"/>
  </conditionalFormatting>
  <conditionalFormatting sqref="C8">
    <cfRule type="cellIs" dxfId="66" priority="50" operator="notEqual">
      <formula>"Сумма дистанций между точками дренажа УКЗ: "&amp;pipeLength</formula>
    </cfRule>
  </conditionalFormatting>
  <conditionalFormatting sqref="CX19:CY19">
    <cfRule type="duplicateValues" dxfId="65" priority="48"/>
  </conditionalFormatting>
  <conditionalFormatting sqref="CX51:CY51">
    <cfRule type="duplicateValues" dxfId="64" priority="49"/>
  </conditionalFormatting>
  <conditionalFormatting sqref="D70:M70">
    <cfRule type="cellIs" dxfId="63" priority="30" operator="lessThan">
      <formula>ROUNDUP(_xlfn.SINGLE(currentEndLifeCP)/_xlfn.SINGLE(ratedCurrent),0)</formula>
    </cfRule>
  </conditionalFormatting>
  <conditionalFormatting sqref="D71:M71">
    <cfRule type="cellIs" dxfId="62" priority="10" operator="lessThan">
      <formula>ROUNDUP(_xlfn.SINGLE(currentEndLifeCP)/_xlfn.SINGLE(ratedCurrent),0)</formula>
    </cfRule>
  </conditionalFormatting>
  <conditionalFormatting sqref="D72:M72">
    <cfRule type="cellIs" dxfId="61" priority="9" operator="lessThan">
      <formula>ROUNDUP(_xlfn.SINGLE(currentEndLifeCP)/_xlfn.SINGLE(ratedCurrent),0)</formula>
    </cfRule>
  </conditionalFormatting>
  <conditionalFormatting sqref="D73:M73">
    <cfRule type="cellIs" dxfId="60" priority="7" operator="lessThan">
      <formula>ROUNDUP(_xlfn.SINGLE(currentEndLifeCP)/_xlfn.SINGLE(ratedCurrent),0)</formula>
    </cfRule>
  </conditionalFormatting>
  <conditionalFormatting sqref="D75:M75">
    <cfRule type="cellIs" dxfId="59" priority="6" operator="lessThan">
      <formula>ROUNDUP(_xlfn.SINGLE(currentEndLifeCP)/(_xlfn.SINGLE(specificRatedCurrent)*_xlfn.SINGLE(lengthElectrodeAG)),2)</formula>
    </cfRule>
  </conditionalFormatting>
  <conditionalFormatting sqref="D76:M76">
    <cfRule type="cellIs" dxfId="58" priority="5" operator="lessThan">
      <formula>ROUNDUP(_xlfn.SINGLE(currentEndLifeCP)/_xlfn.SINGLE(ratedCurrent),0)</formula>
    </cfRule>
  </conditionalFormatting>
  <conditionalFormatting sqref="D77:M77">
    <cfRule type="cellIs" dxfId="57" priority="4" operator="lessThan">
      <formula>ROUNDUP(_xlfn.SINGLE(currentEndLifeCP)/_xlfn.SINGLE(ratedCurrent),0)</formula>
    </cfRule>
  </conditionalFormatting>
  <conditionalFormatting sqref="D78:M78">
    <cfRule type="cellIs" dxfId="56" priority="3" operator="lessThan">
      <formula>ROUNDUP(_xlfn.SINGLE(currentEndLifeCP)/_xlfn.SINGLE(ratedCurrent),0)</formula>
    </cfRule>
  </conditionalFormatting>
  <conditionalFormatting sqref="D74:M74">
    <cfRule type="cellIs" dxfId="55" priority="1" operator="lessThan">
      <formula>ROUNDUP(_xlfn.SINGLE(currentEndLifeCP)/(_xlfn.SINGLE(specificRatedCurrent)*_xlfn.SINGLE(lengthElectrodeAG)),2)</formula>
    </cfRule>
  </conditionalFormatting>
  <dataValidations count="19">
    <dataValidation type="list" allowBlank="1" showInputMessage="1" showErrorMessage="1" sqref="E9:M9" xr:uid="{8A5C004E-2A72-4F46-9174-AEFA742D5B7A}">
      <formula1>"1,1.500"</formula1>
    </dataValidation>
    <dataValidation type="list" allowBlank="1" showInputMessage="1" showErrorMessage="1" errorTitle="Коэффициент k" error="Для одиночной УКЗ k = 1, _x000a_для УКЗ, работающей рядом с соседними, k = 2" prompt="Для одиночной УКЗ k = 1, _x000a_для УКЗ, работающей рядом с соседними, k = 2" sqref="E6:M7" xr:uid="{B89FE3A4-7438-4342-97D9-23C315E2576A}">
      <formula1>"1, 2"</formula1>
    </dataValidation>
    <dataValidation type="decimal" allowBlank="1" showInputMessage="1" showErrorMessage="1" errorTitle="от -0.85 до -1.05 В" error="ГОСТ 9.602-2016 Межгосударственный стандарт. Единая система защиты от коррозии и старения. Сооружения подземные. Общие требования к защите от коррозии. Таблица 4 - Защитные потенциалы металла сооружения относительно насыщенного медно-сульфатного электрод" prompt="от -0.85 до -1.05" sqref="D3" xr:uid="{1A9CC81C-5B07-804E-8F69-A84D2E166AC5}">
      <formula1>-1.15</formula1>
      <formula2>-0.85</formula2>
    </dataValidation>
    <dataValidation type="decimal" allowBlank="1" showInputMessage="1" showErrorMessage="1" errorTitle="&lt; 100 м" error="Максимальная длина дренажной линии и спусков провода с опор катодной станции к трубе не должна превышать 100 м. _x000a_РД 91.020.00-КТН-149-06 «Нормы проектирования электрохимической защиты магистральных трубопроводов и сооружений НПС" sqref="N12:CV13" xr:uid="{C3DDCCD3-413C-D847-96A4-E89F2B97A8D9}">
      <formula1>0</formula1>
      <formula2>100</formula2>
    </dataValidation>
    <dataValidation type="decimal" operator="greaterThan" allowBlank="1" showInputMessage="1" showErrorMessage="1" errorTitle="не менее 6 мм²" error="Катодная дренажная линия от клеммы «минус» УКЗ до дренажного КИП — 1×35 или 2×25 мм²._x000a_Катодная дренажная линия «КИП-сооружение» — 2×25 мм²._x000a_Анодные дренажные линии «УКЗ-КИП-анод» — 1×16 мм²._x000a_Дренажные линии «протектор-КИП-сооружение» — 2×6 мм²." prompt="Катодная дренажная линия от клеммы «минус» УКЗ до дренажного КИП — 1×35 или 2×25 мм²._x000a_Катодная дренажная линия «КИП-сооружение» — 2×25 мм²._x000a_Анодные дренажные линии «УКЗ-КИП-анод» — 1×16 мм²._x000a_Дренажные линии «протектор-КИП-сооружение» — 2×6 мм²." sqref="D11:CV11" xr:uid="{D1878F0A-C081-D344-94E5-8389E8861D66}">
      <formula1>0.000006</formula1>
    </dataValidation>
    <dataValidation type="decimal" allowBlank="1" showInputMessage="1" showErrorMessage="1" errorTitle="от -0.23 до -0.72 В" error="В расчётах параметров катодной защиты принимается равным -0.55 В" promptTitle="-0.55" prompt="Естественный потенциал трубопровода обычно находится в пределах -0.23–0.72 В по медно-сульфатному электроду сравнения. В расчётах параметров катодной защиты принимается равным -0.55 В_x000a_" sqref="D11:CV11" xr:uid="{E5E204F9-E6FB-CD42-A05F-0478A82E6E26}">
      <formula1>-0.72</formula1>
      <formula2>-0.23</formula2>
    </dataValidation>
    <dataValidation type="list" errorStyle="warning" allowBlank="1" showInputMessage="1" showErrorMessage="1" errorTitle="Коэффициент k" error="Для одиночной УКЗ k = 1, _x000a_для УКЗ, работающей рядом с соседними, k = 0.5 (за счет взаимовлияния)" prompt="Для одиночной УКЗ k = 1, _x000a_для УКЗ, работающей рядом с соседними, k = 0.5" sqref="D6" xr:uid="{5851DFBC-63A2-7F47-B9F4-35DF52AEECB1}">
      <formula1>"1, 0.5"</formula1>
    </dataValidation>
    <dataValidation allowBlank="1" showInputMessage="1" showErrorMessage="1" promptTitle="Коэффициент неоднородности" prompt="_x0009_•_x0009_Kн ≈ 1: Грунт идеально однородный. Встречается крайне редко._x000a__x0009_•_x0009_1 &lt; Kн ≤ 3: Условия благоприятные. Неоднородность слабая, можно проектировать стандартный ГАЗ._x000a__x0009_•_x0009_3 &lt; Kн ≤ 5: Условия условно-благоприятные. Требуется увеличение объема засыпки._x000a__x0009_•_x0009_5 &lt; Kн " sqref="N54:CV54" xr:uid="{0F1D08B2-61B9-274D-A0AE-994C7C6BFFB5}"/>
    <dataValidation allowBlank="1" showErrorMessage="1" promptTitle="Коэффициент неоднородности" sqref="D52:M54" xr:uid="{DA7F041E-3450-FB46-AF68-82F3F8098682}"/>
    <dataValidation type="list" errorStyle="warning" allowBlank="1" showInputMessage="1" showErrorMessage="1" sqref="D9" xr:uid="{CCBBA168-41DE-9842-B563-807E480B8E02}">
      <formula1>"1,1.500"</formula1>
    </dataValidation>
    <dataValidation type="decimal" errorStyle="warning" operator="lessThan" allowBlank="1" showInputMessage="1" showErrorMessage="1" errorTitle="2*I (A)" error="Рекомендуется принимать номинальный ток защитной установки примерно вдвое большим, чем требуемый защитный ток по расчёту, чтобы обеспечить запас на возможное расширение системы. Это позволяет учесть возможное снижение сопротивления изоляции, увеличение бл" sqref="D29:M29" xr:uid="{61304505-D0E3-6840-871C-55DDF2CFE41B}">
      <formula1>D21*2</formula1>
    </dataValidation>
    <dataValidation allowBlank="1" showInputMessage="1" sqref="F85" xr:uid="{DC8796DE-C028-834B-9568-8CB7309DD266}"/>
    <dataValidation type="decimal" errorStyle="warning" allowBlank="1" showInputMessage="1" showErrorMessage="1" errorTitle="от -0.23 до -0.72 В" error="В расчётах параметров катодной защиты принимается равным -0.55 В" promptTitle="-0.55" prompt="Естественный потенциал трубопровода обычно находится в пределах -0.23–0.72 В по медно-сульфатному электроду сравнения. В расчётах параметров катодной защиты принимается равным -0.55 В_x000a_" sqref="D5" xr:uid="{22059C2E-F8AB-E047-B13A-C9B20EB91B3B}">
      <formula1>-0.72</formula1>
      <formula2>-0.23</formula2>
    </dataValidation>
    <dataValidation type="decimal" errorStyle="warning" allowBlank="1" showInputMessage="1" showErrorMessage="1" errorTitle="от -1.05 до -3.5 В" error="В расчётах параметров катодной защиты принимается равным от -1.05 до -3.5 В" promptTitle="-1.15" prompt="Естественный потенциал трубопровода обычно находится в пределах -0.23–0.72 В по медно-сульфатному электроду сравнения. В расчётах параметров катодной защиты принимается равным -0.55 В_x000a_" sqref="D4" xr:uid="{32967AD2-9DF8-A74B-96D9-81F054FB96DF}">
      <formula1>-3.5</formula1>
      <formula2>-1.05</formula2>
    </dataValidation>
    <dataValidation type="decimal" errorStyle="warning" allowBlank="1" showInputMessage="1" showErrorMessage="1" errorTitle="&lt; 100 м" error="Максимальная длина дренажной линии и спусков провода с опор катодной станции к трубе не должна превышать 100 м. _x000a_РД 91.020.00-КТН-149-06 «Нормы проектирования электрохимической защиты магистральных трубопроводов и сооружений НПС" sqref="D12:M13" xr:uid="{163BC040-397F-224D-B6D2-FE7067ADBB6C}">
      <formula1>0</formula1>
      <formula2>100</formula2>
    </dataValidation>
    <dataValidation type="decimal" errorStyle="warning" operator="greaterThan" allowBlank="1" showInputMessage="1" showErrorMessage="1" errorTitle="ВНИМАНИЕ:" error="Суммарная длина защитных зон УКЗ меньше длинны трубопровода!" promptTitle="ВНИМАНИЕ:" prompt="В данной реализации Количество установок катодной защиты не более 10" sqref="D19" xr:uid="{5C74A686-DCD0-2C4F-B989-08002F87FB9B}">
      <formula1>pipeLength/lengthProtectiveZone</formula1>
    </dataValidation>
    <dataValidation errorStyle="warning" operator="greaterThan" showInputMessage="1" errorTitle="Внимаине:" sqref="D48:M48" xr:uid="{5FAE9732-199F-2B44-92F6-7F50C3112154}"/>
    <dataValidation type="decimal" errorStyle="warning" operator="greaterThanOrEqual" showInputMessage="1" showErrorMessage="1" errorTitle="ВНИМАНИЕ:" error="Сила тока  катодной установки на заданный срок эксплуатации больше номинального тока заземлителя! Необходимо увеличить количество или длинну заземлителя." sqref="D70:M73 D76:M79" xr:uid="{9A215A73-A516-D94A-A4B7-469236B9420B}">
      <formula1>ROUNDUP(_xlfn.SINGLE(currentEndLifeCP)/_xlfn.SINGLE(ratedCurrent),0)</formula1>
    </dataValidation>
    <dataValidation type="decimal" errorStyle="warning" operator="greaterThanOrEqual" showInputMessage="1" showErrorMessage="1" errorTitle="ВНИМАНИЕ:" error="Сила тока  катодной установки на заданный срок эксплуатации больше номинального тока заземлителя! Необходимо увеличить количество или длинну заземлителя." sqref="D74:M75" xr:uid="{448C41F6-5B6D-C14C-AC34-54DB0F63EEB6}">
      <formula1>ROUNDUP(_xlfn.SINGLE(currentEndLifeCP)/(_xlfn.SINGLE(specificRatedCurrent)*_xlfn.SINGLE(lengthElectrodeAG)),2)</formula1>
    </dataValidation>
  </dataValidations>
  <hyperlinks>
    <hyperlink ref="C1" location="Menu!R11C2" display=" Расчет параметров установок катодной защиты " xr:uid="{FE70A9A7-CCC9-054D-9C59-D1D25216B2C8}"/>
    <hyperlink ref="C34" location="Menu!R14C3" display="Выберите Материал анода" xr:uid="{30920E3F-D500-D940-84C5-7D1C54170E35}"/>
    <hyperlink ref="C36" location="Menu!R16C3" display="Способ монтажа" xr:uid="{B29B0CD9-32EF-9F4A-A655-20EC16D2DA97}"/>
    <hyperlink ref="C37" location="Menu!R17C3" display="Комплектация" xr:uid="{A4A7EEE6-CDA2-0C47-85E2-246C20021295}"/>
    <hyperlink ref="C38" location="Menu!R18C3" display="Модель" xr:uid="{719A8DE8-BDD8-A347-AA86-48B366DCFFCE}"/>
    <hyperlink ref="C57" location="Menu!R26C2" display="Расчет параметров анодных заземлителей" xr:uid="{1B8583A5-CF85-6E44-A37E-356E582756BD}"/>
    <hyperlink ref="C15" location="Menu!R10C3" display="Определение параметров установок катодной защиты " xr:uid="{797E6F04-974B-8749-9F96-C0DCD01E023F}"/>
    <hyperlink ref="C33" location="Menu!R14C2" display="Выбор параметров анодных заземлителей" xr:uid="{0CC2C6F6-2E69-F94D-A98E-51A020F9BAC4}"/>
    <hyperlink ref="C32" location="Menu!R21C2" display="Исходные данные для определения сопротивления растеканию тока заземлителя" xr:uid="{0EFA1ACC-1611-F84C-96AE-4A07156C1F1B}"/>
    <hyperlink ref="C2" location="Menu!R9C3" display="Исходные данные для определения параметров установок катодной защиты " xr:uid="{A05EB772-181E-8F4A-BBDB-98898DB43965}"/>
    <hyperlink ref="C35" location="Menu!R15C3" display="Тип монтажа" xr:uid="{CBB35CF6-90D7-B240-9387-539765CFC501}"/>
    <hyperlink ref="C110:C118" location="Menu!R28C3" display="Menu!R28C3" xr:uid="{FE2FD9D5-B8AB-D448-BDE4-B157BB0013E5}"/>
    <hyperlink ref="F27" r:id="rId1" xr:uid="{88FB7BA2-8943-B84A-8321-C7EB9E5404AE}"/>
    <hyperlink ref="G27" r:id="rId2" xr:uid="{7E7C47E8-264D-4245-BCE3-612C8B5B2319}"/>
    <hyperlink ref="H27" r:id="rId3" xr:uid="{926405FC-3FE9-8A40-BEB0-B4A81D337F27}"/>
    <hyperlink ref="I27" r:id="rId4" xr:uid="{5458BABD-7ABD-3640-BA3D-6C472954B654}"/>
    <hyperlink ref="J27" r:id="rId5" xr:uid="{24FFCE7E-DE97-EE4E-8C90-EAED9F388EF8}"/>
    <hyperlink ref="K27" r:id="rId6" xr:uid="{0280B725-C455-CC44-95EF-C4D5309D747C}"/>
    <hyperlink ref="L27" r:id="rId7" xr:uid="{BD48FD4D-43AC-F64C-9751-68682826AABA}"/>
    <hyperlink ref="M27" r:id="rId8" xr:uid="{33F1C48F-9A8D-A341-B96E-902DB97F873A}"/>
  </hyperlinks>
  <pageMargins left="0.7" right="0.7" top="0.75" bottom="0.75" header="0.3" footer="0.3"/>
  <pageSetup paperSize="9" orientation="portrait" horizontalDpi="0" verticalDpi="0"/>
  <drawing r:id="rId9"/>
  <legacyDrawing r:id="rId10"/>
  <mc:AlternateContent xmlns:mc="http://schemas.openxmlformats.org/markup-compatibility/2006">
    <mc:Choice Requires="x14">
      <controls>
        <mc:AlternateContent xmlns:mc="http://schemas.openxmlformats.org/markup-compatibility/2006">
          <mc:Choice Requires="x14">
            <control shapeId="146436" r:id="rId11" name="Button 4">
              <controlPr defaultSize="0" print="0" autoFill="0" autoPict="0" macro="[0]!button87_click">
                <anchor moveWithCells="1" sizeWithCells="1">
                  <from>
                    <xdr:col>2</xdr:col>
                    <xdr:colOff>3835400</xdr:colOff>
                    <xdr:row>69</xdr:row>
                    <xdr:rowOff>50800</xdr:rowOff>
                  </from>
                  <to>
                    <xdr:col>2</xdr:col>
                    <xdr:colOff>4521200</xdr:colOff>
                    <xdr:row>69</xdr:row>
                    <xdr:rowOff>317500</xdr:rowOff>
                  </to>
                </anchor>
              </controlPr>
            </control>
          </mc:Choice>
        </mc:AlternateContent>
        <mc:AlternateContent xmlns:mc="http://schemas.openxmlformats.org/markup-compatibility/2006">
          <mc:Choice Requires="x14">
            <control shapeId="146611" r:id="rId12" name="Button 179">
              <controlPr defaultSize="0" print="0" autoFill="0" autoPict="0" macro="[0]!button179_click">
                <anchor moveWithCells="1" sizeWithCells="1">
                  <from>
                    <xdr:col>2</xdr:col>
                    <xdr:colOff>3873500</xdr:colOff>
                    <xdr:row>71</xdr:row>
                    <xdr:rowOff>50800</xdr:rowOff>
                  </from>
                  <to>
                    <xdr:col>2</xdr:col>
                    <xdr:colOff>4521200</xdr:colOff>
                    <xdr:row>71</xdr:row>
                    <xdr:rowOff>355600</xdr:rowOff>
                  </to>
                </anchor>
              </controlPr>
            </control>
          </mc:Choice>
        </mc:AlternateContent>
        <mc:AlternateContent xmlns:mc="http://schemas.openxmlformats.org/markup-compatibility/2006">
          <mc:Choice Requires="x14">
            <control shapeId="146635" r:id="rId13" name="Button 203">
              <controlPr defaultSize="0" print="0" autoFill="0" autoPict="0" macro="[0]!button203_click">
                <anchor moveWithCells="1" sizeWithCells="1">
                  <from>
                    <xdr:col>2</xdr:col>
                    <xdr:colOff>3822700</xdr:colOff>
                    <xdr:row>70</xdr:row>
                    <xdr:rowOff>38100</xdr:rowOff>
                  </from>
                  <to>
                    <xdr:col>2</xdr:col>
                    <xdr:colOff>4521200</xdr:colOff>
                    <xdr:row>70</xdr:row>
                    <xdr:rowOff>330200</xdr:rowOff>
                  </to>
                </anchor>
              </controlPr>
            </control>
          </mc:Choice>
        </mc:AlternateContent>
        <mc:AlternateContent xmlns:mc="http://schemas.openxmlformats.org/markup-compatibility/2006">
          <mc:Choice Requires="x14">
            <control shapeId="146651" r:id="rId14" name="Button 219">
              <controlPr defaultSize="0" print="0" autoFill="0" autoPict="0" macro="[0]!button219_click">
                <anchor moveWithCells="1" sizeWithCells="1">
                  <from>
                    <xdr:col>2</xdr:col>
                    <xdr:colOff>3860800</xdr:colOff>
                    <xdr:row>72</xdr:row>
                    <xdr:rowOff>38100</xdr:rowOff>
                  </from>
                  <to>
                    <xdr:col>2</xdr:col>
                    <xdr:colOff>4521200</xdr:colOff>
                    <xdr:row>72</xdr:row>
                    <xdr:rowOff>342900</xdr:rowOff>
                  </to>
                </anchor>
              </controlPr>
            </control>
          </mc:Choice>
        </mc:AlternateContent>
        <mc:AlternateContent xmlns:mc="http://schemas.openxmlformats.org/markup-compatibility/2006">
          <mc:Choice Requires="x14">
            <control shapeId="146697" r:id="rId15" name="Button 265">
              <controlPr defaultSize="0" print="0" autoFill="0" autoPict="0" macro="[0]!button264_click">
                <anchor moveWithCells="1" sizeWithCells="1">
                  <from>
                    <xdr:col>2</xdr:col>
                    <xdr:colOff>3873500</xdr:colOff>
                    <xdr:row>73</xdr:row>
                    <xdr:rowOff>50800</xdr:rowOff>
                  </from>
                  <to>
                    <xdr:col>2</xdr:col>
                    <xdr:colOff>4521200</xdr:colOff>
                    <xdr:row>73</xdr:row>
                    <xdr:rowOff>355600</xdr:rowOff>
                  </to>
                </anchor>
              </controlPr>
            </control>
          </mc:Choice>
        </mc:AlternateContent>
        <mc:AlternateContent xmlns:mc="http://schemas.openxmlformats.org/markup-compatibility/2006">
          <mc:Choice Requires="x14">
            <control shapeId="146698" r:id="rId16" name="Button 266">
              <controlPr defaultSize="0" print="0" autoFill="0" autoPict="0" macro="[0]!button266_click">
                <anchor moveWithCells="1" sizeWithCells="1">
                  <from>
                    <xdr:col>2</xdr:col>
                    <xdr:colOff>3822700</xdr:colOff>
                    <xdr:row>74</xdr:row>
                    <xdr:rowOff>25400</xdr:rowOff>
                  </from>
                  <to>
                    <xdr:col>2</xdr:col>
                    <xdr:colOff>4521200</xdr:colOff>
                    <xdr:row>74</xdr:row>
                    <xdr:rowOff>304800</xdr:rowOff>
                  </to>
                </anchor>
              </controlPr>
            </control>
          </mc:Choice>
        </mc:AlternateContent>
        <mc:AlternateContent xmlns:mc="http://schemas.openxmlformats.org/markup-compatibility/2006">
          <mc:Choice Requires="x14">
            <control shapeId="146704" r:id="rId17" name="Button 272">
              <controlPr defaultSize="0" print="0" autoFill="0" autoPict="0" macro="[0]!button40_click">
                <anchor moveWithCells="1" sizeWithCells="1">
                  <from>
                    <xdr:col>2</xdr:col>
                    <xdr:colOff>3835400</xdr:colOff>
                    <xdr:row>75</xdr:row>
                    <xdr:rowOff>38100</xdr:rowOff>
                  </from>
                  <to>
                    <xdr:col>2</xdr:col>
                    <xdr:colOff>4521200</xdr:colOff>
                    <xdr:row>75</xdr:row>
                    <xdr:rowOff>317500</xdr:rowOff>
                  </to>
                </anchor>
              </controlPr>
            </control>
          </mc:Choice>
        </mc:AlternateContent>
        <mc:AlternateContent xmlns:mc="http://schemas.openxmlformats.org/markup-compatibility/2006">
          <mc:Choice Requires="x14">
            <control shapeId="146952" r:id="rId18" name="Button 520">
              <controlPr defaultSize="0" print="0" autoFill="0" autoPict="0" macro="[0]!button41_click">
                <anchor moveWithCells="1" sizeWithCells="1">
                  <from>
                    <xdr:col>2</xdr:col>
                    <xdr:colOff>3822700</xdr:colOff>
                    <xdr:row>76</xdr:row>
                    <xdr:rowOff>25400</xdr:rowOff>
                  </from>
                  <to>
                    <xdr:col>2</xdr:col>
                    <xdr:colOff>4521200</xdr:colOff>
                    <xdr:row>76</xdr:row>
                    <xdr:rowOff>279400</xdr:rowOff>
                  </to>
                </anchor>
              </controlPr>
            </control>
          </mc:Choice>
        </mc:AlternateContent>
        <mc:AlternateContent xmlns:mc="http://schemas.openxmlformats.org/markup-compatibility/2006">
          <mc:Choice Requires="x14">
            <control shapeId="147013" r:id="rId19" name="Button 581">
              <controlPr defaultSize="0" print="0" autoFill="0" autoPict="0" macro="[0]!button581_click">
                <anchor moveWithCells="1" sizeWithCells="1">
                  <from>
                    <xdr:col>2</xdr:col>
                    <xdr:colOff>3848100</xdr:colOff>
                    <xdr:row>77</xdr:row>
                    <xdr:rowOff>25400</xdr:rowOff>
                  </from>
                  <to>
                    <xdr:col>2</xdr:col>
                    <xdr:colOff>4521200</xdr:colOff>
                    <xdr:row>77</xdr:row>
                    <xdr:rowOff>241300</xdr:rowOff>
                  </to>
                </anchor>
              </controlPr>
            </control>
          </mc:Choice>
        </mc:AlternateContent>
        <mc:AlternateContent xmlns:mc="http://schemas.openxmlformats.org/markup-compatibility/2006">
          <mc:Choice Requires="x14">
            <control shapeId="147101" r:id="rId20" name="Button 669">
              <controlPr defaultSize="0" print="0" autoFill="0" autoPict="0" macro="[0]!button669_click" altText="Кнопка 669">
                <anchor moveWithCells="1" sizeWithCells="1">
                  <from>
                    <xdr:col>2</xdr:col>
                    <xdr:colOff>3035300</xdr:colOff>
                    <xdr:row>56</xdr:row>
                    <xdr:rowOff>12700</xdr:rowOff>
                  </from>
                  <to>
                    <xdr:col>2</xdr:col>
                    <xdr:colOff>6337300</xdr:colOff>
                    <xdr:row>56</xdr:row>
                    <xdr:rowOff>292100</xdr:rowOff>
                  </to>
                </anchor>
              </controlPr>
            </control>
          </mc:Choice>
        </mc:AlternateContent>
        <mc:AlternateContent xmlns:mc="http://schemas.openxmlformats.org/markup-compatibility/2006">
          <mc:Choice Requires="x14">
            <control shapeId="147141" r:id="rId21" name="Button 709">
              <controlPr defaultSize="0" print="0" autoFill="0" autoPict="0" macro="[0]!button87_click">
                <anchor moveWithCells="1" sizeWithCells="1">
                  <from>
                    <xdr:col>2</xdr:col>
                    <xdr:colOff>3835400</xdr:colOff>
                    <xdr:row>69</xdr:row>
                    <xdr:rowOff>50800</xdr:rowOff>
                  </from>
                  <to>
                    <xdr:col>2</xdr:col>
                    <xdr:colOff>4521200</xdr:colOff>
                    <xdr:row>69</xdr:row>
                    <xdr:rowOff>317500</xdr:rowOff>
                  </to>
                </anchor>
              </controlPr>
            </control>
          </mc:Choice>
        </mc:AlternateContent>
        <mc:AlternateContent xmlns:mc="http://schemas.openxmlformats.org/markup-compatibility/2006">
          <mc:Choice Requires="x14">
            <control shapeId="147142" r:id="rId22" name="Button 710">
              <controlPr defaultSize="0" print="0" autoFill="0" autoPict="0" macro="[0]!button179_click">
                <anchor moveWithCells="1" sizeWithCells="1">
                  <from>
                    <xdr:col>2</xdr:col>
                    <xdr:colOff>3873500</xdr:colOff>
                    <xdr:row>71</xdr:row>
                    <xdr:rowOff>50800</xdr:rowOff>
                  </from>
                  <to>
                    <xdr:col>2</xdr:col>
                    <xdr:colOff>4521200</xdr:colOff>
                    <xdr:row>71</xdr:row>
                    <xdr:rowOff>355600</xdr:rowOff>
                  </to>
                </anchor>
              </controlPr>
            </control>
          </mc:Choice>
        </mc:AlternateContent>
        <mc:AlternateContent xmlns:mc="http://schemas.openxmlformats.org/markup-compatibility/2006">
          <mc:Choice Requires="x14">
            <control shapeId="147143" r:id="rId23" name="Button 711">
              <controlPr defaultSize="0" print="0" autoFill="0" autoPict="0" macro="[0]!button203_click">
                <anchor moveWithCells="1" sizeWithCells="1">
                  <from>
                    <xdr:col>2</xdr:col>
                    <xdr:colOff>3822700</xdr:colOff>
                    <xdr:row>70</xdr:row>
                    <xdr:rowOff>38100</xdr:rowOff>
                  </from>
                  <to>
                    <xdr:col>2</xdr:col>
                    <xdr:colOff>4521200</xdr:colOff>
                    <xdr:row>70</xdr:row>
                    <xdr:rowOff>330200</xdr:rowOff>
                  </to>
                </anchor>
              </controlPr>
            </control>
          </mc:Choice>
        </mc:AlternateContent>
        <mc:AlternateContent xmlns:mc="http://schemas.openxmlformats.org/markup-compatibility/2006">
          <mc:Choice Requires="x14">
            <control shapeId="147144" r:id="rId24" name="Button 712">
              <controlPr defaultSize="0" print="0" autoFill="0" autoPict="0" macro="[0]!button219_click">
                <anchor moveWithCells="1" sizeWithCells="1">
                  <from>
                    <xdr:col>2</xdr:col>
                    <xdr:colOff>3860800</xdr:colOff>
                    <xdr:row>72</xdr:row>
                    <xdr:rowOff>38100</xdr:rowOff>
                  </from>
                  <to>
                    <xdr:col>2</xdr:col>
                    <xdr:colOff>4521200</xdr:colOff>
                    <xdr:row>72</xdr:row>
                    <xdr:rowOff>342900</xdr:rowOff>
                  </to>
                </anchor>
              </controlPr>
            </control>
          </mc:Choice>
        </mc:AlternateContent>
        <mc:AlternateContent xmlns:mc="http://schemas.openxmlformats.org/markup-compatibility/2006">
          <mc:Choice Requires="x14">
            <control shapeId="147145" r:id="rId25" name="Button 713">
              <controlPr defaultSize="0" print="0" autoFill="0" autoPict="0" macro="[0]!button264_click">
                <anchor moveWithCells="1" sizeWithCells="1">
                  <from>
                    <xdr:col>2</xdr:col>
                    <xdr:colOff>3873500</xdr:colOff>
                    <xdr:row>73</xdr:row>
                    <xdr:rowOff>50800</xdr:rowOff>
                  </from>
                  <to>
                    <xdr:col>2</xdr:col>
                    <xdr:colOff>4521200</xdr:colOff>
                    <xdr:row>73</xdr:row>
                    <xdr:rowOff>355600</xdr:rowOff>
                  </to>
                </anchor>
              </controlPr>
            </control>
          </mc:Choice>
        </mc:AlternateContent>
        <mc:AlternateContent xmlns:mc="http://schemas.openxmlformats.org/markup-compatibility/2006">
          <mc:Choice Requires="x14">
            <control shapeId="147146" r:id="rId26" name="Button 714">
              <controlPr defaultSize="0" print="0" autoFill="0" autoPict="0" macro="[0]!button266_click">
                <anchor moveWithCells="1" sizeWithCells="1">
                  <from>
                    <xdr:col>2</xdr:col>
                    <xdr:colOff>3822700</xdr:colOff>
                    <xdr:row>74</xdr:row>
                    <xdr:rowOff>25400</xdr:rowOff>
                  </from>
                  <to>
                    <xdr:col>2</xdr:col>
                    <xdr:colOff>4521200</xdr:colOff>
                    <xdr:row>74</xdr:row>
                    <xdr:rowOff>304800</xdr:rowOff>
                  </to>
                </anchor>
              </controlPr>
            </control>
          </mc:Choice>
        </mc:AlternateContent>
        <mc:AlternateContent xmlns:mc="http://schemas.openxmlformats.org/markup-compatibility/2006">
          <mc:Choice Requires="x14">
            <control shapeId="147147" r:id="rId27" name="Button 715">
              <controlPr defaultSize="0" print="0" autoFill="0" autoPict="0" macro="[0]!button40_click">
                <anchor moveWithCells="1" sizeWithCells="1">
                  <from>
                    <xdr:col>2</xdr:col>
                    <xdr:colOff>3835400</xdr:colOff>
                    <xdr:row>75</xdr:row>
                    <xdr:rowOff>38100</xdr:rowOff>
                  </from>
                  <to>
                    <xdr:col>2</xdr:col>
                    <xdr:colOff>4521200</xdr:colOff>
                    <xdr:row>75</xdr:row>
                    <xdr:rowOff>317500</xdr:rowOff>
                  </to>
                </anchor>
              </controlPr>
            </control>
          </mc:Choice>
        </mc:AlternateContent>
        <mc:AlternateContent xmlns:mc="http://schemas.openxmlformats.org/markup-compatibility/2006">
          <mc:Choice Requires="x14">
            <control shapeId="147150" r:id="rId28" name="Button 718">
              <controlPr defaultSize="0" print="0" autoFill="0" autoPict="0" macro="[0]!button41_click">
                <anchor moveWithCells="1" sizeWithCells="1">
                  <from>
                    <xdr:col>2</xdr:col>
                    <xdr:colOff>3822700</xdr:colOff>
                    <xdr:row>76</xdr:row>
                    <xdr:rowOff>25400</xdr:rowOff>
                  </from>
                  <to>
                    <xdr:col>2</xdr:col>
                    <xdr:colOff>4521200</xdr:colOff>
                    <xdr:row>76</xdr:row>
                    <xdr:rowOff>279400</xdr:rowOff>
                  </to>
                </anchor>
              </controlPr>
            </control>
          </mc:Choice>
        </mc:AlternateContent>
        <mc:AlternateContent xmlns:mc="http://schemas.openxmlformats.org/markup-compatibility/2006">
          <mc:Choice Requires="x14">
            <control shapeId="147151" r:id="rId29" name="Button 719">
              <controlPr defaultSize="0" print="0" autoFill="0" autoPict="0" macro="[0]!button581_click">
                <anchor moveWithCells="1" sizeWithCells="1">
                  <from>
                    <xdr:col>2</xdr:col>
                    <xdr:colOff>3848100</xdr:colOff>
                    <xdr:row>77</xdr:row>
                    <xdr:rowOff>25400</xdr:rowOff>
                  </from>
                  <to>
                    <xdr:col>2</xdr:col>
                    <xdr:colOff>4521200</xdr:colOff>
                    <xdr:row>77</xdr:row>
                    <xdr:rowOff>241300</xdr:rowOff>
                  </to>
                </anchor>
              </controlPr>
            </control>
          </mc:Choice>
        </mc:AlternateContent>
        <mc:AlternateContent xmlns:mc="http://schemas.openxmlformats.org/markup-compatibility/2006">
          <mc:Choice Requires="x14">
            <control shapeId="147153" r:id="rId30" name="Button 721">
              <controlPr defaultSize="0" print="0" autoFill="0" autoPict="0" macro="[0]!button674_click">
                <anchor moveWithCells="1" sizeWithCells="1">
                  <from>
                    <xdr:col>2</xdr:col>
                    <xdr:colOff>1854200</xdr:colOff>
                    <xdr:row>13</xdr:row>
                    <xdr:rowOff>12700</xdr:rowOff>
                  </from>
                  <to>
                    <xdr:col>2</xdr:col>
                    <xdr:colOff>5956300</xdr:colOff>
                    <xdr:row>14</xdr:row>
                    <xdr:rowOff>0</xdr:rowOff>
                  </to>
                </anchor>
              </controlPr>
            </control>
          </mc:Choice>
        </mc:AlternateContent>
        <mc:AlternateContent xmlns:mc="http://schemas.openxmlformats.org/markup-compatibility/2006">
          <mc:Choice Requires="x14">
            <control shapeId="198322" r:id="rId31" name="Button 1714">
              <controlPr defaultSize="0" print="0" autoFill="0" autoPict="0" macro="[0]!button1714_click">
                <anchor moveWithCells="1" sizeWithCells="1">
                  <from>
                    <xdr:col>2</xdr:col>
                    <xdr:colOff>381000</xdr:colOff>
                    <xdr:row>7</xdr:row>
                    <xdr:rowOff>12700</xdr:rowOff>
                  </from>
                  <to>
                    <xdr:col>2</xdr:col>
                    <xdr:colOff>3429000</xdr:colOff>
                    <xdr:row>8</xdr:row>
                    <xdr:rowOff>0</xdr:rowOff>
                  </to>
                </anchor>
              </controlPr>
            </control>
          </mc:Choice>
        </mc:AlternateContent>
        <mc:AlternateContent xmlns:mc="http://schemas.openxmlformats.org/markup-compatibility/2006">
          <mc:Choice Requires="x14">
            <control shapeId="147140" r:id="rId32" name="Button 708">
              <controlPr defaultSize="0" print="0" autoFill="0" autoPict="0" macro="[0]!button117_click" altText="Вычислить длину трубы по данным изысканий">
                <anchor moveWithCells="1" sizeWithCells="1">
                  <from>
                    <xdr:col>2</xdr:col>
                    <xdr:colOff>2374900</xdr:colOff>
                    <xdr:row>6</xdr:row>
                    <xdr:rowOff>25400</xdr:rowOff>
                  </from>
                  <to>
                    <xdr:col>2</xdr:col>
                    <xdr:colOff>5511800</xdr:colOff>
                    <xdr:row>7</xdr:row>
                    <xdr:rowOff>0</xdr:rowOff>
                  </to>
                </anchor>
              </controlPr>
            </control>
          </mc:Choice>
        </mc:AlternateContent>
        <mc:AlternateContent xmlns:mc="http://schemas.openxmlformats.org/markup-compatibility/2006">
          <mc:Choice Requires="x14">
            <control shapeId="146720" r:id="rId33" name="Button 288">
              <controlPr defaultSize="0" print="0" autoFill="0" autoPict="0" macro="[0]!button288_click">
                <anchor moveWithCells="1" sizeWithCells="1">
                  <from>
                    <xdr:col>2</xdr:col>
                    <xdr:colOff>4584700</xdr:colOff>
                    <xdr:row>53</xdr:row>
                    <xdr:rowOff>25400</xdr:rowOff>
                  </from>
                  <to>
                    <xdr:col>2</xdr:col>
                    <xdr:colOff>5422900</xdr:colOff>
                    <xdr:row>54</xdr:row>
                    <xdr:rowOff>0</xdr:rowOff>
                  </to>
                </anchor>
              </controlPr>
            </control>
          </mc:Choice>
        </mc:AlternateContent>
        <mc:AlternateContent xmlns:mc="http://schemas.openxmlformats.org/markup-compatibility/2006">
          <mc:Choice Requires="x14">
            <control shapeId="146722" r:id="rId34" name="Button 290">
              <controlPr defaultSize="0" print="0" autoFill="0" autoPict="0" macro="[0]!button290_click">
                <anchor moveWithCells="1" sizeWithCells="1">
                  <from>
                    <xdr:col>2</xdr:col>
                    <xdr:colOff>4559300</xdr:colOff>
                    <xdr:row>52</xdr:row>
                    <xdr:rowOff>25400</xdr:rowOff>
                  </from>
                  <to>
                    <xdr:col>2</xdr:col>
                    <xdr:colOff>5397500</xdr:colOff>
                    <xdr:row>52</xdr:row>
                    <xdr:rowOff>177800</xdr:rowOff>
                  </to>
                </anchor>
              </controlPr>
            </control>
          </mc:Choice>
        </mc:AlternateContent>
        <mc:AlternateContent xmlns:mc="http://schemas.openxmlformats.org/markup-compatibility/2006">
          <mc:Choice Requires="x14">
            <control shapeId="198461" r:id="rId35" name="Button 1853">
              <controlPr defaultSize="0" print="0" autoFill="0" autoPict="0" macro="[0]!button1853_click">
                <anchor moveWithCells="1" sizeWithCells="1">
                  <from>
                    <xdr:col>2</xdr:col>
                    <xdr:colOff>5168900</xdr:colOff>
                    <xdr:row>18</xdr:row>
                    <xdr:rowOff>0</xdr:rowOff>
                  </from>
                  <to>
                    <xdr:col>2</xdr:col>
                    <xdr:colOff>7099300</xdr:colOff>
                    <xdr:row>19</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1">
        <x14:dataValidation type="decimal" errorStyle="warning" operator="greaterThanOrEqual" allowBlank="1" showInputMessage="1" showErrorMessage="1" errorTitle="Срок службы " error="меньше проектного" xr:uid="{C88B8101-C858-7343-A124-648AE87911C0}">
          <x14:formula1>
            <xm:f>MAX('Pipe calculation'!#REF!)</xm:f>
          </x14:formula1>
          <xm:sqref>F99 H99</xm:sqref>
        </x14:dataValidation>
        <x14:dataValidation type="list" allowBlank="1" showInputMessage="1" showErrorMessage="1" xr:uid="{F5865DDA-08FD-8445-8409-5B0805E3877C}">
          <x14:formula1>
            <xm:f>'List CP'!$B:$B</xm:f>
          </x14:formula1>
          <xm:sqref>D26:M26</xm:sqref>
        </x14:dataValidation>
        <x14:dataValidation type="decimal" errorStyle="warning" operator="greaterThanOrEqual" allowBlank="1" showInputMessage="1" showErrorMessage="1" errorTitle="Срок службы " error="меньше проектного" xr:uid="{F5CD8C48-EBA1-4F4C-B9DE-03586E21E519}">
          <x14:formula1>
            <xm:f>MAX('Pipe calculation'!#REF!)</xm:f>
          </x14:formula1>
          <xm:sqref>K99</xm:sqref>
        </x14:dataValidation>
        <x14:dataValidation type="list" allowBlank="1" xr:uid="{D10A7C02-A9CC-484B-85AD-9BB3A835BB37}">
          <x14:formula1>
            <xm:f>_xlfn.ANCHORARRAY('List AG'!$B$3)</xm:f>
          </x14:formula1>
          <xm:sqref>E34:M34 D34</xm:sqref>
        </x14:dataValidation>
        <x14:dataValidation type="list" allowBlank="1" xr:uid="{24EA4C43-95D9-D14D-B6AC-E4539DBB20C8}">
          <x14:formula1>
            <xm:f>_xlfn.ANCHORARRAY('List AG'!$CW$2)</xm:f>
          </x14:formula1>
          <xm:sqref>D35</xm:sqref>
        </x14:dataValidation>
        <x14:dataValidation type="list" allowBlank="1" xr:uid="{582D513C-A881-AE49-A80E-7E4329777ABE}">
          <x14:formula1>
            <xm:f>_xlfn.ANCHORARRAY('List AG'!$DG$2)</xm:f>
          </x14:formula1>
          <xm:sqref>D36</xm:sqref>
        </x14:dataValidation>
        <x14:dataValidation type="list" allowBlank="1" xr:uid="{323F1E71-A592-A846-BA4A-8F3636DF9915}">
          <x14:formula1>
            <xm:f>_xlfn.ANCHORARRAY('List AG'!$DQ$2)</xm:f>
          </x14:formula1>
          <xm:sqref>D37</xm:sqref>
        </x14:dataValidation>
        <x14:dataValidation type="list" allowBlank="1" xr:uid="{D9CC75DF-4BD4-E744-A069-70B9CBC4B323}">
          <x14:formula1>
            <xm:f>_xlfn.ANCHORARRAY('List AG'!$EA$2)</xm:f>
          </x14:formula1>
          <xm:sqref>D38</xm:sqref>
        </x14:dataValidation>
        <x14:dataValidation type="list" allowBlank="1" xr:uid="{41E21888-BE79-A048-9A76-AEED0E333787}">
          <x14:formula1>
            <xm:f>_xlfn.ANCHORARRAY('List AG'!$CX$2)</xm:f>
          </x14:formula1>
          <xm:sqref>E35</xm:sqref>
        </x14:dataValidation>
        <x14:dataValidation type="list" allowBlank="1" xr:uid="{5729D1A5-67E5-B64A-B38D-580F384BD1DB}">
          <x14:formula1>
            <xm:f>_xlfn.ANCHORARRAY('List AG'!$DH$2)</xm:f>
          </x14:formula1>
          <xm:sqref>E36</xm:sqref>
        </x14:dataValidation>
        <x14:dataValidation type="list" allowBlank="1" xr:uid="{D8FC96B1-B3E1-F648-9962-FF9EBE843FA6}">
          <x14:formula1>
            <xm:f>_xlfn.ANCHORARRAY('List AG'!$DR$2)</xm:f>
          </x14:formula1>
          <xm:sqref>E37</xm:sqref>
        </x14:dataValidation>
        <x14:dataValidation type="list" allowBlank="1" xr:uid="{4A2BA8F9-C7A6-6A46-8AC0-68A9FC4B64DA}">
          <x14:formula1>
            <xm:f>_xlfn.ANCHORARRAY('List AG'!$EB$2)</xm:f>
          </x14:formula1>
          <xm:sqref>E38</xm:sqref>
        </x14:dataValidation>
        <x14:dataValidation type="list" allowBlank="1" xr:uid="{AAB67EE5-3298-4548-B4DD-8EE870EF8BE2}">
          <x14:formula1>
            <xm:f>_xlfn.ANCHORARRAY('List AG'!$CY$2)</xm:f>
          </x14:formula1>
          <xm:sqref>F35</xm:sqref>
        </x14:dataValidation>
        <x14:dataValidation type="list" allowBlank="1" xr:uid="{A41B6278-4BD0-C640-8EFA-D5008C70D92D}">
          <x14:formula1>
            <xm:f>_xlfn.ANCHORARRAY('List AG'!$DI$2)</xm:f>
          </x14:formula1>
          <xm:sqref>F36</xm:sqref>
        </x14:dataValidation>
        <x14:dataValidation type="list" allowBlank="1" xr:uid="{4B932976-D5AF-C547-81FC-226CEF9E8D56}">
          <x14:formula1>
            <xm:f>_xlfn.ANCHORARRAY('List AG'!$DS$2)</xm:f>
          </x14:formula1>
          <xm:sqref>F37</xm:sqref>
        </x14:dataValidation>
        <x14:dataValidation type="list" allowBlank="1" xr:uid="{BC6B8BA2-E781-6A42-A460-8F078A372368}">
          <x14:formula1>
            <xm:f>_xlfn.ANCHORARRAY('List AG'!$EC$2)</xm:f>
          </x14:formula1>
          <xm:sqref>F38</xm:sqref>
        </x14:dataValidation>
        <x14:dataValidation type="list" allowBlank="1" xr:uid="{0268ED58-EDB8-824D-ABE7-923503843D20}">
          <x14:formula1>
            <xm:f>_xlfn.ANCHORARRAY('List AG'!$CZ$2)</xm:f>
          </x14:formula1>
          <xm:sqref>G35</xm:sqref>
        </x14:dataValidation>
        <x14:dataValidation type="list" allowBlank="1" xr:uid="{3485C711-DEB3-F64D-B993-DB36A5F5BA90}">
          <x14:formula1>
            <xm:f>_xlfn.ANCHORARRAY('List AG'!$DJ$2)</xm:f>
          </x14:formula1>
          <xm:sqref>G36</xm:sqref>
        </x14:dataValidation>
        <x14:dataValidation type="list" allowBlank="1" xr:uid="{BB4BBE56-26AA-7444-BC83-5CE40E40FC8D}">
          <x14:formula1>
            <xm:f>_xlfn.ANCHORARRAY('List AG'!$DT$2)</xm:f>
          </x14:formula1>
          <xm:sqref>G37</xm:sqref>
        </x14:dataValidation>
        <x14:dataValidation type="list" allowBlank="1" xr:uid="{03454C87-2945-5A43-BF03-C9109B41C9B8}">
          <x14:formula1>
            <xm:f>_xlfn.ANCHORARRAY('List AG'!$ED$2)</xm:f>
          </x14:formula1>
          <xm:sqref>G38</xm:sqref>
        </x14:dataValidation>
        <x14:dataValidation type="list" allowBlank="1" xr:uid="{0AADCDEB-A688-994A-B01F-D609BA1CF059}">
          <x14:formula1>
            <xm:f>_xlfn.ANCHORARRAY('List AG'!$DA$2)</xm:f>
          </x14:formula1>
          <xm:sqref>H35</xm:sqref>
        </x14:dataValidation>
        <x14:dataValidation type="list" allowBlank="1" xr:uid="{1F2EBB11-307C-C840-B2B3-EABB4F202F97}">
          <x14:formula1>
            <xm:f>_xlfn.ANCHORARRAY('List AG'!$DK$2)</xm:f>
          </x14:formula1>
          <xm:sqref>H36</xm:sqref>
        </x14:dataValidation>
        <x14:dataValidation type="list" allowBlank="1" xr:uid="{44D18233-9D33-8740-82CA-E9BC2808F3F3}">
          <x14:formula1>
            <xm:f>_xlfn.ANCHORARRAY('List AG'!$DU$2)</xm:f>
          </x14:formula1>
          <xm:sqref>H37</xm:sqref>
        </x14:dataValidation>
        <x14:dataValidation type="list" allowBlank="1" xr:uid="{8501E446-6172-DC4E-83E9-938C1698BE43}">
          <x14:formula1>
            <xm:f>_xlfn.ANCHORARRAY('List AG'!$EE$2)</xm:f>
          </x14:formula1>
          <xm:sqref>H38</xm:sqref>
        </x14:dataValidation>
        <x14:dataValidation type="list" allowBlank="1" xr:uid="{9C5FFDF3-B211-434A-83C9-20DA0547D04A}">
          <x14:formula1>
            <xm:f>_xlfn.ANCHORARRAY('List AG'!$DB$2)</xm:f>
          </x14:formula1>
          <xm:sqref>I35</xm:sqref>
        </x14:dataValidation>
        <x14:dataValidation type="list" allowBlank="1" xr:uid="{F118561B-06C3-FB40-9A7E-E8702022A7AC}">
          <x14:formula1>
            <xm:f>_xlfn.ANCHORARRAY('List AG'!$DL$2)</xm:f>
          </x14:formula1>
          <xm:sqref>I36</xm:sqref>
        </x14:dataValidation>
        <x14:dataValidation type="list" allowBlank="1" xr:uid="{DFC25E23-8C0A-DD45-AC56-59AD1CFAF76E}">
          <x14:formula1>
            <xm:f>_xlfn.ANCHORARRAY('List AG'!$DV$2)</xm:f>
          </x14:formula1>
          <xm:sqref>I37</xm:sqref>
        </x14:dataValidation>
        <x14:dataValidation type="list" allowBlank="1" xr:uid="{34579735-20C1-2242-B451-177D5FC22CED}">
          <x14:formula1>
            <xm:f>_xlfn.ANCHORARRAY('List AG'!$EF$2)</xm:f>
          </x14:formula1>
          <xm:sqref>I38</xm:sqref>
        </x14:dataValidation>
        <x14:dataValidation type="list" allowBlank="1" xr:uid="{7589BC58-F2C9-EE47-A95F-81BC5ADB15BA}">
          <x14:formula1>
            <xm:f>_xlfn.ANCHORARRAY('List AG'!$DC$2)</xm:f>
          </x14:formula1>
          <xm:sqref>J35</xm:sqref>
        </x14:dataValidation>
        <x14:dataValidation type="list" allowBlank="1" xr:uid="{17B79371-D4AA-2D49-8DA9-25CFC2E66101}">
          <x14:formula1>
            <xm:f>_xlfn.ANCHORARRAY('List AG'!$DM$2)</xm:f>
          </x14:formula1>
          <xm:sqref>J36</xm:sqref>
        </x14:dataValidation>
        <x14:dataValidation type="list" allowBlank="1" xr:uid="{D849E44F-50C5-6D4F-BF0E-EE7E73A0286C}">
          <x14:formula1>
            <xm:f>_xlfn.ANCHORARRAY('List AG'!$DW$2)</xm:f>
          </x14:formula1>
          <xm:sqref>J37</xm:sqref>
        </x14:dataValidation>
        <x14:dataValidation type="list" allowBlank="1" xr:uid="{3E08AE55-9889-734E-980E-FC74FC889709}">
          <x14:formula1>
            <xm:f>_xlfn.ANCHORARRAY('List AG'!$EG$2)</xm:f>
          </x14:formula1>
          <xm:sqref>J38</xm:sqref>
        </x14:dataValidation>
        <x14:dataValidation type="list" allowBlank="1" xr:uid="{4E7A8207-4E4E-7641-8AFE-6DB82E3EB463}">
          <x14:formula1>
            <xm:f>_xlfn.ANCHORARRAY('List AG'!$DD$2)</xm:f>
          </x14:formula1>
          <xm:sqref>K35</xm:sqref>
        </x14:dataValidation>
        <x14:dataValidation type="list" allowBlank="1" xr:uid="{C35C29B7-2A65-214F-8824-6F5B3B64C387}">
          <x14:formula1>
            <xm:f>_xlfn.ANCHORARRAY('List AG'!$DN$2)</xm:f>
          </x14:formula1>
          <xm:sqref>K36</xm:sqref>
        </x14:dataValidation>
        <x14:dataValidation type="list" allowBlank="1" xr:uid="{E4D6B7B5-211D-CA42-B7D3-7C3E9A6B64AA}">
          <x14:formula1>
            <xm:f>_xlfn.ANCHORARRAY('List AG'!$DX$2)</xm:f>
          </x14:formula1>
          <xm:sqref>K37</xm:sqref>
        </x14:dataValidation>
        <x14:dataValidation type="list" allowBlank="1" xr:uid="{DC25D79B-A2BF-C74E-A59F-6F59F187A0B8}">
          <x14:formula1>
            <xm:f>_xlfn.ANCHORARRAY('List AG'!$EH$2)</xm:f>
          </x14:formula1>
          <xm:sqref>K38</xm:sqref>
        </x14:dataValidation>
        <x14:dataValidation type="list" allowBlank="1" xr:uid="{8E3B562E-3B58-D742-8A2A-4A16987BA271}">
          <x14:formula1>
            <xm:f>_xlfn.ANCHORARRAY('List AG'!$DE$2)</xm:f>
          </x14:formula1>
          <xm:sqref>L35</xm:sqref>
        </x14:dataValidation>
        <x14:dataValidation type="list" allowBlank="1" xr:uid="{F2D4E4FD-CF00-8B47-8160-BD30DA3AB455}">
          <x14:formula1>
            <xm:f>_xlfn.ANCHORARRAY('List AG'!$DO$2)</xm:f>
          </x14:formula1>
          <xm:sqref>L36</xm:sqref>
        </x14:dataValidation>
        <x14:dataValidation type="list" allowBlank="1" xr:uid="{B997B891-A705-3845-82ED-61CFD72FCB5A}">
          <x14:formula1>
            <xm:f>_xlfn.ANCHORARRAY('List AG'!$DY$2)</xm:f>
          </x14:formula1>
          <xm:sqref>L37</xm:sqref>
        </x14:dataValidation>
        <x14:dataValidation type="list" allowBlank="1" xr:uid="{EF1685B6-4F22-5D49-951C-B5F3B81C9DA8}">
          <x14:formula1>
            <xm:f>_xlfn.ANCHORARRAY('List AG'!$EI$2)</xm:f>
          </x14:formula1>
          <xm:sqref>L38</xm:sqref>
        </x14:dataValidation>
        <x14:dataValidation type="list" allowBlank="1" xr:uid="{6E84CED2-4022-314B-9128-54A0AE497E7B}">
          <x14:formula1>
            <xm:f>_xlfn.ANCHORARRAY('List AG'!$DF$2)</xm:f>
          </x14:formula1>
          <xm:sqref>M35</xm:sqref>
        </x14:dataValidation>
        <x14:dataValidation type="list" allowBlank="1" xr:uid="{C0795946-2415-6643-9F01-23C6B1AC425A}">
          <x14:formula1>
            <xm:f>_xlfn.ANCHORARRAY('List AG'!$DP$2)</xm:f>
          </x14:formula1>
          <xm:sqref>M36</xm:sqref>
        </x14:dataValidation>
        <x14:dataValidation type="list" allowBlank="1" xr:uid="{D980D656-0CBC-614F-B936-BBB1F159E589}">
          <x14:formula1>
            <xm:f>_xlfn.ANCHORARRAY('List AG'!$DZ$2)</xm:f>
          </x14:formula1>
          <xm:sqref>M37</xm:sqref>
        </x14:dataValidation>
        <x14:dataValidation type="list" allowBlank="1" xr:uid="{13B43B33-5356-0040-AC37-2BAE1C846CB5}">
          <x14:formula1>
            <xm:f>_xlfn.ANCHORARRAY('List AG'!$EJ$2)</xm:f>
          </x14:formula1>
          <xm:sqref>M38</xm:sqref>
        </x14:dataValidation>
        <x14:dataValidation type="decimal" errorStyle="warning" operator="greaterThanOrEqual" allowBlank="1" showInputMessage="1" showErrorMessage="1" errorTitle="Срок службы " error="меньше проектного" xr:uid="{34B3F9CB-CC66-DD49-B0EC-35DFB48F43A2}">
          <x14:formula1>
            <xm:f>MAX('Pipe calculation'!O21:O21)</xm:f>
          </x14:formula1>
          <xm:sqref>L99</xm:sqref>
        </x14:dataValidation>
        <x14:dataValidation type="decimal" errorStyle="warning" operator="greaterThanOrEqual" allowBlank="1" showInputMessage="1" showErrorMessage="1" errorTitle="Срок службы " error="меньше проектного" xr:uid="{5B8C815F-56CA-DA49-887C-F662AF7848E4}">
          <x14:formula1>
            <xm:f>MAX('Pipe calculation'!O21:P21)</xm:f>
          </x14:formula1>
          <xm:sqref>M99</xm:sqref>
        </x14:dataValidation>
        <x14:dataValidation type="decimal" errorStyle="warning" operator="greaterThanOrEqual" allowBlank="1" showInputMessage="1" showErrorMessage="1" errorTitle="Срок службы " error="меньше проектного" xr:uid="{92016A19-7458-BA46-9B83-B7F7E5E35BFE}">
          <x14:formula1>
            <xm:f>MAX('Pipe calculation'!N21:N21)</xm:f>
          </x14:formula1>
          <xm:sqref>J99</xm:sqref>
        </x14:dataValidation>
        <x14:dataValidation type="decimal" errorStyle="warning" operator="greaterThanOrEqual" allowBlank="1" showInputMessage="1" showErrorMessage="1" errorTitle="Срок службы " error="меньше проектного" xr:uid="{CAC73EE5-2401-0143-80A3-532D3ED91EDA}">
          <x14:formula1>
            <xm:f>MAX('Pipe calculation'!N21:N21)</xm:f>
          </x14:formula1>
          <xm:sqref>I99</xm:sqref>
        </x14:dataValidation>
        <x14:dataValidation type="decimal" errorStyle="warning" operator="greaterThanOrEqual" allowBlank="1" showInputMessage="1" showErrorMessage="1" errorTitle="Срок службы " error="меньше проектного" xr:uid="{6DEF5BD9-E68E-C242-9716-949E443A5234}">
          <x14:formula1>
            <xm:f>MAX('Pipe calculation'!B21:M21)</xm:f>
          </x14:formula1>
          <xm:sqref>G99</xm:sqref>
        </x14:dataValidation>
        <x14:dataValidation type="decimal" errorStyle="warning" operator="greaterThanOrEqual" allowBlank="1" showInputMessage="1" showErrorMessage="1" errorTitle="Срок службы " error="меньше проектного" xr:uid="{88A7A381-D5F8-5C49-973C-0F379D8EC028}">
          <x14:formula1>
            <xm:f>MAX('Pipe calculation'!E21:M21)</xm:f>
          </x14:formula1>
          <xm:sqref>E99</xm:sqref>
        </x14:dataValidation>
        <x14:dataValidation type="decimal" errorStyle="warning" operator="greaterThanOrEqual" allowBlank="1" showInputMessage="1" showErrorMessage="1" errorTitle="Срок службы " error="меньше проектного" xr:uid="{4629F6B5-5A10-764B-8CC9-31714E374D60}">
          <x14:formula1>
            <xm:f>MAX('Pipe calculation'!D21:E21)</xm:f>
          </x14:formula1>
          <xm:sqref>D99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D2D77-E303-7F47-A36D-580763EAC0EF}">
  <sheetPr codeName="Лист22">
    <tabColor theme="0"/>
  </sheetPr>
  <dimension ref="A1:G352"/>
  <sheetViews>
    <sheetView workbookViewId="0">
      <selection activeCell="B5" sqref="B5"/>
    </sheetView>
  </sheetViews>
  <sheetFormatPr baseColWidth="10" defaultRowHeight="16"/>
  <cols>
    <col min="2" max="2" width="43.6640625" customWidth="1"/>
    <col min="3" max="3" width="28.33203125" customWidth="1"/>
    <col min="4" max="4" width="39.33203125" customWidth="1"/>
    <col min="5" max="5" width="29.6640625" customWidth="1"/>
    <col min="6" max="6" width="21.1640625" customWidth="1"/>
    <col min="7" max="7" width="39.5" customWidth="1"/>
    <col min="8" max="8" width="17.83203125" customWidth="1"/>
    <col min="15" max="15" width="20.83203125" customWidth="1"/>
    <col min="20" max="20" width="25.1640625" customWidth="1"/>
    <col min="25" max="25" width="40.83203125" customWidth="1"/>
  </cols>
  <sheetData>
    <row r="1" spans="1:7" ht="17" thickBot="1">
      <c r="A1" t="s">
        <v>1</v>
      </c>
      <c r="B1" s="343" t="s">
        <v>4</v>
      </c>
      <c r="C1" s="343" t="s">
        <v>357</v>
      </c>
      <c r="D1" s="343" t="s">
        <v>358</v>
      </c>
      <c r="E1" s="343" t="s">
        <v>759</v>
      </c>
      <c r="F1" s="343" t="s">
        <v>0</v>
      </c>
      <c r="G1" s="346" t="s">
        <v>651</v>
      </c>
    </row>
    <row r="2" spans="1:7">
      <c r="A2">
        <v>1</v>
      </c>
      <c r="B2" s="348" t="s">
        <v>153</v>
      </c>
      <c r="C2" s="348">
        <v>20</v>
      </c>
      <c r="D2" s="348">
        <v>30</v>
      </c>
      <c r="E2" s="348"/>
      <c r="F2" s="348">
        <v>1</v>
      </c>
      <c r="G2" s="349" t="s">
        <v>480</v>
      </c>
    </row>
    <row r="3" spans="1:7">
      <c r="A3">
        <v>2</v>
      </c>
      <c r="B3" s="350" t="s">
        <v>154</v>
      </c>
      <c r="C3" s="350">
        <v>40</v>
      </c>
      <c r="D3" s="350">
        <v>30</v>
      </c>
      <c r="E3" s="350"/>
      <c r="F3" s="350">
        <v>1</v>
      </c>
      <c r="G3" s="351" t="s">
        <v>480</v>
      </c>
    </row>
    <row r="4" spans="1:7">
      <c r="A4">
        <v>3</v>
      </c>
      <c r="B4" s="353" t="s">
        <v>155</v>
      </c>
      <c r="C4" s="353">
        <v>63</v>
      </c>
      <c r="D4" s="353">
        <v>48</v>
      </c>
      <c r="E4" s="353"/>
      <c r="F4" s="353">
        <v>1</v>
      </c>
      <c r="G4" s="355" t="s">
        <v>480</v>
      </c>
    </row>
    <row r="5" spans="1:7">
      <c r="A5">
        <v>4</v>
      </c>
      <c r="B5" s="350" t="s">
        <v>156</v>
      </c>
      <c r="C5" s="350">
        <v>25</v>
      </c>
      <c r="D5" s="350">
        <v>24</v>
      </c>
      <c r="E5" s="350"/>
      <c r="F5" s="350">
        <v>1</v>
      </c>
      <c r="G5" s="351" t="s">
        <v>481</v>
      </c>
    </row>
    <row r="6" spans="1:7">
      <c r="A6">
        <v>5</v>
      </c>
      <c r="B6" s="353" t="s">
        <v>157</v>
      </c>
      <c r="C6" s="353">
        <v>42</v>
      </c>
      <c r="D6" s="353">
        <v>24</v>
      </c>
      <c r="E6" s="353"/>
      <c r="F6" s="353">
        <v>1</v>
      </c>
      <c r="G6" s="355" t="s">
        <v>481</v>
      </c>
    </row>
    <row r="7" spans="1:7">
      <c r="A7">
        <v>6</v>
      </c>
      <c r="B7" s="350" t="s">
        <v>158</v>
      </c>
      <c r="C7" s="350">
        <v>42</v>
      </c>
      <c r="D7" s="350">
        <v>48</v>
      </c>
      <c r="E7" s="350"/>
      <c r="F7" s="350">
        <v>1</v>
      </c>
      <c r="G7" s="351" t="s">
        <v>481</v>
      </c>
    </row>
    <row r="8" spans="1:7">
      <c r="A8">
        <v>7</v>
      </c>
      <c r="B8" s="353" t="s">
        <v>159</v>
      </c>
      <c r="C8" s="353">
        <v>63</v>
      </c>
      <c r="D8" s="353">
        <v>48</v>
      </c>
      <c r="E8" s="353"/>
      <c r="F8" s="353">
        <v>1</v>
      </c>
      <c r="G8" s="355" t="s">
        <v>481</v>
      </c>
    </row>
    <row r="9" spans="1:7">
      <c r="A9">
        <v>8</v>
      </c>
      <c r="B9" s="350" t="s">
        <v>385</v>
      </c>
      <c r="C9" s="601">
        <v>20</v>
      </c>
      <c r="D9" s="601">
        <v>12</v>
      </c>
      <c r="E9" s="601"/>
      <c r="F9" s="350">
        <v>1</v>
      </c>
      <c r="G9" s="351" t="s">
        <v>482</v>
      </c>
    </row>
    <row r="10" spans="1:7">
      <c r="A10">
        <v>9</v>
      </c>
      <c r="B10" s="353" t="s">
        <v>386</v>
      </c>
      <c r="C10" s="602">
        <v>24</v>
      </c>
      <c r="D10" s="602">
        <v>25</v>
      </c>
      <c r="E10" s="602"/>
      <c r="F10" s="353">
        <v>1</v>
      </c>
      <c r="G10" s="355" t="s">
        <v>482</v>
      </c>
    </row>
    <row r="11" spans="1:7">
      <c r="A11">
        <v>10</v>
      </c>
      <c r="B11" s="350" t="s">
        <v>387</v>
      </c>
      <c r="C11" s="601">
        <v>24</v>
      </c>
      <c r="D11" s="601">
        <v>40</v>
      </c>
      <c r="E11" s="601"/>
      <c r="F11" s="350">
        <v>1</v>
      </c>
      <c r="G11" s="351" t="s">
        <v>482</v>
      </c>
    </row>
    <row r="12" spans="1:7">
      <c r="A12">
        <v>11</v>
      </c>
      <c r="B12" s="353" t="s">
        <v>388</v>
      </c>
      <c r="C12" s="602">
        <v>48</v>
      </c>
      <c r="D12" s="602">
        <v>40</v>
      </c>
      <c r="E12" s="602"/>
      <c r="F12" s="353">
        <v>1</v>
      </c>
      <c r="G12" s="355" t="s">
        <v>482</v>
      </c>
    </row>
    <row r="13" spans="1:7">
      <c r="A13">
        <v>12</v>
      </c>
      <c r="B13" s="350" t="s">
        <v>389</v>
      </c>
      <c r="C13" s="601">
        <v>48</v>
      </c>
      <c r="D13" s="601">
        <v>63</v>
      </c>
      <c r="E13" s="601"/>
      <c r="F13" s="350">
        <v>1</v>
      </c>
      <c r="G13" s="351" t="s">
        <v>482</v>
      </c>
    </row>
    <row r="14" spans="1:7">
      <c r="A14">
        <v>13</v>
      </c>
      <c r="B14" s="353" t="s">
        <v>390</v>
      </c>
      <c r="C14" s="602">
        <v>48</v>
      </c>
      <c r="D14" s="602">
        <v>80</v>
      </c>
      <c r="E14" s="602"/>
      <c r="F14" s="353">
        <v>1</v>
      </c>
      <c r="G14" s="355" t="s">
        <v>482</v>
      </c>
    </row>
    <row r="15" spans="1:7">
      <c r="A15">
        <v>14</v>
      </c>
      <c r="B15" s="350" t="s">
        <v>391</v>
      </c>
      <c r="C15" s="601">
        <v>48</v>
      </c>
      <c r="D15" s="601">
        <v>100</v>
      </c>
      <c r="E15" s="601"/>
      <c r="F15" s="350">
        <v>1</v>
      </c>
      <c r="G15" s="351" t="s">
        <v>482</v>
      </c>
    </row>
    <row r="16" spans="1:7">
      <c r="A16">
        <v>15</v>
      </c>
      <c r="B16" s="353" t="s">
        <v>392</v>
      </c>
      <c r="C16" s="353">
        <v>15</v>
      </c>
      <c r="D16" s="353">
        <v>24</v>
      </c>
      <c r="E16" s="353"/>
      <c r="F16" s="353">
        <v>1</v>
      </c>
      <c r="G16" s="355" t="s">
        <v>489</v>
      </c>
    </row>
    <row r="17" spans="1:7">
      <c r="A17">
        <v>16</v>
      </c>
      <c r="B17" s="350" t="s">
        <v>393</v>
      </c>
      <c r="C17" s="350">
        <v>25</v>
      </c>
      <c r="D17" s="350">
        <v>24</v>
      </c>
      <c r="E17" s="350"/>
      <c r="F17" s="350">
        <v>1</v>
      </c>
      <c r="G17" s="351" t="s">
        <v>483</v>
      </c>
    </row>
    <row r="18" spans="1:7">
      <c r="A18">
        <v>17</v>
      </c>
      <c r="B18" s="353" t="s">
        <v>394</v>
      </c>
      <c r="C18" s="353">
        <v>25</v>
      </c>
      <c r="D18" s="353">
        <v>48</v>
      </c>
      <c r="E18" s="353"/>
      <c r="F18" s="353">
        <v>1</v>
      </c>
      <c r="G18" s="355" t="s">
        <v>483</v>
      </c>
    </row>
    <row r="19" spans="1:7">
      <c r="A19">
        <v>18</v>
      </c>
      <c r="B19" s="350" t="s">
        <v>395</v>
      </c>
      <c r="C19" s="350">
        <v>42</v>
      </c>
      <c r="D19" s="350">
        <v>24</v>
      </c>
      <c r="E19" s="350"/>
      <c r="F19" s="350">
        <v>1</v>
      </c>
      <c r="G19" s="351" t="s">
        <v>483</v>
      </c>
    </row>
    <row r="20" spans="1:7">
      <c r="A20">
        <v>19</v>
      </c>
      <c r="B20" s="353" t="s">
        <v>396</v>
      </c>
      <c r="C20" s="353">
        <v>42</v>
      </c>
      <c r="D20" s="353">
        <v>48</v>
      </c>
      <c r="E20" s="353"/>
      <c r="F20" s="353">
        <v>1</v>
      </c>
      <c r="G20" s="355" t="s">
        <v>483</v>
      </c>
    </row>
    <row r="21" spans="1:7">
      <c r="A21">
        <v>20</v>
      </c>
      <c r="B21" s="350" t="s">
        <v>397</v>
      </c>
      <c r="C21" s="350">
        <v>63</v>
      </c>
      <c r="D21" s="350">
        <v>48</v>
      </c>
      <c r="E21" s="350"/>
      <c r="F21" s="350">
        <v>1</v>
      </c>
      <c r="G21" s="351" t="s">
        <v>483</v>
      </c>
    </row>
    <row r="22" spans="1:7">
      <c r="A22">
        <v>21</v>
      </c>
      <c r="B22" s="353" t="s">
        <v>398</v>
      </c>
      <c r="C22" s="353">
        <v>84</v>
      </c>
      <c r="D22" s="353">
        <v>48</v>
      </c>
      <c r="E22" s="353"/>
      <c r="F22" s="353">
        <v>1</v>
      </c>
      <c r="G22" s="355" t="s">
        <v>483</v>
      </c>
    </row>
    <row r="23" spans="1:7">
      <c r="A23">
        <v>22</v>
      </c>
      <c r="B23" s="350" t="s">
        <v>399</v>
      </c>
      <c r="C23" s="350">
        <v>104</v>
      </c>
      <c r="D23" s="350">
        <v>48</v>
      </c>
      <c r="E23" s="350"/>
      <c r="F23" s="350">
        <v>1</v>
      </c>
      <c r="G23" s="351" t="s">
        <v>483</v>
      </c>
    </row>
    <row r="24" spans="1:7">
      <c r="A24">
        <v>23</v>
      </c>
      <c r="B24" s="353" t="s">
        <v>400</v>
      </c>
      <c r="C24" s="353">
        <v>15</v>
      </c>
      <c r="D24" s="353">
        <v>24</v>
      </c>
      <c r="E24" s="353"/>
      <c r="F24" s="353">
        <v>1</v>
      </c>
      <c r="G24" s="355" t="s">
        <v>484</v>
      </c>
    </row>
    <row r="25" spans="1:7">
      <c r="A25">
        <v>24</v>
      </c>
      <c r="B25" s="350" t="s">
        <v>401</v>
      </c>
      <c r="C25" s="350">
        <v>25</v>
      </c>
      <c r="D25" s="350">
        <v>24</v>
      </c>
      <c r="E25" s="350"/>
      <c r="F25" s="350">
        <v>1</v>
      </c>
      <c r="G25" s="351" t="s">
        <v>484</v>
      </c>
    </row>
    <row r="26" spans="1:7">
      <c r="A26">
        <v>25</v>
      </c>
      <c r="B26" s="353" t="s">
        <v>402</v>
      </c>
      <c r="C26" s="353">
        <v>25</v>
      </c>
      <c r="D26" s="353">
        <v>48</v>
      </c>
      <c r="E26" s="353"/>
      <c r="F26" s="353">
        <v>1</v>
      </c>
      <c r="G26" s="355" t="s">
        <v>484</v>
      </c>
    </row>
    <row r="27" spans="1:7">
      <c r="A27">
        <v>26</v>
      </c>
      <c r="B27" s="350" t="s">
        <v>403</v>
      </c>
      <c r="C27" s="350">
        <v>42</v>
      </c>
      <c r="D27" s="350">
        <v>24</v>
      </c>
      <c r="E27" s="350"/>
      <c r="F27" s="350">
        <v>1</v>
      </c>
      <c r="G27" s="351" t="s">
        <v>484</v>
      </c>
    </row>
    <row r="28" spans="1:7">
      <c r="A28">
        <v>27</v>
      </c>
      <c r="B28" s="353" t="s">
        <v>404</v>
      </c>
      <c r="C28" s="353">
        <v>42</v>
      </c>
      <c r="D28" s="353">
        <v>48</v>
      </c>
      <c r="E28" s="353"/>
      <c r="F28" s="353">
        <v>1</v>
      </c>
      <c r="G28" s="355" t="s">
        <v>484</v>
      </c>
    </row>
    <row r="29" spans="1:7">
      <c r="A29">
        <v>28</v>
      </c>
      <c r="B29" s="350" t="s">
        <v>405</v>
      </c>
      <c r="C29" s="350">
        <v>63</v>
      </c>
      <c r="D29" s="350">
        <v>48</v>
      </c>
      <c r="E29" s="350"/>
      <c r="F29" s="350">
        <v>1</v>
      </c>
      <c r="G29" s="351" t="s">
        <v>484</v>
      </c>
    </row>
    <row r="30" spans="1:7">
      <c r="A30">
        <v>29</v>
      </c>
      <c r="B30" s="353" t="s">
        <v>406</v>
      </c>
      <c r="C30" s="353">
        <v>84</v>
      </c>
      <c r="D30" s="353">
        <v>48</v>
      </c>
      <c r="E30" s="353"/>
      <c r="F30" s="353">
        <v>1</v>
      </c>
      <c r="G30" s="355" t="s">
        <v>484</v>
      </c>
    </row>
    <row r="31" spans="1:7">
      <c r="A31">
        <v>30</v>
      </c>
      <c r="B31" s="350" t="s">
        <v>407</v>
      </c>
      <c r="C31" s="350">
        <v>104</v>
      </c>
      <c r="D31" s="350">
        <v>48</v>
      </c>
      <c r="E31" s="350"/>
      <c r="F31" s="350">
        <v>1</v>
      </c>
      <c r="G31" s="351" t="s">
        <v>484</v>
      </c>
    </row>
    <row r="32" spans="1:7">
      <c r="A32">
        <v>31</v>
      </c>
      <c r="B32" s="353" t="s">
        <v>408</v>
      </c>
      <c r="C32" s="353">
        <v>15</v>
      </c>
      <c r="D32" s="353">
        <v>24</v>
      </c>
      <c r="E32" s="353"/>
      <c r="F32" s="353">
        <v>1</v>
      </c>
      <c r="G32" s="355" t="s">
        <v>485</v>
      </c>
    </row>
    <row r="33" spans="1:7">
      <c r="A33">
        <v>32</v>
      </c>
      <c r="B33" s="350" t="s">
        <v>409</v>
      </c>
      <c r="C33" s="350">
        <v>25</v>
      </c>
      <c r="D33" s="350">
        <v>24</v>
      </c>
      <c r="E33" s="350"/>
      <c r="F33" s="350">
        <v>1</v>
      </c>
      <c r="G33" s="351" t="s">
        <v>485</v>
      </c>
    </row>
    <row r="34" spans="1:7">
      <c r="A34">
        <v>33</v>
      </c>
      <c r="B34" s="353" t="s">
        <v>410</v>
      </c>
      <c r="C34" s="353">
        <v>25</v>
      </c>
      <c r="D34" s="353">
        <v>48</v>
      </c>
      <c r="E34" s="353"/>
      <c r="F34" s="353">
        <v>1</v>
      </c>
      <c r="G34" s="355" t="s">
        <v>485</v>
      </c>
    </row>
    <row r="35" spans="1:7">
      <c r="A35">
        <v>34</v>
      </c>
      <c r="B35" s="350" t="s">
        <v>411</v>
      </c>
      <c r="C35" s="350">
        <v>42</v>
      </c>
      <c r="D35" s="350">
        <v>24</v>
      </c>
      <c r="E35" s="350"/>
      <c r="F35" s="350">
        <v>1</v>
      </c>
      <c r="G35" s="351" t="s">
        <v>485</v>
      </c>
    </row>
    <row r="36" spans="1:7">
      <c r="A36">
        <v>35</v>
      </c>
      <c r="B36" s="353" t="s">
        <v>412</v>
      </c>
      <c r="C36" s="353">
        <v>42</v>
      </c>
      <c r="D36" s="353">
        <v>48</v>
      </c>
      <c r="E36" s="353"/>
      <c r="F36" s="353">
        <v>1</v>
      </c>
      <c r="G36" s="355" t="s">
        <v>485</v>
      </c>
    </row>
    <row r="37" spans="1:7">
      <c r="A37">
        <v>36</v>
      </c>
      <c r="B37" s="350" t="s">
        <v>413</v>
      </c>
      <c r="C37" s="350">
        <v>63</v>
      </c>
      <c r="D37" s="350">
        <v>48</v>
      </c>
      <c r="E37" s="350"/>
      <c r="F37" s="350">
        <v>1</v>
      </c>
      <c r="G37" s="351" t="s">
        <v>485</v>
      </c>
    </row>
    <row r="38" spans="1:7">
      <c r="A38">
        <v>37</v>
      </c>
      <c r="B38" s="353" t="s">
        <v>414</v>
      </c>
      <c r="C38" s="353">
        <v>84</v>
      </c>
      <c r="D38" s="353">
        <v>48</v>
      </c>
      <c r="E38" s="353"/>
      <c r="F38" s="353">
        <v>1</v>
      </c>
      <c r="G38" s="355" t="s">
        <v>485</v>
      </c>
    </row>
    <row r="39" spans="1:7">
      <c r="A39">
        <v>38</v>
      </c>
      <c r="B39" s="350" t="s">
        <v>415</v>
      </c>
      <c r="C39" s="350">
        <v>104</v>
      </c>
      <c r="D39" s="350">
        <v>48</v>
      </c>
      <c r="E39" s="350"/>
      <c r="F39" s="350">
        <v>1</v>
      </c>
      <c r="G39" s="351" t="s">
        <v>485</v>
      </c>
    </row>
    <row r="40" spans="1:7">
      <c r="A40">
        <v>39</v>
      </c>
      <c r="B40" s="353" t="s">
        <v>416</v>
      </c>
      <c r="C40" s="353">
        <v>15</v>
      </c>
      <c r="D40" s="353">
        <v>24</v>
      </c>
      <c r="E40" s="353"/>
      <c r="F40" s="353">
        <v>1</v>
      </c>
      <c r="G40" s="355" t="s">
        <v>486</v>
      </c>
    </row>
    <row r="41" spans="1:7">
      <c r="A41">
        <v>40</v>
      </c>
      <c r="B41" s="350" t="s">
        <v>417</v>
      </c>
      <c r="C41" s="350">
        <v>25</v>
      </c>
      <c r="D41" s="350">
        <v>24</v>
      </c>
      <c r="E41" s="350"/>
      <c r="F41" s="350">
        <v>1</v>
      </c>
      <c r="G41" s="351" t="s">
        <v>486</v>
      </c>
    </row>
    <row r="42" spans="1:7">
      <c r="A42">
        <v>41</v>
      </c>
      <c r="B42" s="353" t="s">
        <v>418</v>
      </c>
      <c r="C42" s="353">
        <v>25</v>
      </c>
      <c r="D42" s="353">
        <v>48</v>
      </c>
      <c r="E42" s="353"/>
      <c r="F42" s="353">
        <v>1</v>
      </c>
      <c r="G42" s="355" t="s">
        <v>486</v>
      </c>
    </row>
    <row r="43" spans="1:7">
      <c r="A43">
        <v>42</v>
      </c>
      <c r="B43" s="350" t="s">
        <v>419</v>
      </c>
      <c r="C43" s="350">
        <v>42</v>
      </c>
      <c r="D43" s="350">
        <v>24</v>
      </c>
      <c r="E43" s="350"/>
      <c r="F43" s="350">
        <v>1</v>
      </c>
      <c r="G43" s="351" t="s">
        <v>486</v>
      </c>
    </row>
    <row r="44" spans="1:7">
      <c r="A44">
        <v>43</v>
      </c>
      <c r="B44" s="353" t="s">
        <v>420</v>
      </c>
      <c r="C44" s="353">
        <v>42</v>
      </c>
      <c r="D44" s="353">
        <v>48</v>
      </c>
      <c r="E44" s="353"/>
      <c r="F44" s="353">
        <v>1</v>
      </c>
      <c r="G44" s="355" t="s">
        <v>486</v>
      </c>
    </row>
    <row r="45" spans="1:7">
      <c r="A45">
        <v>44</v>
      </c>
      <c r="B45" s="350" t="s">
        <v>421</v>
      </c>
      <c r="C45" s="350">
        <v>63</v>
      </c>
      <c r="D45" s="350">
        <v>48</v>
      </c>
      <c r="E45" s="350"/>
      <c r="F45" s="350">
        <v>1</v>
      </c>
      <c r="G45" s="351" t="s">
        <v>486</v>
      </c>
    </row>
    <row r="46" spans="1:7">
      <c r="A46">
        <v>45</v>
      </c>
      <c r="B46" s="353" t="s">
        <v>422</v>
      </c>
      <c r="C46" s="353">
        <v>84</v>
      </c>
      <c r="D46" s="353">
        <v>48</v>
      </c>
      <c r="E46" s="353"/>
      <c r="F46" s="353">
        <v>1</v>
      </c>
      <c r="G46" s="355" t="s">
        <v>486</v>
      </c>
    </row>
    <row r="47" spans="1:7">
      <c r="A47">
        <v>46</v>
      </c>
      <c r="B47" s="350" t="s">
        <v>423</v>
      </c>
      <c r="C47" s="350">
        <v>104</v>
      </c>
      <c r="D47" s="350">
        <v>48</v>
      </c>
      <c r="E47" s="350"/>
      <c r="F47" s="350">
        <v>1</v>
      </c>
      <c r="G47" s="351" t="s">
        <v>486</v>
      </c>
    </row>
    <row r="48" spans="1:7">
      <c r="A48">
        <v>47</v>
      </c>
      <c r="B48" s="353" t="s">
        <v>424</v>
      </c>
      <c r="C48" s="353">
        <v>12.5</v>
      </c>
      <c r="D48" s="353">
        <v>48</v>
      </c>
      <c r="E48" s="353"/>
      <c r="F48" s="353">
        <v>1</v>
      </c>
      <c r="G48" s="355" t="s">
        <v>487</v>
      </c>
    </row>
    <row r="49" spans="1:7">
      <c r="A49">
        <v>48</v>
      </c>
      <c r="B49" s="350" t="s">
        <v>425</v>
      </c>
      <c r="C49" s="350">
        <v>20</v>
      </c>
      <c r="D49" s="350">
        <v>48</v>
      </c>
      <c r="E49" s="350"/>
      <c r="F49" s="350">
        <v>1</v>
      </c>
      <c r="G49" s="351" t="s">
        <v>487</v>
      </c>
    </row>
    <row r="50" spans="1:7">
      <c r="A50">
        <v>49</v>
      </c>
      <c r="B50" s="353" t="s">
        <v>426</v>
      </c>
      <c r="C50" s="353">
        <v>25</v>
      </c>
      <c r="D50" s="353">
        <v>48</v>
      </c>
      <c r="E50" s="353"/>
      <c r="F50" s="353">
        <v>1</v>
      </c>
      <c r="G50" s="355" t="s">
        <v>487</v>
      </c>
    </row>
    <row r="51" spans="1:7">
      <c r="A51">
        <v>50</v>
      </c>
      <c r="B51" s="350" t="s">
        <v>427</v>
      </c>
      <c r="C51" s="350">
        <v>40</v>
      </c>
      <c r="D51" s="350">
        <v>48</v>
      </c>
      <c r="E51" s="350"/>
      <c r="F51" s="350">
        <v>1</v>
      </c>
      <c r="G51" s="351" t="s">
        <v>487</v>
      </c>
    </row>
    <row r="52" spans="1:7">
      <c r="A52">
        <v>51</v>
      </c>
      <c r="B52" s="353" t="s">
        <v>428</v>
      </c>
      <c r="C52" s="353">
        <v>12.5</v>
      </c>
      <c r="D52" s="353">
        <v>48</v>
      </c>
      <c r="E52" s="353"/>
      <c r="F52" s="353">
        <v>1</v>
      </c>
      <c r="G52" s="355" t="s">
        <v>488</v>
      </c>
    </row>
    <row r="53" spans="1:7">
      <c r="A53">
        <v>52</v>
      </c>
      <c r="B53" s="350" t="s">
        <v>429</v>
      </c>
      <c r="C53" s="350">
        <v>20</v>
      </c>
      <c r="D53" s="350">
        <v>48</v>
      </c>
      <c r="E53" s="350"/>
      <c r="F53" s="350">
        <v>1</v>
      </c>
      <c r="G53" s="351" t="s">
        <v>488</v>
      </c>
    </row>
    <row r="54" spans="1:7">
      <c r="A54">
        <v>53</v>
      </c>
      <c r="B54" s="353" t="s">
        <v>430</v>
      </c>
      <c r="C54" s="353">
        <v>25</v>
      </c>
      <c r="D54" s="353">
        <v>48</v>
      </c>
      <c r="E54" s="353"/>
      <c r="F54" s="353">
        <v>1</v>
      </c>
      <c r="G54" s="355" t="s">
        <v>488</v>
      </c>
    </row>
    <row r="55" spans="1:7">
      <c r="A55">
        <v>54</v>
      </c>
      <c r="B55" s="350" t="s">
        <v>431</v>
      </c>
      <c r="C55" s="350">
        <v>40</v>
      </c>
      <c r="D55" s="350">
        <v>48</v>
      </c>
      <c r="E55" s="350"/>
      <c r="F55" s="350">
        <v>1</v>
      </c>
      <c r="G55" s="351" t="s">
        <v>488</v>
      </c>
    </row>
    <row r="56" spans="1:7">
      <c r="A56">
        <v>55</v>
      </c>
      <c r="B56" s="353" t="s">
        <v>432</v>
      </c>
      <c r="C56" s="353">
        <v>40</v>
      </c>
      <c r="D56" s="353">
        <v>96</v>
      </c>
      <c r="E56" s="353"/>
      <c r="F56" s="353">
        <v>1</v>
      </c>
      <c r="G56" s="355" t="s">
        <v>488</v>
      </c>
    </row>
    <row r="57" spans="1:7">
      <c r="A57">
        <v>56</v>
      </c>
      <c r="B57" s="350" t="s">
        <v>433</v>
      </c>
      <c r="C57" s="350">
        <v>60</v>
      </c>
      <c r="D57" s="350">
        <v>48</v>
      </c>
      <c r="E57" s="350"/>
      <c r="F57" s="350">
        <v>1</v>
      </c>
      <c r="G57" s="351" t="s">
        <v>488</v>
      </c>
    </row>
    <row r="58" spans="1:7">
      <c r="A58">
        <v>57</v>
      </c>
      <c r="B58" s="353" t="s">
        <v>434</v>
      </c>
      <c r="C58" s="353">
        <v>80</v>
      </c>
      <c r="D58" s="353">
        <v>48</v>
      </c>
      <c r="E58" s="353"/>
      <c r="F58" s="353">
        <v>1</v>
      </c>
      <c r="G58" s="355" t="s">
        <v>488</v>
      </c>
    </row>
    <row r="59" spans="1:7">
      <c r="A59">
        <v>58</v>
      </c>
      <c r="B59" s="350" t="s">
        <v>469</v>
      </c>
      <c r="C59" s="350">
        <v>10</v>
      </c>
      <c r="D59" s="350">
        <v>96</v>
      </c>
      <c r="E59" s="350"/>
      <c r="F59" s="350">
        <v>1</v>
      </c>
      <c r="G59" s="351" t="s">
        <v>489</v>
      </c>
    </row>
    <row r="60" spans="1:7">
      <c r="A60">
        <v>59</v>
      </c>
      <c r="B60" s="353" t="s">
        <v>470</v>
      </c>
      <c r="C60" s="353">
        <v>10</v>
      </c>
      <c r="D60" s="353">
        <v>48</v>
      </c>
      <c r="E60" s="353"/>
      <c r="F60" s="353">
        <v>1</v>
      </c>
      <c r="G60" s="355" t="s">
        <v>489</v>
      </c>
    </row>
    <row r="61" spans="1:7">
      <c r="A61">
        <v>60</v>
      </c>
      <c r="B61" s="350" t="s">
        <v>456</v>
      </c>
      <c r="C61" s="350">
        <v>12.5</v>
      </c>
      <c r="D61" s="350">
        <v>48</v>
      </c>
      <c r="E61" s="350"/>
      <c r="F61" s="350">
        <v>1</v>
      </c>
      <c r="G61" s="351" t="s">
        <v>489</v>
      </c>
    </row>
    <row r="62" spans="1:7">
      <c r="A62">
        <v>61</v>
      </c>
      <c r="B62" s="353" t="s">
        <v>435</v>
      </c>
      <c r="C62" s="353">
        <v>20</v>
      </c>
      <c r="D62" s="353">
        <v>48</v>
      </c>
      <c r="E62" s="353"/>
      <c r="F62" s="353">
        <v>3</v>
      </c>
      <c r="G62" s="355" t="s">
        <v>489</v>
      </c>
    </row>
    <row r="63" spans="1:7">
      <c r="A63">
        <v>62</v>
      </c>
      <c r="B63" s="350" t="s">
        <v>436</v>
      </c>
      <c r="C63" s="350">
        <v>20</v>
      </c>
      <c r="D63" s="350">
        <v>48</v>
      </c>
      <c r="E63" s="350"/>
      <c r="F63" s="350">
        <v>1</v>
      </c>
      <c r="G63" s="351" t="s">
        <v>489</v>
      </c>
    </row>
    <row r="64" spans="1:7">
      <c r="A64">
        <v>63</v>
      </c>
      <c r="B64" s="353" t="s">
        <v>437</v>
      </c>
      <c r="C64" s="353">
        <v>20</v>
      </c>
      <c r="D64" s="353">
        <v>48</v>
      </c>
      <c r="E64" s="353"/>
      <c r="F64" s="353">
        <v>1</v>
      </c>
      <c r="G64" s="355" t="s">
        <v>489</v>
      </c>
    </row>
    <row r="65" spans="1:7">
      <c r="A65">
        <v>64</v>
      </c>
      <c r="B65" s="350" t="s">
        <v>438</v>
      </c>
      <c r="C65" s="350">
        <v>20</v>
      </c>
      <c r="D65" s="350">
        <v>48</v>
      </c>
      <c r="E65" s="350"/>
      <c r="F65" s="350">
        <v>1</v>
      </c>
      <c r="G65" s="351" t="s">
        <v>489</v>
      </c>
    </row>
    <row r="66" spans="1:7">
      <c r="A66">
        <v>65</v>
      </c>
      <c r="B66" s="353" t="s">
        <v>439</v>
      </c>
      <c r="C66" s="353">
        <v>20</v>
      </c>
      <c r="D66" s="353">
        <v>48</v>
      </c>
      <c r="E66" s="353"/>
      <c r="F66" s="353">
        <v>1</v>
      </c>
      <c r="G66" s="355" t="s">
        <v>489</v>
      </c>
    </row>
    <row r="67" spans="1:7">
      <c r="A67">
        <v>66</v>
      </c>
      <c r="B67" s="350" t="s">
        <v>440</v>
      </c>
      <c r="C67" s="350">
        <v>20</v>
      </c>
      <c r="D67" s="350">
        <v>96</v>
      </c>
      <c r="E67" s="350"/>
      <c r="F67" s="350">
        <v>1</v>
      </c>
      <c r="G67" s="351" t="s">
        <v>489</v>
      </c>
    </row>
    <row r="68" spans="1:7">
      <c r="A68">
        <v>67</v>
      </c>
      <c r="B68" s="353" t="s">
        <v>444</v>
      </c>
      <c r="C68" s="353">
        <v>20</v>
      </c>
      <c r="D68" s="353">
        <v>48</v>
      </c>
      <c r="E68" s="353"/>
      <c r="F68" s="353">
        <v>2</v>
      </c>
      <c r="G68" s="355" t="s">
        <v>489</v>
      </c>
    </row>
    <row r="69" spans="1:7">
      <c r="A69">
        <v>68</v>
      </c>
      <c r="B69" s="350" t="s">
        <v>445</v>
      </c>
      <c r="C69" s="350">
        <v>20</v>
      </c>
      <c r="D69" s="350">
        <v>48</v>
      </c>
      <c r="E69" s="350"/>
      <c r="F69" s="350">
        <v>2</v>
      </c>
      <c r="G69" s="351" t="s">
        <v>489</v>
      </c>
    </row>
    <row r="70" spans="1:7">
      <c r="A70">
        <v>69</v>
      </c>
      <c r="B70" s="353" t="s">
        <v>453</v>
      </c>
      <c r="C70" s="353">
        <v>20</v>
      </c>
      <c r="D70" s="353">
        <v>96</v>
      </c>
      <c r="E70" s="353"/>
      <c r="F70" s="353">
        <v>2</v>
      </c>
      <c r="G70" s="355" t="s">
        <v>489</v>
      </c>
    </row>
    <row r="71" spans="1:7">
      <c r="A71">
        <v>70</v>
      </c>
      <c r="B71" s="350" t="s">
        <v>455</v>
      </c>
      <c r="C71" s="350">
        <v>20</v>
      </c>
      <c r="D71" s="350">
        <v>48</v>
      </c>
      <c r="E71" s="350"/>
      <c r="F71" s="350">
        <v>3</v>
      </c>
      <c r="G71" s="351" t="s">
        <v>489</v>
      </c>
    </row>
    <row r="72" spans="1:7">
      <c r="A72">
        <v>71</v>
      </c>
      <c r="B72" s="353" t="s">
        <v>457</v>
      </c>
      <c r="C72" s="353">
        <v>20</v>
      </c>
      <c r="D72" s="353">
        <v>48</v>
      </c>
      <c r="E72" s="353"/>
      <c r="F72" s="353">
        <v>1</v>
      </c>
      <c r="G72" s="355" t="s">
        <v>489</v>
      </c>
    </row>
    <row r="73" spans="1:7">
      <c r="A73">
        <v>72</v>
      </c>
      <c r="B73" s="350" t="s">
        <v>458</v>
      </c>
      <c r="C73" s="350">
        <v>20</v>
      </c>
      <c r="D73" s="350">
        <v>96</v>
      </c>
      <c r="E73" s="350"/>
      <c r="F73" s="350">
        <v>1</v>
      </c>
      <c r="G73" s="351" t="s">
        <v>489</v>
      </c>
    </row>
    <row r="74" spans="1:7">
      <c r="A74">
        <v>73</v>
      </c>
      <c r="B74" s="353" t="s">
        <v>464</v>
      </c>
      <c r="C74" s="353">
        <v>20</v>
      </c>
      <c r="D74" s="353">
        <v>48</v>
      </c>
      <c r="E74" s="353"/>
      <c r="F74" s="353">
        <v>3</v>
      </c>
      <c r="G74" s="355" t="s">
        <v>489</v>
      </c>
    </row>
    <row r="75" spans="1:7">
      <c r="A75">
        <v>74</v>
      </c>
      <c r="B75" s="350" t="s">
        <v>466</v>
      </c>
      <c r="C75" s="350">
        <v>20</v>
      </c>
      <c r="D75" s="350">
        <v>48</v>
      </c>
      <c r="E75" s="350"/>
      <c r="F75" s="350">
        <v>2</v>
      </c>
      <c r="G75" s="351" t="s">
        <v>489</v>
      </c>
    </row>
    <row r="76" spans="1:7">
      <c r="A76">
        <v>75</v>
      </c>
      <c r="B76" s="353" t="s">
        <v>468</v>
      </c>
      <c r="C76" s="353">
        <v>20</v>
      </c>
      <c r="D76" s="353">
        <v>48</v>
      </c>
      <c r="E76" s="353"/>
      <c r="F76" s="353">
        <v>2</v>
      </c>
      <c r="G76" s="355" t="s">
        <v>489</v>
      </c>
    </row>
    <row r="77" spans="1:7">
      <c r="A77">
        <v>76</v>
      </c>
      <c r="B77" s="350" t="s">
        <v>449</v>
      </c>
      <c r="C77" s="350">
        <v>25</v>
      </c>
      <c r="D77" s="350">
        <v>48</v>
      </c>
      <c r="E77" s="350"/>
      <c r="F77" s="350">
        <v>2</v>
      </c>
      <c r="G77" s="351" t="s">
        <v>489</v>
      </c>
    </row>
    <row r="78" spans="1:7">
      <c r="A78">
        <v>77</v>
      </c>
      <c r="B78" s="353" t="s">
        <v>441</v>
      </c>
      <c r="C78" s="353">
        <v>40</v>
      </c>
      <c r="D78" s="353">
        <v>48</v>
      </c>
      <c r="E78" s="353"/>
      <c r="F78" s="353">
        <v>1</v>
      </c>
      <c r="G78" s="355" t="s">
        <v>489</v>
      </c>
    </row>
    <row r="79" spans="1:7">
      <c r="A79">
        <v>78</v>
      </c>
      <c r="B79" s="350" t="s">
        <v>442</v>
      </c>
      <c r="C79" s="350">
        <v>40</v>
      </c>
      <c r="D79" s="350">
        <v>48</v>
      </c>
      <c r="E79" s="350"/>
      <c r="F79" s="350">
        <v>1</v>
      </c>
      <c r="G79" s="351" t="s">
        <v>489</v>
      </c>
    </row>
    <row r="80" spans="1:7">
      <c r="A80">
        <v>79</v>
      </c>
      <c r="B80" s="353" t="s">
        <v>443</v>
      </c>
      <c r="C80" s="353">
        <v>40</v>
      </c>
      <c r="D80" s="353">
        <v>48</v>
      </c>
      <c r="E80" s="353"/>
      <c r="F80" s="353">
        <v>1</v>
      </c>
      <c r="G80" s="355" t="s">
        <v>489</v>
      </c>
    </row>
    <row r="81" spans="1:7">
      <c r="A81">
        <v>80</v>
      </c>
      <c r="B81" s="350" t="s">
        <v>450</v>
      </c>
      <c r="C81" s="350">
        <v>40</v>
      </c>
      <c r="D81" s="350">
        <v>96</v>
      </c>
      <c r="E81" s="350"/>
      <c r="F81" s="350">
        <v>1</v>
      </c>
      <c r="G81" s="351" t="s">
        <v>489</v>
      </c>
    </row>
    <row r="82" spans="1:7">
      <c r="A82">
        <v>81</v>
      </c>
      <c r="B82" s="353" t="s">
        <v>454</v>
      </c>
      <c r="C82" s="353">
        <v>40</v>
      </c>
      <c r="D82" s="353">
        <v>48</v>
      </c>
      <c r="E82" s="353"/>
      <c r="F82" s="353">
        <v>2</v>
      </c>
      <c r="G82" s="355" t="s">
        <v>489</v>
      </c>
    </row>
    <row r="83" spans="1:7">
      <c r="A83">
        <v>82</v>
      </c>
      <c r="B83" s="350" t="s">
        <v>459</v>
      </c>
      <c r="C83" s="350">
        <v>40</v>
      </c>
      <c r="D83" s="350">
        <v>48</v>
      </c>
      <c r="E83" s="350"/>
      <c r="F83" s="350">
        <v>1</v>
      </c>
      <c r="G83" s="351" t="s">
        <v>489</v>
      </c>
    </row>
    <row r="84" spans="1:7">
      <c r="A84">
        <v>83</v>
      </c>
      <c r="B84" s="353" t="s">
        <v>461</v>
      </c>
      <c r="C84" s="353">
        <v>40</v>
      </c>
      <c r="D84" s="353">
        <v>96</v>
      </c>
      <c r="E84" s="353"/>
      <c r="F84" s="353">
        <v>1</v>
      </c>
      <c r="G84" s="355" t="s">
        <v>489</v>
      </c>
    </row>
    <row r="85" spans="1:7">
      <c r="A85">
        <v>84</v>
      </c>
      <c r="B85" s="350" t="s">
        <v>463</v>
      </c>
      <c r="C85" s="350">
        <v>40</v>
      </c>
      <c r="D85" s="350">
        <v>48</v>
      </c>
      <c r="E85" s="350"/>
      <c r="F85" s="350">
        <v>2</v>
      </c>
      <c r="G85" s="351" t="s">
        <v>489</v>
      </c>
    </row>
    <row r="86" spans="1:7">
      <c r="A86">
        <v>85</v>
      </c>
      <c r="B86" s="353" t="s">
        <v>465</v>
      </c>
      <c r="C86" s="353">
        <v>40</v>
      </c>
      <c r="D86" s="353">
        <v>48</v>
      </c>
      <c r="E86" s="353"/>
      <c r="F86" s="353">
        <v>1</v>
      </c>
      <c r="G86" s="355" t="s">
        <v>489</v>
      </c>
    </row>
    <row r="87" spans="1:7">
      <c r="A87">
        <v>86</v>
      </c>
      <c r="B87" s="350" t="s">
        <v>467</v>
      </c>
      <c r="C87" s="350">
        <v>40</v>
      </c>
      <c r="D87" s="350">
        <v>48</v>
      </c>
      <c r="E87" s="350"/>
      <c r="F87" s="350">
        <v>1</v>
      </c>
      <c r="G87" s="351" t="s">
        <v>489</v>
      </c>
    </row>
    <row r="88" spans="1:7">
      <c r="A88">
        <v>87</v>
      </c>
      <c r="B88" s="353" t="s">
        <v>446</v>
      </c>
      <c r="C88" s="353">
        <v>60</v>
      </c>
      <c r="D88" s="353">
        <v>48</v>
      </c>
      <c r="E88" s="353"/>
      <c r="F88" s="353">
        <v>1</v>
      </c>
      <c r="G88" s="355" t="s">
        <v>489</v>
      </c>
    </row>
    <row r="89" spans="1:7">
      <c r="A89">
        <v>88</v>
      </c>
      <c r="B89" s="350" t="s">
        <v>447</v>
      </c>
      <c r="C89" s="350">
        <v>60</v>
      </c>
      <c r="D89" s="350">
        <v>48</v>
      </c>
      <c r="E89" s="350"/>
      <c r="F89" s="350">
        <v>1</v>
      </c>
      <c r="G89" s="351" t="s">
        <v>489</v>
      </c>
    </row>
    <row r="90" spans="1:7">
      <c r="A90">
        <v>89</v>
      </c>
      <c r="B90" s="353" t="s">
        <v>448</v>
      </c>
      <c r="C90" s="353">
        <v>60</v>
      </c>
      <c r="D90" s="353">
        <v>48</v>
      </c>
      <c r="E90" s="353"/>
      <c r="F90" s="353">
        <v>1</v>
      </c>
      <c r="G90" s="355" t="s">
        <v>489</v>
      </c>
    </row>
    <row r="91" spans="1:7">
      <c r="A91">
        <v>90</v>
      </c>
      <c r="B91" s="350" t="s">
        <v>460</v>
      </c>
      <c r="C91" s="350">
        <v>60</v>
      </c>
      <c r="D91" s="350">
        <v>48</v>
      </c>
      <c r="E91" s="350"/>
      <c r="F91" s="350">
        <v>1</v>
      </c>
      <c r="G91" s="351" t="s">
        <v>489</v>
      </c>
    </row>
    <row r="92" spans="1:7">
      <c r="A92">
        <v>91</v>
      </c>
      <c r="B92" s="353" t="s">
        <v>451</v>
      </c>
      <c r="C92" s="353">
        <v>80</v>
      </c>
      <c r="D92" s="353">
        <v>48</v>
      </c>
      <c r="E92" s="353"/>
      <c r="F92" s="353">
        <v>1</v>
      </c>
      <c r="G92" s="355" t="s">
        <v>489</v>
      </c>
    </row>
    <row r="93" spans="1:7">
      <c r="A93">
        <v>92</v>
      </c>
      <c r="B93" s="350" t="s">
        <v>452</v>
      </c>
      <c r="C93" s="350">
        <v>80</v>
      </c>
      <c r="D93" s="350">
        <v>48</v>
      </c>
      <c r="E93" s="350"/>
      <c r="F93" s="350">
        <v>1</v>
      </c>
      <c r="G93" s="351" t="s">
        <v>489</v>
      </c>
    </row>
    <row r="94" spans="1:7">
      <c r="A94">
        <v>93</v>
      </c>
      <c r="B94" s="353" t="s">
        <v>462</v>
      </c>
      <c r="C94" s="353">
        <v>80</v>
      </c>
      <c r="D94" s="353">
        <v>48</v>
      </c>
      <c r="E94" s="353"/>
      <c r="F94" s="353">
        <v>1</v>
      </c>
      <c r="G94" s="355" t="s">
        <v>489</v>
      </c>
    </row>
    <row r="95" spans="1:7">
      <c r="A95">
        <v>94</v>
      </c>
      <c r="B95" s="350" t="s">
        <v>474</v>
      </c>
      <c r="C95" s="350">
        <v>10</v>
      </c>
      <c r="D95" s="350">
        <v>62</v>
      </c>
      <c r="E95" s="350"/>
      <c r="F95" s="350">
        <v>1</v>
      </c>
      <c r="G95" s="351" t="s">
        <v>490</v>
      </c>
    </row>
    <row r="96" spans="1:7">
      <c r="A96">
        <v>95</v>
      </c>
      <c r="B96" s="353" t="s">
        <v>475</v>
      </c>
      <c r="C96" s="353">
        <v>15</v>
      </c>
      <c r="D96" s="353">
        <v>62</v>
      </c>
      <c r="E96" s="353"/>
      <c r="F96" s="353">
        <v>1</v>
      </c>
      <c r="G96" s="355" t="s">
        <v>490</v>
      </c>
    </row>
    <row r="97" spans="1:7">
      <c r="A97">
        <v>96</v>
      </c>
      <c r="B97" s="350" t="s">
        <v>476</v>
      </c>
      <c r="C97" s="350">
        <v>20</v>
      </c>
      <c r="D97" s="350">
        <v>62</v>
      </c>
      <c r="E97" s="350"/>
      <c r="F97" s="350">
        <v>1</v>
      </c>
      <c r="G97" s="351" t="s">
        <v>490</v>
      </c>
    </row>
    <row r="98" spans="1:7">
      <c r="A98">
        <v>97</v>
      </c>
      <c r="B98" s="353" t="s">
        <v>477</v>
      </c>
      <c r="C98" s="353">
        <v>30</v>
      </c>
      <c r="D98" s="353">
        <v>62</v>
      </c>
      <c r="E98" s="353"/>
      <c r="F98" s="353">
        <v>1</v>
      </c>
      <c r="G98" s="355" t="s">
        <v>490</v>
      </c>
    </row>
    <row r="99" spans="1:7">
      <c r="A99">
        <v>98</v>
      </c>
      <c r="B99" s="350" t="s">
        <v>478</v>
      </c>
      <c r="C99" s="350">
        <v>45</v>
      </c>
      <c r="D99" s="350">
        <v>62</v>
      </c>
      <c r="E99" s="350"/>
      <c r="F99" s="350">
        <v>1</v>
      </c>
      <c r="G99" s="351" t="s">
        <v>490</v>
      </c>
    </row>
    <row r="100" spans="1:7">
      <c r="A100">
        <v>99</v>
      </c>
      <c r="B100" s="353" t="s">
        <v>479</v>
      </c>
      <c r="C100" s="353">
        <v>75</v>
      </c>
      <c r="D100" s="353">
        <v>62</v>
      </c>
      <c r="E100" s="353"/>
      <c r="F100" s="353">
        <v>1</v>
      </c>
      <c r="G100" s="355" t="s">
        <v>490</v>
      </c>
    </row>
    <row r="101" spans="1:7">
      <c r="A101">
        <v>100</v>
      </c>
      <c r="B101" s="350" t="s">
        <v>471</v>
      </c>
      <c r="C101" s="350">
        <v>20</v>
      </c>
      <c r="D101" s="350">
        <v>48</v>
      </c>
      <c r="E101" s="350"/>
      <c r="F101" s="350">
        <v>1</v>
      </c>
      <c r="G101" s="351" t="s">
        <v>491</v>
      </c>
    </row>
    <row r="102" spans="1:7">
      <c r="A102">
        <v>101</v>
      </c>
      <c r="B102" s="353" t="s">
        <v>472</v>
      </c>
      <c r="C102" s="353">
        <v>40</v>
      </c>
      <c r="D102" s="353">
        <v>48</v>
      </c>
      <c r="E102" s="353"/>
      <c r="F102" s="353">
        <v>2</v>
      </c>
      <c r="G102" s="355" t="s">
        <v>491</v>
      </c>
    </row>
    <row r="103" spans="1:7">
      <c r="A103">
        <v>102</v>
      </c>
      <c r="B103" s="350" t="s">
        <v>473</v>
      </c>
      <c r="C103" s="350">
        <v>60</v>
      </c>
      <c r="D103" s="350">
        <v>48</v>
      </c>
      <c r="E103" s="350"/>
      <c r="F103" s="350">
        <v>3</v>
      </c>
      <c r="G103" s="351" t="s">
        <v>491</v>
      </c>
    </row>
    <row r="104" spans="1:7">
      <c r="A104">
        <v>103</v>
      </c>
      <c r="B104" s="353" t="s">
        <v>758</v>
      </c>
      <c r="C104" s="353">
        <v>6</v>
      </c>
      <c r="D104" s="353">
        <v>48</v>
      </c>
      <c r="E104" s="353"/>
      <c r="F104" s="353">
        <v>1</v>
      </c>
      <c r="G104" s="355" t="s">
        <v>492</v>
      </c>
    </row>
    <row r="105" spans="1:7">
      <c r="A105">
        <v>104</v>
      </c>
      <c r="B105" s="350" t="s">
        <v>160</v>
      </c>
      <c r="C105" s="350">
        <v>12</v>
      </c>
      <c r="D105" s="350">
        <v>48</v>
      </c>
      <c r="E105" s="350"/>
      <c r="F105" s="350">
        <v>1</v>
      </c>
      <c r="G105" s="351" t="s">
        <v>492</v>
      </c>
    </row>
    <row r="106" spans="1:7">
      <c r="A106">
        <v>105</v>
      </c>
      <c r="B106" s="353" t="s">
        <v>161</v>
      </c>
      <c r="C106" s="353">
        <v>20</v>
      </c>
      <c r="D106" s="353">
        <v>48</v>
      </c>
      <c r="E106" s="353"/>
      <c r="F106" s="353">
        <v>1</v>
      </c>
      <c r="G106" s="355" t="s">
        <v>492</v>
      </c>
    </row>
    <row r="107" spans="1:7">
      <c r="A107">
        <v>106</v>
      </c>
      <c r="B107" s="350" t="s">
        <v>162</v>
      </c>
      <c r="C107" s="350">
        <v>40</v>
      </c>
      <c r="D107" s="350">
        <v>48</v>
      </c>
      <c r="E107" s="350"/>
      <c r="F107" s="350">
        <v>1</v>
      </c>
      <c r="G107" s="351" t="s">
        <v>492</v>
      </c>
    </row>
    <row r="108" spans="1:7">
      <c r="A108">
        <v>107</v>
      </c>
      <c r="B108" s="353" t="s">
        <v>163</v>
      </c>
      <c r="C108" s="353">
        <v>60</v>
      </c>
      <c r="D108" s="353">
        <v>48</v>
      </c>
      <c r="E108" s="353"/>
      <c r="F108" s="353">
        <v>1</v>
      </c>
      <c r="G108" s="355" t="s">
        <v>492</v>
      </c>
    </row>
    <row r="109" spans="1:7">
      <c r="A109">
        <v>108</v>
      </c>
      <c r="B109" s="350" t="s">
        <v>164</v>
      </c>
      <c r="C109" s="350">
        <v>80</v>
      </c>
      <c r="D109" s="350">
        <v>48</v>
      </c>
      <c r="E109" s="350"/>
      <c r="F109" s="350">
        <v>1</v>
      </c>
      <c r="G109" s="351" t="s">
        <v>492</v>
      </c>
    </row>
    <row r="110" spans="1:7">
      <c r="A110">
        <v>109</v>
      </c>
      <c r="B110" s="353" t="s">
        <v>165</v>
      </c>
      <c r="C110" s="353">
        <v>100</v>
      </c>
      <c r="D110" s="353">
        <v>48</v>
      </c>
      <c r="E110" s="353"/>
      <c r="F110" s="353">
        <v>1</v>
      </c>
      <c r="G110" s="355" t="s">
        <v>492</v>
      </c>
    </row>
    <row r="111" spans="1:7">
      <c r="A111">
        <v>110</v>
      </c>
      <c r="B111" s="350" t="s">
        <v>166</v>
      </c>
      <c r="C111" s="350">
        <v>6</v>
      </c>
      <c r="D111" s="350">
        <v>48</v>
      </c>
      <c r="E111" s="350"/>
      <c r="F111" s="350">
        <v>1</v>
      </c>
      <c r="G111" s="351" t="s">
        <v>492</v>
      </c>
    </row>
    <row r="112" spans="1:7">
      <c r="A112">
        <v>111</v>
      </c>
      <c r="B112" s="353" t="s">
        <v>167</v>
      </c>
      <c r="C112" s="353">
        <v>12</v>
      </c>
      <c r="D112" s="353">
        <v>48</v>
      </c>
      <c r="E112" s="353"/>
      <c r="F112" s="353">
        <v>1</v>
      </c>
      <c r="G112" s="355" t="s">
        <v>492</v>
      </c>
    </row>
    <row r="113" spans="1:7">
      <c r="A113">
        <v>112</v>
      </c>
      <c r="B113" s="350" t="s">
        <v>168</v>
      </c>
      <c r="C113" s="350">
        <v>20</v>
      </c>
      <c r="D113" s="350">
        <v>48</v>
      </c>
      <c r="E113" s="350"/>
      <c r="F113" s="350">
        <v>1</v>
      </c>
      <c r="G113" s="351" t="s">
        <v>492</v>
      </c>
    </row>
    <row r="114" spans="1:7">
      <c r="A114">
        <v>113</v>
      </c>
      <c r="B114" s="353" t="s">
        <v>169</v>
      </c>
      <c r="C114" s="353">
        <v>40</v>
      </c>
      <c r="D114" s="353">
        <v>48</v>
      </c>
      <c r="E114" s="353"/>
      <c r="F114" s="353">
        <v>1</v>
      </c>
      <c r="G114" s="355" t="s">
        <v>492</v>
      </c>
    </row>
    <row r="115" spans="1:7">
      <c r="A115">
        <v>114</v>
      </c>
      <c r="B115" s="350" t="s">
        <v>170</v>
      </c>
      <c r="C115" s="350">
        <v>60</v>
      </c>
      <c r="D115" s="350">
        <v>48</v>
      </c>
      <c r="E115" s="350"/>
      <c r="F115" s="350">
        <v>1</v>
      </c>
      <c r="G115" s="351" t="s">
        <v>492</v>
      </c>
    </row>
    <row r="116" spans="1:7">
      <c r="A116">
        <v>115</v>
      </c>
      <c r="B116" s="353" t="s">
        <v>171</v>
      </c>
      <c r="C116" s="353">
        <v>80</v>
      </c>
      <c r="D116" s="353">
        <v>48</v>
      </c>
      <c r="E116" s="353"/>
      <c r="F116" s="353">
        <v>1</v>
      </c>
      <c r="G116" s="355" t="s">
        <v>492</v>
      </c>
    </row>
    <row r="117" spans="1:7">
      <c r="A117">
        <v>116</v>
      </c>
      <c r="B117" s="350" t="s">
        <v>172</v>
      </c>
      <c r="C117" s="350">
        <v>100</v>
      </c>
      <c r="D117" s="350">
        <v>48</v>
      </c>
      <c r="E117" s="350"/>
      <c r="F117" s="350">
        <v>1</v>
      </c>
      <c r="G117" s="351" t="s">
        <v>492</v>
      </c>
    </row>
    <row r="118" spans="1:7">
      <c r="A118">
        <v>117</v>
      </c>
      <c r="B118" s="353" t="s">
        <v>173</v>
      </c>
      <c r="C118" s="353">
        <v>6</v>
      </c>
      <c r="D118" s="353">
        <v>48</v>
      </c>
      <c r="E118" s="353"/>
      <c r="F118" s="353">
        <v>1</v>
      </c>
      <c r="G118" s="355" t="s">
        <v>492</v>
      </c>
    </row>
    <row r="119" spans="1:7">
      <c r="A119">
        <v>118</v>
      </c>
      <c r="B119" s="350" t="s">
        <v>174</v>
      </c>
      <c r="C119" s="350">
        <v>12</v>
      </c>
      <c r="D119" s="350">
        <v>48</v>
      </c>
      <c r="E119" s="350"/>
      <c r="F119" s="350">
        <v>1</v>
      </c>
      <c r="G119" s="351" t="s">
        <v>492</v>
      </c>
    </row>
    <row r="120" spans="1:7">
      <c r="A120">
        <v>119</v>
      </c>
      <c r="B120" s="353" t="s">
        <v>175</v>
      </c>
      <c r="C120" s="353">
        <v>20</v>
      </c>
      <c r="D120" s="353">
        <v>48</v>
      </c>
      <c r="E120" s="353"/>
      <c r="F120" s="353">
        <v>1</v>
      </c>
      <c r="G120" s="355" t="s">
        <v>492</v>
      </c>
    </row>
    <row r="121" spans="1:7">
      <c r="A121">
        <v>120</v>
      </c>
      <c r="B121" s="350" t="s">
        <v>176</v>
      </c>
      <c r="C121" s="350">
        <v>40</v>
      </c>
      <c r="D121" s="350">
        <v>48</v>
      </c>
      <c r="E121" s="350"/>
      <c r="F121" s="350">
        <v>1</v>
      </c>
      <c r="G121" s="351" t="s">
        <v>492</v>
      </c>
    </row>
    <row r="122" spans="1:7">
      <c r="A122">
        <v>121</v>
      </c>
      <c r="B122" s="353" t="s">
        <v>177</v>
      </c>
      <c r="C122" s="353">
        <v>60</v>
      </c>
      <c r="D122" s="353">
        <v>48</v>
      </c>
      <c r="E122" s="353"/>
      <c r="F122" s="353">
        <v>1</v>
      </c>
      <c r="G122" s="355" t="s">
        <v>492</v>
      </c>
    </row>
    <row r="123" spans="1:7">
      <c r="A123">
        <v>122</v>
      </c>
      <c r="B123" s="350" t="s">
        <v>178</v>
      </c>
      <c r="C123" s="350">
        <v>80</v>
      </c>
      <c r="D123" s="350">
        <v>48</v>
      </c>
      <c r="E123" s="350"/>
      <c r="F123" s="350">
        <v>1</v>
      </c>
      <c r="G123" s="351" t="s">
        <v>492</v>
      </c>
    </row>
    <row r="124" spans="1:7">
      <c r="A124">
        <v>123</v>
      </c>
      <c r="B124" s="353" t="s">
        <v>179</v>
      </c>
      <c r="C124" s="353">
        <v>100</v>
      </c>
      <c r="D124" s="353">
        <v>48</v>
      </c>
      <c r="E124" s="353"/>
      <c r="F124" s="353">
        <v>1</v>
      </c>
      <c r="G124" s="355" t="s">
        <v>492</v>
      </c>
    </row>
    <row r="125" spans="1:7">
      <c r="A125">
        <v>124</v>
      </c>
      <c r="B125" s="350" t="s">
        <v>180</v>
      </c>
      <c r="C125" s="350">
        <v>6</v>
      </c>
      <c r="D125" s="350">
        <v>48</v>
      </c>
      <c r="E125" s="350"/>
      <c r="F125" s="350">
        <v>1</v>
      </c>
      <c r="G125" s="351" t="s">
        <v>492</v>
      </c>
    </row>
    <row r="126" spans="1:7">
      <c r="A126">
        <v>125</v>
      </c>
      <c r="B126" s="353" t="s">
        <v>181</v>
      </c>
      <c r="C126" s="353">
        <v>12</v>
      </c>
      <c r="D126" s="353">
        <v>48</v>
      </c>
      <c r="E126" s="353"/>
      <c r="F126" s="353">
        <v>1</v>
      </c>
      <c r="G126" s="355" t="s">
        <v>492</v>
      </c>
    </row>
    <row r="127" spans="1:7">
      <c r="A127">
        <v>126</v>
      </c>
      <c r="B127" s="350" t="s">
        <v>182</v>
      </c>
      <c r="C127" s="350">
        <v>20</v>
      </c>
      <c r="D127" s="350">
        <v>48</v>
      </c>
      <c r="E127" s="350"/>
      <c r="F127" s="350">
        <v>1</v>
      </c>
      <c r="G127" s="351" t="s">
        <v>492</v>
      </c>
    </row>
    <row r="128" spans="1:7">
      <c r="A128">
        <v>127</v>
      </c>
      <c r="B128" s="353" t="s">
        <v>183</v>
      </c>
      <c r="C128" s="353">
        <v>40</v>
      </c>
      <c r="D128" s="353">
        <v>48</v>
      </c>
      <c r="E128" s="353"/>
      <c r="F128" s="353">
        <v>1</v>
      </c>
      <c r="G128" s="355" t="s">
        <v>492</v>
      </c>
    </row>
    <row r="129" spans="1:7">
      <c r="A129">
        <v>128</v>
      </c>
      <c r="B129" s="350" t="s">
        <v>184</v>
      </c>
      <c r="C129" s="350">
        <v>60</v>
      </c>
      <c r="D129" s="350">
        <v>48</v>
      </c>
      <c r="E129" s="350"/>
      <c r="F129" s="350">
        <v>1</v>
      </c>
      <c r="G129" s="351" t="s">
        <v>492</v>
      </c>
    </row>
    <row r="130" spans="1:7">
      <c r="A130">
        <v>129</v>
      </c>
      <c r="B130" s="353" t="s">
        <v>185</v>
      </c>
      <c r="C130" s="353">
        <v>80</v>
      </c>
      <c r="D130" s="353">
        <v>48</v>
      </c>
      <c r="E130" s="353"/>
      <c r="F130" s="353">
        <v>1</v>
      </c>
      <c r="G130" s="355" t="s">
        <v>492</v>
      </c>
    </row>
    <row r="131" spans="1:7">
      <c r="A131">
        <v>130</v>
      </c>
      <c r="B131" s="350" t="s">
        <v>186</v>
      </c>
      <c r="C131" s="350">
        <v>100</v>
      </c>
      <c r="D131" s="350">
        <v>48</v>
      </c>
      <c r="E131" s="350"/>
      <c r="F131" s="350">
        <v>1</v>
      </c>
      <c r="G131" s="351" t="s">
        <v>492</v>
      </c>
    </row>
    <row r="132" spans="1:7">
      <c r="A132">
        <v>131</v>
      </c>
      <c r="B132" s="353" t="s">
        <v>187</v>
      </c>
      <c r="C132" s="353">
        <v>6</v>
      </c>
      <c r="D132" s="353">
        <v>48</v>
      </c>
      <c r="E132" s="353"/>
      <c r="F132" s="353">
        <v>1</v>
      </c>
      <c r="G132" s="355" t="s">
        <v>492</v>
      </c>
    </row>
    <row r="133" spans="1:7">
      <c r="A133">
        <v>132</v>
      </c>
      <c r="B133" s="350" t="s">
        <v>188</v>
      </c>
      <c r="C133" s="350">
        <v>12</v>
      </c>
      <c r="D133" s="350">
        <v>48</v>
      </c>
      <c r="E133" s="350"/>
      <c r="F133" s="350">
        <v>1</v>
      </c>
      <c r="G133" s="351" t="s">
        <v>492</v>
      </c>
    </row>
    <row r="134" spans="1:7">
      <c r="A134">
        <v>133</v>
      </c>
      <c r="B134" s="353" t="s">
        <v>189</v>
      </c>
      <c r="C134" s="353">
        <v>20</v>
      </c>
      <c r="D134" s="353">
        <v>48</v>
      </c>
      <c r="E134" s="353"/>
      <c r="F134" s="353">
        <v>1</v>
      </c>
      <c r="G134" s="355" t="s">
        <v>492</v>
      </c>
    </row>
    <row r="135" spans="1:7">
      <c r="A135">
        <v>134</v>
      </c>
      <c r="B135" s="350" t="s">
        <v>190</v>
      </c>
      <c r="C135" s="350">
        <v>40</v>
      </c>
      <c r="D135" s="350">
        <v>48</v>
      </c>
      <c r="E135" s="350"/>
      <c r="F135" s="350">
        <v>1</v>
      </c>
      <c r="G135" s="351" t="s">
        <v>492</v>
      </c>
    </row>
    <row r="136" spans="1:7">
      <c r="A136">
        <v>135</v>
      </c>
      <c r="B136" s="353" t="s">
        <v>191</v>
      </c>
      <c r="C136" s="353">
        <v>60</v>
      </c>
      <c r="D136" s="353">
        <v>48</v>
      </c>
      <c r="E136" s="353"/>
      <c r="F136" s="353">
        <v>1</v>
      </c>
      <c r="G136" s="355" t="s">
        <v>492</v>
      </c>
    </row>
    <row r="137" spans="1:7">
      <c r="A137">
        <v>136</v>
      </c>
      <c r="B137" s="350" t="s">
        <v>192</v>
      </c>
      <c r="C137" s="350">
        <v>80</v>
      </c>
      <c r="D137" s="350">
        <v>48</v>
      </c>
      <c r="E137" s="350"/>
      <c r="F137" s="350">
        <v>1</v>
      </c>
      <c r="G137" s="351" t="s">
        <v>492</v>
      </c>
    </row>
    <row r="138" spans="1:7">
      <c r="A138">
        <v>137</v>
      </c>
      <c r="B138" s="353" t="s">
        <v>193</v>
      </c>
      <c r="C138" s="353">
        <v>100</v>
      </c>
      <c r="D138" s="353">
        <v>48</v>
      </c>
      <c r="E138" s="353"/>
      <c r="F138" s="353">
        <v>1</v>
      </c>
      <c r="G138" s="355" t="s">
        <v>492</v>
      </c>
    </row>
    <row r="139" spans="1:7">
      <c r="A139">
        <v>138</v>
      </c>
      <c r="B139" s="350" t="s">
        <v>194</v>
      </c>
      <c r="C139" s="350">
        <v>6</v>
      </c>
      <c r="D139" s="350">
        <v>48</v>
      </c>
      <c r="E139" s="350"/>
      <c r="F139" s="350">
        <v>1</v>
      </c>
      <c r="G139" s="351" t="s">
        <v>492</v>
      </c>
    </row>
    <row r="140" spans="1:7">
      <c r="A140">
        <v>139</v>
      </c>
      <c r="B140" s="353" t="s">
        <v>195</v>
      </c>
      <c r="C140" s="353">
        <v>12</v>
      </c>
      <c r="D140" s="353">
        <v>48</v>
      </c>
      <c r="E140" s="353"/>
      <c r="F140" s="353">
        <v>1</v>
      </c>
      <c r="G140" s="355" t="s">
        <v>492</v>
      </c>
    </row>
    <row r="141" spans="1:7">
      <c r="A141">
        <v>140</v>
      </c>
      <c r="B141" s="350" t="s">
        <v>196</v>
      </c>
      <c r="C141" s="350">
        <v>20</v>
      </c>
      <c r="D141" s="350">
        <v>48</v>
      </c>
      <c r="E141" s="350"/>
      <c r="F141" s="350">
        <v>1</v>
      </c>
      <c r="G141" s="351" t="s">
        <v>492</v>
      </c>
    </row>
    <row r="142" spans="1:7">
      <c r="A142">
        <v>141</v>
      </c>
      <c r="B142" s="353" t="s">
        <v>197</v>
      </c>
      <c r="C142" s="353">
        <v>40</v>
      </c>
      <c r="D142" s="353">
        <v>48</v>
      </c>
      <c r="E142" s="353"/>
      <c r="F142" s="353">
        <v>1</v>
      </c>
      <c r="G142" s="355" t="s">
        <v>492</v>
      </c>
    </row>
    <row r="143" spans="1:7">
      <c r="A143">
        <v>142</v>
      </c>
      <c r="B143" s="350" t="s">
        <v>198</v>
      </c>
      <c r="C143" s="350">
        <v>60</v>
      </c>
      <c r="D143" s="350">
        <v>48</v>
      </c>
      <c r="E143" s="350"/>
      <c r="F143" s="350">
        <v>1</v>
      </c>
      <c r="G143" s="351" t="s">
        <v>492</v>
      </c>
    </row>
    <row r="144" spans="1:7">
      <c r="A144">
        <v>143</v>
      </c>
      <c r="B144" s="353" t="s">
        <v>199</v>
      </c>
      <c r="C144" s="353">
        <v>80</v>
      </c>
      <c r="D144" s="353">
        <v>48</v>
      </c>
      <c r="E144" s="353"/>
      <c r="F144" s="353">
        <v>1</v>
      </c>
      <c r="G144" s="355" t="s">
        <v>492</v>
      </c>
    </row>
    <row r="145" spans="1:7">
      <c r="A145">
        <v>144</v>
      </c>
      <c r="B145" s="350" t="s">
        <v>200</v>
      </c>
      <c r="C145" s="350">
        <v>100</v>
      </c>
      <c r="D145" s="350">
        <v>48</v>
      </c>
      <c r="E145" s="350"/>
      <c r="F145" s="350">
        <v>1</v>
      </c>
      <c r="G145" s="351" t="s">
        <v>492</v>
      </c>
    </row>
    <row r="146" spans="1:7">
      <c r="A146">
        <v>145</v>
      </c>
      <c r="B146" s="353" t="s">
        <v>201</v>
      </c>
      <c r="C146" s="353">
        <v>6</v>
      </c>
      <c r="D146" s="353">
        <v>48</v>
      </c>
      <c r="E146" s="353"/>
      <c r="F146" s="353">
        <v>1</v>
      </c>
      <c r="G146" s="355" t="s">
        <v>492</v>
      </c>
    </row>
    <row r="147" spans="1:7">
      <c r="A147">
        <v>146</v>
      </c>
      <c r="B147" s="350" t="s">
        <v>202</v>
      </c>
      <c r="C147" s="350">
        <v>12</v>
      </c>
      <c r="D147" s="350">
        <v>48</v>
      </c>
      <c r="E147" s="350"/>
      <c r="F147" s="350">
        <v>1</v>
      </c>
      <c r="G147" s="351" t="s">
        <v>492</v>
      </c>
    </row>
    <row r="148" spans="1:7">
      <c r="A148">
        <v>147</v>
      </c>
      <c r="B148" s="353" t="s">
        <v>203</v>
      </c>
      <c r="C148" s="353">
        <v>20</v>
      </c>
      <c r="D148" s="353">
        <v>48</v>
      </c>
      <c r="E148" s="353"/>
      <c r="F148" s="353">
        <v>1</v>
      </c>
      <c r="G148" s="355" t="s">
        <v>492</v>
      </c>
    </row>
    <row r="149" spans="1:7">
      <c r="A149">
        <v>148</v>
      </c>
      <c r="B149" s="350" t="s">
        <v>204</v>
      </c>
      <c r="C149" s="350">
        <v>40</v>
      </c>
      <c r="D149" s="350">
        <v>48</v>
      </c>
      <c r="E149" s="350"/>
      <c r="F149" s="350">
        <v>1</v>
      </c>
      <c r="G149" s="351" t="s">
        <v>492</v>
      </c>
    </row>
    <row r="150" spans="1:7">
      <c r="A150">
        <v>149</v>
      </c>
      <c r="B150" s="353" t="s">
        <v>205</v>
      </c>
      <c r="C150" s="353">
        <v>60</v>
      </c>
      <c r="D150" s="353">
        <v>48</v>
      </c>
      <c r="E150" s="353"/>
      <c r="F150" s="353">
        <v>1</v>
      </c>
      <c r="G150" s="355" t="s">
        <v>492</v>
      </c>
    </row>
    <row r="151" spans="1:7">
      <c r="A151">
        <v>150</v>
      </c>
      <c r="B151" s="350" t="s">
        <v>206</v>
      </c>
      <c r="C151" s="350">
        <v>80</v>
      </c>
      <c r="D151" s="350">
        <v>48</v>
      </c>
      <c r="E151" s="350"/>
      <c r="F151" s="350">
        <v>1</v>
      </c>
      <c r="G151" s="351" t="s">
        <v>492</v>
      </c>
    </row>
    <row r="152" spans="1:7">
      <c r="A152">
        <v>151</v>
      </c>
      <c r="B152" s="353" t="s">
        <v>207</v>
      </c>
      <c r="C152" s="353">
        <v>100</v>
      </c>
      <c r="D152" s="353">
        <v>48</v>
      </c>
      <c r="E152" s="353"/>
      <c r="F152" s="353">
        <v>1</v>
      </c>
      <c r="G152" s="355" t="s">
        <v>492</v>
      </c>
    </row>
    <row r="153" spans="1:7">
      <c r="A153">
        <v>152</v>
      </c>
      <c r="B153" s="350" t="s">
        <v>208</v>
      </c>
      <c r="C153" s="350">
        <v>100</v>
      </c>
      <c r="D153" s="350">
        <v>48</v>
      </c>
      <c r="E153" s="350"/>
      <c r="F153" s="350">
        <v>1</v>
      </c>
      <c r="G153" s="351" t="s">
        <v>492</v>
      </c>
    </row>
    <row r="154" spans="1:7">
      <c r="A154">
        <v>153</v>
      </c>
      <c r="B154" s="353" t="s">
        <v>209</v>
      </c>
      <c r="C154" s="353">
        <v>6</v>
      </c>
      <c r="D154" s="353">
        <v>48</v>
      </c>
      <c r="E154" s="353"/>
      <c r="F154" s="353">
        <v>1</v>
      </c>
      <c r="G154" s="355" t="s">
        <v>492</v>
      </c>
    </row>
    <row r="155" spans="1:7">
      <c r="A155">
        <v>154</v>
      </c>
      <c r="B155" s="350" t="s">
        <v>210</v>
      </c>
      <c r="C155" s="350">
        <v>12</v>
      </c>
      <c r="D155" s="350">
        <v>48</v>
      </c>
      <c r="E155" s="350"/>
      <c r="F155" s="350">
        <v>1</v>
      </c>
      <c r="G155" s="351" t="s">
        <v>492</v>
      </c>
    </row>
    <row r="156" spans="1:7">
      <c r="A156">
        <v>155</v>
      </c>
      <c r="B156" s="353" t="s">
        <v>211</v>
      </c>
      <c r="C156" s="353">
        <v>20</v>
      </c>
      <c r="D156" s="353">
        <v>48</v>
      </c>
      <c r="E156" s="353"/>
      <c r="F156" s="353">
        <v>1</v>
      </c>
      <c r="G156" s="355" t="s">
        <v>492</v>
      </c>
    </row>
    <row r="157" spans="1:7">
      <c r="A157">
        <v>156</v>
      </c>
      <c r="B157" s="350" t="s">
        <v>212</v>
      </c>
      <c r="C157" s="350">
        <v>40</v>
      </c>
      <c r="D157" s="350">
        <v>48</v>
      </c>
      <c r="E157" s="350"/>
      <c r="F157" s="350">
        <v>1</v>
      </c>
      <c r="G157" s="351" t="s">
        <v>492</v>
      </c>
    </row>
    <row r="158" spans="1:7">
      <c r="A158">
        <v>157</v>
      </c>
      <c r="B158" s="353" t="s">
        <v>213</v>
      </c>
      <c r="C158" s="353">
        <v>60</v>
      </c>
      <c r="D158" s="353">
        <v>48</v>
      </c>
      <c r="E158" s="353"/>
      <c r="F158" s="353">
        <v>1</v>
      </c>
      <c r="G158" s="355" t="s">
        <v>492</v>
      </c>
    </row>
    <row r="159" spans="1:7">
      <c r="A159">
        <v>158</v>
      </c>
      <c r="B159" s="350" t="s">
        <v>214</v>
      </c>
      <c r="C159" s="350">
        <v>80</v>
      </c>
      <c r="D159" s="350">
        <v>48</v>
      </c>
      <c r="E159" s="350"/>
      <c r="F159" s="350">
        <v>1</v>
      </c>
      <c r="G159" s="351" t="s">
        <v>492</v>
      </c>
    </row>
    <row r="160" spans="1:7">
      <c r="A160">
        <v>159</v>
      </c>
      <c r="B160" s="353" t="s">
        <v>215</v>
      </c>
      <c r="C160" s="353">
        <v>100</v>
      </c>
      <c r="D160" s="353">
        <v>48</v>
      </c>
      <c r="E160" s="353"/>
      <c r="F160" s="353">
        <v>1</v>
      </c>
      <c r="G160" s="355" t="s">
        <v>492</v>
      </c>
    </row>
    <row r="161" spans="1:7">
      <c r="A161">
        <v>160</v>
      </c>
      <c r="B161" s="350" t="s">
        <v>216</v>
      </c>
      <c r="C161" s="350">
        <v>6</v>
      </c>
      <c r="D161" s="350">
        <v>48</v>
      </c>
      <c r="E161" s="350"/>
      <c r="F161" s="350">
        <v>1</v>
      </c>
      <c r="G161" s="351" t="s">
        <v>492</v>
      </c>
    </row>
    <row r="162" spans="1:7">
      <c r="A162">
        <v>161</v>
      </c>
      <c r="B162" s="353" t="s">
        <v>217</v>
      </c>
      <c r="C162" s="353">
        <v>12</v>
      </c>
      <c r="D162" s="353">
        <v>48</v>
      </c>
      <c r="E162" s="353"/>
      <c r="F162" s="353">
        <v>1</v>
      </c>
      <c r="G162" s="355" t="s">
        <v>492</v>
      </c>
    </row>
    <row r="163" spans="1:7">
      <c r="A163">
        <v>162</v>
      </c>
      <c r="B163" s="350" t="s">
        <v>218</v>
      </c>
      <c r="C163" s="350">
        <v>20</v>
      </c>
      <c r="D163" s="350">
        <v>48</v>
      </c>
      <c r="E163" s="350"/>
      <c r="F163" s="350">
        <v>1</v>
      </c>
      <c r="G163" s="351" t="s">
        <v>492</v>
      </c>
    </row>
    <row r="164" spans="1:7">
      <c r="A164">
        <v>163</v>
      </c>
      <c r="B164" s="353" t="s">
        <v>219</v>
      </c>
      <c r="C164" s="353">
        <v>40</v>
      </c>
      <c r="D164" s="353">
        <v>48</v>
      </c>
      <c r="E164" s="353"/>
      <c r="F164" s="353">
        <v>1</v>
      </c>
      <c r="G164" s="355" t="s">
        <v>492</v>
      </c>
    </row>
    <row r="165" spans="1:7">
      <c r="A165">
        <v>164</v>
      </c>
      <c r="B165" s="350" t="s">
        <v>220</v>
      </c>
      <c r="C165" s="350">
        <v>60</v>
      </c>
      <c r="D165" s="350">
        <v>48</v>
      </c>
      <c r="E165" s="350"/>
      <c r="F165" s="350">
        <v>1</v>
      </c>
      <c r="G165" s="351" t="s">
        <v>492</v>
      </c>
    </row>
    <row r="166" spans="1:7">
      <c r="A166">
        <v>165</v>
      </c>
      <c r="B166" s="353" t="s">
        <v>221</v>
      </c>
      <c r="C166" s="353">
        <v>80</v>
      </c>
      <c r="D166" s="353">
        <v>48</v>
      </c>
      <c r="E166" s="353"/>
      <c r="F166" s="353">
        <v>1</v>
      </c>
      <c r="G166" s="355" t="s">
        <v>492</v>
      </c>
    </row>
    <row r="167" spans="1:7">
      <c r="A167">
        <v>166</v>
      </c>
      <c r="B167" s="350" t="s">
        <v>222</v>
      </c>
      <c r="C167" s="350">
        <v>100</v>
      </c>
      <c r="D167" s="350">
        <v>48</v>
      </c>
      <c r="E167" s="350"/>
      <c r="F167" s="350">
        <v>1</v>
      </c>
      <c r="G167" s="351" t="s">
        <v>492</v>
      </c>
    </row>
    <row r="168" spans="1:7">
      <c r="A168">
        <v>167</v>
      </c>
      <c r="B168" s="353" t="s">
        <v>223</v>
      </c>
      <c r="C168" s="353">
        <v>6</v>
      </c>
      <c r="D168" s="353">
        <v>48</v>
      </c>
      <c r="E168" s="353"/>
      <c r="F168" s="353">
        <v>1</v>
      </c>
      <c r="G168" s="355" t="s">
        <v>492</v>
      </c>
    </row>
    <row r="169" spans="1:7">
      <c r="A169">
        <v>168</v>
      </c>
      <c r="B169" s="350" t="s">
        <v>224</v>
      </c>
      <c r="C169" s="350">
        <v>12</v>
      </c>
      <c r="D169" s="350">
        <v>48</v>
      </c>
      <c r="E169" s="350"/>
      <c r="F169" s="350">
        <v>1</v>
      </c>
      <c r="G169" s="351" t="s">
        <v>492</v>
      </c>
    </row>
    <row r="170" spans="1:7">
      <c r="A170">
        <v>169</v>
      </c>
      <c r="B170" s="353" t="s">
        <v>225</v>
      </c>
      <c r="C170" s="353">
        <v>20</v>
      </c>
      <c r="D170" s="353">
        <v>48</v>
      </c>
      <c r="E170" s="353"/>
      <c r="F170" s="353">
        <v>1</v>
      </c>
      <c r="G170" s="355" t="s">
        <v>492</v>
      </c>
    </row>
    <row r="171" spans="1:7">
      <c r="A171">
        <v>170</v>
      </c>
      <c r="B171" s="350" t="s">
        <v>226</v>
      </c>
      <c r="C171" s="350">
        <v>40</v>
      </c>
      <c r="D171" s="350">
        <v>48</v>
      </c>
      <c r="E171" s="350"/>
      <c r="F171" s="350">
        <v>1</v>
      </c>
      <c r="G171" s="351" t="s">
        <v>492</v>
      </c>
    </row>
    <row r="172" spans="1:7">
      <c r="A172">
        <v>171</v>
      </c>
      <c r="B172" s="353" t="s">
        <v>227</v>
      </c>
      <c r="C172" s="353">
        <v>60</v>
      </c>
      <c r="D172" s="353">
        <v>48</v>
      </c>
      <c r="E172" s="353"/>
      <c r="F172" s="353">
        <v>1</v>
      </c>
      <c r="G172" s="355" t="s">
        <v>492</v>
      </c>
    </row>
    <row r="173" spans="1:7">
      <c r="A173">
        <v>172</v>
      </c>
      <c r="B173" s="350" t="s">
        <v>228</v>
      </c>
      <c r="C173" s="350">
        <v>80</v>
      </c>
      <c r="D173" s="350">
        <v>48</v>
      </c>
      <c r="E173" s="350"/>
      <c r="F173" s="350">
        <v>1</v>
      </c>
      <c r="G173" s="351" t="s">
        <v>492</v>
      </c>
    </row>
    <row r="174" spans="1:7">
      <c r="A174">
        <v>173</v>
      </c>
      <c r="B174" s="353" t="s">
        <v>229</v>
      </c>
      <c r="C174" s="353">
        <v>100</v>
      </c>
      <c r="D174" s="353">
        <v>48</v>
      </c>
      <c r="E174" s="353"/>
      <c r="F174" s="353">
        <v>1</v>
      </c>
      <c r="G174" s="355" t="s">
        <v>492</v>
      </c>
    </row>
    <row r="175" spans="1:7">
      <c r="A175">
        <v>174</v>
      </c>
      <c r="B175" s="350" t="s">
        <v>230</v>
      </c>
      <c r="C175" s="350">
        <v>100</v>
      </c>
      <c r="D175" s="350">
        <v>48</v>
      </c>
      <c r="E175" s="350"/>
      <c r="F175" s="350">
        <v>1</v>
      </c>
      <c r="G175" s="351" t="s">
        <v>492</v>
      </c>
    </row>
    <row r="176" spans="1:7">
      <c r="A176">
        <v>175</v>
      </c>
      <c r="B176" s="353" t="s">
        <v>728</v>
      </c>
      <c r="C176" s="353">
        <v>16</v>
      </c>
      <c r="D176" s="353">
        <v>48</v>
      </c>
      <c r="E176" s="353" t="s">
        <v>58</v>
      </c>
      <c r="F176" s="353" t="s">
        <v>757</v>
      </c>
      <c r="G176" s="355" t="s">
        <v>760</v>
      </c>
    </row>
    <row r="177" spans="1:7">
      <c r="A177">
        <v>176</v>
      </c>
      <c r="B177" s="350" t="s">
        <v>729</v>
      </c>
      <c r="C177" s="350">
        <v>32</v>
      </c>
      <c r="D177" s="350">
        <v>48</v>
      </c>
      <c r="E177" s="350" t="s">
        <v>730</v>
      </c>
      <c r="F177" s="350" t="s">
        <v>757</v>
      </c>
      <c r="G177" s="351" t="s">
        <v>760</v>
      </c>
    </row>
    <row r="178" spans="1:7">
      <c r="A178">
        <v>177</v>
      </c>
      <c r="B178" s="353" t="s">
        <v>731</v>
      </c>
      <c r="C178" s="353">
        <v>48</v>
      </c>
      <c r="D178" s="353">
        <v>48</v>
      </c>
      <c r="E178" s="353" t="s">
        <v>732</v>
      </c>
      <c r="F178" s="353" t="s">
        <v>757</v>
      </c>
      <c r="G178" s="355" t="s">
        <v>760</v>
      </c>
    </row>
    <row r="179" spans="1:7">
      <c r="A179">
        <v>178</v>
      </c>
      <c r="B179" s="350" t="s">
        <v>733</v>
      </c>
      <c r="C179" s="350">
        <v>64</v>
      </c>
      <c r="D179" s="350">
        <v>48</v>
      </c>
      <c r="E179" s="350" t="s">
        <v>602</v>
      </c>
      <c r="F179" s="350" t="s">
        <v>757</v>
      </c>
      <c r="G179" s="351" t="s">
        <v>760</v>
      </c>
    </row>
    <row r="180" spans="1:7">
      <c r="A180">
        <v>179</v>
      </c>
      <c r="B180" s="353" t="s">
        <v>734</v>
      </c>
      <c r="C180" s="353">
        <v>8</v>
      </c>
      <c r="D180" s="353">
        <v>96</v>
      </c>
      <c r="E180" s="353" t="s">
        <v>58</v>
      </c>
      <c r="F180" s="353" t="s">
        <v>757</v>
      </c>
      <c r="G180" s="355" t="s">
        <v>760</v>
      </c>
    </row>
    <row r="181" spans="1:7">
      <c r="A181">
        <v>180</v>
      </c>
      <c r="B181" s="350" t="s">
        <v>735</v>
      </c>
      <c r="C181" s="350">
        <v>16</v>
      </c>
      <c r="D181" s="350">
        <v>96</v>
      </c>
      <c r="E181" s="350" t="s">
        <v>730</v>
      </c>
      <c r="F181" s="350" t="s">
        <v>757</v>
      </c>
      <c r="G181" s="351" t="s">
        <v>760</v>
      </c>
    </row>
    <row r="182" spans="1:7">
      <c r="A182">
        <v>181</v>
      </c>
      <c r="B182" s="353" t="s">
        <v>736</v>
      </c>
      <c r="C182" s="353">
        <v>24</v>
      </c>
      <c r="D182" s="353">
        <v>96</v>
      </c>
      <c r="E182" s="353" t="s">
        <v>732</v>
      </c>
      <c r="F182" s="353" t="s">
        <v>757</v>
      </c>
      <c r="G182" s="355" t="s">
        <v>760</v>
      </c>
    </row>
    <row r="183" spans="1:7">
      <c r="A183">
        <v>182</v>
      </c>
      <c r="B183" s="350" t="s">
        <v>737</v>
      </c>
      <c r="C183" s="350">
        <v>32</v>
      </c>
      <c r="D183" s="350">
        <v>96</v>
      </c>
      <c r="E183" s="350" t="s">
        <v>602</v>
      </c>
      <c r="F183" s="350" t="s">
        <v>757</v>
      </c>
      <c r="G183" s="351" t="s">
        <v>760</v>
      </c>
    </row>
    <row r="184" spans="1:7">
      <c r="A184">
        <v>183</v>
      </c>
      <c r="B184" s="353" t="s">
        <v>738</v>
      </c>
      <c r="C184" s="353">
        <v>16</v>
      </c>
      <c r="D184" s="353">
        <v>48</v>
      </c>
      <c r="E184" s="353" t="s">
        <v>58</v>
      </c>
      <c r="F184" s="353" t="s">
        <v>757</v>
      </c>
      <c r="G184" s="355" t="s">
        <v>760</v>
      </c>
    </row>
    <row r="185" spans="1:7">
      <c r="A185">
        <v>184</v>
      </c>
      <c r="B185" s="350" t="s">
        <v>739</v>
      </c>
      <c r="C185" s="350">
        <v>32</v>
      </c>
      <c r="D185" s="350">
        <v>48</v>
      </c>
      <c r="E185" s="350" t="s">
        <v>730</v>
      </c>
      <c r="F185" s="350" t="s">
        <v>757</v>
      </c>
      <c r="G185" s="351" t="s">
        <v>760</v>
      </c>
    </row>
    <row r="186" spans="1:7">
      <c r="A186">
        <v>185</v>
      </c>
      <c r="B186" s="353" t="s">
        <v>740</v>
      </c>
      <c r="C186" s="353">
        <v>48</v>
      </c>
      <c r="D186" s="353">
        <v>48</v>
      </c>
      <c r="E186" s="353" t="s">
        <v>732</v>
      </c>
      <c r="F186" s="353" t="s">
        <v>757</v>
      </c>
      <c r="G186" s="355" t="s">
        <v>760</v>
      </c>
    </row>
    <row r="187" spans="1:7">
      <c r="A187">
        <v>186</v>
      </c>
      <c r="B187" s="350" t="s">
        <v>741</v>
      </c>
      <c r="C187" s="350">
        <v>64</v>
      </c>
      <c r="D187" s="350">
        <v>48</v>
      </c>
      <c r="E187" s="350" t="s">
        <v>602</v>
      </c>
      <c r="F187" s="350" t="s">
        <v>757</v>
      </c>
      <c r="G187" s="351" t="s">
        <v>760</v>
      </c>
    </row>
    <row r="188" spans="1:7">
      <c r="A188">
        <v>187</v>
      </c>
      <c r="B188" s="353" t="s">
        <v>742</v>
      </c>
      <c r="C188" s="353">
        <v>25</v>
      </c>
      <c r="D188" s="353">
        <v>48</v>
      </c>
      <c r="E188" s="353" t="s">
        <v>743</v>
      </c>
      <c r="F188" s="353" t="s">
        <v>757</v>
      </c>
      <c r="G188" s="355" t="s">
        <v>760</v>
      </c>
    </row>
    <row r="189" spans="1:7">
      <c r="A189">
        <v>188</v>
      </c>
      <c r="B189" s="350" t="s">
        <v>744</v>
      </c>
      <c r="C189" s="350">
        <v>50</v>
      </c>
      <c r="D189" s="350">
        <v>48</v>
      </c>
      <c r="E189" s="350" t="s">
        <v>745</v>
      </c>
      <c r="F189" s="350" t="s">
        <v>757</v>
      </c>
      <c r="G189" s="351" t="s">
        <v>760</v>
      </c>
    </row>
    <row r="190" spans="1:7">
      <c r="A190">
        <v>189</v>
      </c>
      <c r="B190" s="353" t="s">
        <v>746</v>
      </c>
      <c r="C190" s="353">
        <v>75</v>
      </c>
      <c r="D190" s="353">
        <v>48</v>
      </c>
      <c r="E190" s="353" t="s">
        <v>747</v>
      </c>
      <c r="F190" s="353" t="s">
        <v>757</v>
      </c>
      <c r="G190" s="355" t="s">
        <v>760</v>
      </c>
    </row>
    <row r="191" spans="1:7">
      <c r="A191">
        <v>190</v>
      </c>
      <c r="B191" s="350" t="s">
        <v>748</v>
      </c>
      <c r="C191" s="350">
        <v>100</v>
      </c>
      <c r="D191" s="350">
        <v>48</v>
      </c>
      <c r="E191" s="350" t="s">
        <v>749</v>
      </c>
      <c r="F191" s="350" t="s">
        <v>757</v>
      </c>
      <c r="G191" s="351" t="s">
        <v>760</v>
      </c>
    </row>
    <row r="192" spans="1:7">
      <c r="A192">
        <v>191</v>
      </c>
      <c r="B192" s="353" t="s">
        <v>750</v>
      </c>
      <c r="C192" s="353">
        <v>21</v>
      </c>
      <c r="D192" s="353">
        <v>48</v>
      </c>
      <c r="E192" s="353" t="s">
        <v>751</v>
      </c>
      <c r="F192" s="353" t="s">
        <v>757</v>
      </c>
      <c r="G192" s="355" t="s">
        <v>760</v>
      </c>
    </row>
    <row r="193" spans="1:7">
      <c r="A193">
        <v>192</v>
      </c>
      <c r="B193" s="350" t="s">
        <v>752</v>
      </c>
      <c r="C193" s="350">
        <v>42</v>
      </c>
      <c r="D193" s="350">
        <v>48</v>
      </c>
      <c r="E193" s="350" t="s">
        <v>753</v>
      </c>
      <c r="F193" s="350" t="s">
        <v>757</v>
      </c>
      <c r="G193" s="351" t="s">
        <v>760</v>
      </c>
    </row>
    <row r="194" spans="1:7">
      <c r="A194">
        <v>193</v>
      </c>
      <c r="B194" s="353" t="s">
        <v>754</v>
      </c>
      <c r="C194" s="353">
        <v>63</v>
      </c>
      <c r="D194" s="353">
        <v>48</v>
      </c>
      <c r="E194" s="353" t="s">
        <v>602</v>
      </c>
      <c r="F194" s="353" t="s">
        <v>757</v>
      </c>
      <c r="G194" s="355" t="s">
        <v>760</v>
      </c>
    </row>
    <row r="195" spans="1:7">
      <c r="A195">
        <v>194</v>
      </c>
      <c r="B195" s="350" t="s">
        <v>755</v>
      </c>
      <c r="C195" s="350">
        <v>84</v>
      </c>
      <c r="D195" s="350">
        <v>48</v>
      </c>
      <c r="E195" s="350" t="s">
        <v>600</v>
      </c>
      <c r="F195" s="350" t="s">
        <v>757</v>
      </c>
      <c r="G195" s="351" t="s">
        <v>760</v>
      </c>
    </row>
    <row r="196" spans="1:7">
      <c r="A196">
        <v>195</v>
      </c>
      <c r="B196" s="353" t="s">
        <v>756</v>
      </c>
      <c r="C196" s="353">
        <v>105</v>
      </c>
      <c r="D196" s="353">
        <v>48</v>
      </c>
      <c r="E196" s="353" t="s">
        <v>601</v>
      </c>
      <c r="F196" s="353" t="s">
        <v>757</v>
      </c>
      <c r="G196" s="355" t="s">
        <v>760</v>
      </c>
    </row>
    <row r="197" spans="1:7" ht="19" customHeight="1">
      <c r="A197">
        <v>196</v>
      </c>
      <c r="B197" t="s">
        <v>361</v>
      </c>
      <c r="C197">
        <v>16</v>
      </c>
      <c r="D197">
        <v>48</v>
      </c>
      <c r="G197" s="37" t="s">
        <v>384</v>
      </c>
    </row>
    <row r="198" spans="1:7">
      <c r="A198">
        <v>197</v>
      </c>
      <c r="B198" t="s">
        <v>362</v>
      </c>
      <c r="C198">
        <v>32</v>
      </c>
      <c r="D198">
        <v>48</v>
      </c>
      <c r="G198" s="37" t="s">
        <v>384</v>
      </c>
    </row>
    <row r="199" spans="1:7">
      <c r="A199">
        <v>198</v>
      </c>
      <c r="B199" t="s">
        <v>363</v>
      </c>
      <c r="C199">
        <v>48</v>
      </c>
      <c r="D199">
        <v>48</v>
      </c>
      <c r="G199" s="37" t="s">
        <v>384</v>
      </c>
    </row>
    <row r="200" spans="1:7">
      <c r="A200">
        <v>199</v>
      </c>
      <c r="B200" t="s">
        <v>364</v>
      </c>
      <c r="C200">
        <v>64</v>
      </c>
      <c r="D200">
        <v>48</v>
      </c>
      <c r="G200" s="37" t="s">
        <v>384</v>
      </c>
    </row>
    <row r="201" spans="1:7">
      <c r="A201">
        <v>200</v>
      </c>
      <c r="B201" t="s">
        <v>365</v>
      </c>
      <c r="C201">
        <v>20</v>
      </c>
      <c r="D201">
        <v>48</v>
      </c>
      <c r="G201" s="37" t="s">
        <v>384</v>
      </c>
    </row>
    <row r="202" spans="1:7">
      <c r="A202">
        <v>201</v>
      </c>
      <c r="B202" t="s">
        <v>366</v>
      </c>
      <c r="C202">
        <v>40</v>
      </c>
      <c r="D202">
        <v>48</v>
      </c>
      <c r="G202" s="37" t="s">
        <v>384</v>
      </c>
    </row>
    <row r="203" spans="1:7">
      <c r="A203">
        <v>202</v>
      </c>
      <c r="B203" t="s">
        <v>367</v>
      </c>
      <c r="C203">
        <v>60</v>
      </c>
      <c r="D203">
        <v>48</v>
      </c>
      <c r="G203" s="37" t="s">
        <v>384</v>
      </c>
    </row>
    <row r="204" spans="1:7">
      <c r="A204">
        <v>203</v>
      </c>
      <c r="B204" t="s">
        <v>368</v>
      </c>
      <c r="C204">
        <v>80</v>
      </c>
      <c r="D204">
        <v>48</v>
      </c>
      <c r="G204" s="37" t="s">
        <v>384</v>
      </c>
    </row>
    <row r="205" spans="1:7">
      <c r="A205">
        <v>204</v>
      </c>
      <c r="B205" t="s">
        <v>369</v>
      </c>
      <c r="C205">
        <v>25</v>
      </c>
      <c r="D205">
        <v>48</v>
      </c>
      <c r="G205" s="37" t="s">
        <v>384</v>
      </c>
    </row>
    <row r="206" spans="1:7">
      <c r="A206">
        <v>205</v>
      </c>
      <c r="B206" t="s">
        <v>370</v>
      </c>
      <c r="C206">
        <v>50</v>
      </c>
      <c r="D206">
        <v>48</v>
      </c>
      <c r="G206" s="37" t="s">
        <v>384</v>
      </c>
    </row>
    <row r="207" spans="1:7">
      <c r="A207">
        <v>206</v>
      </c>
      <c r="B207" t="s">
        <v>371</v>
      </c>
      <c r="C207">
        <v>75</v>
      </c>
      <c r="D207">
        <v>48</v>
      </c>
      <c r="G207" s="37" t="s">
        <v>384</v>
      </c>
    </row>
    <row r="208" spans="1:7">
      <c r="A208">
        <v>207</v>
      </c>
      <c r="B208" t="s">
        <v>372</v>
      </c>
      <c r="C208">
        <v>100</v>
      </c>
      <c r="D208">
        <v>48</v>
      </c>
      <c r="G208" s="37" t="s">
        <v>384</v>
      </c>
    </row>
    <row r="209" spans="1:7">
      <c r="A209">
        <v>208</v>
      </c>
      <c r="B209" t="s">
        <v>373</v>
      </c>
      <c r="C209">
        <v>12.5</v>
      </c>
      <c r="D209">
        <v>96</v>
      </c>
      <c r="G209" s="37" t="s">
        <v>384</v>
      </c>
    </row>
    <row r="210" spans="1:7">
      <c r="A210">
        <v>209</v>
      </c>
      <c r="B210" t="s">
        <v>374</v>
      </c>
      <c r="C210">
        <v>25</v>
      </c>
      <c r="D210">
        <v>96</v>
      </c>
      <c r="G210" s="37" t="s">
        <v>384</v>
      </c>
    </row>
    <row r="211" spans="1:7">
      <c r="A211">
        <v>210</v>
      </c>
      <c r="B211" t="s">
        <v>375</v>
      </c>
      <c r="C211">
        <v>37.5</v>
      </c>
      <c r="D211">
        <v>96</v>
      </c>
      <c r="G211" s="37" t="s">
        <v>384</v>
      </c>
    </row>
    <row r="212" spans="1:7">
      <c r="A212">
        <v>211</v>
      </c>
      <c r="B212" t="s">
        <v>376</v>
      </c>
      <c r="C212">
        <v>50</v>
      </c>
      <c r="D212">
        <v>96</v>
      </c>
      <c r="G212" s="37" t="s">
        <v>384</v>
      </c>
    </row>
    <row r="213" spans="1:7">
      <c r="A213">
        <v>212</v>
      </c>
      <c r="B213" t="s">
        <v>377</v>
      </c>
      <c r="C213">
        <v>50</v>
      </c>
      <c r="D213">
        <v>48</v>
      </c>
      <c r="G213" s="37" t="s">
        <v>384</v>
      </c>
    </row>
    <row r="214" spans="1:7">
      <c r="A214">
        <v>213</v>
      </c>
      <c r="B214" t="s">
        <v>378</v>
      </c>
      <c r="C214">
        <v>75</v>
      </c>
      <c r="D214">
        <v>48</v>
      </c>
      <c r="G214" s="37" t="s">
        <v>384</v>
      </c>
    </row>
    <row r="215" spans="1:7">
      <c r="A215">
        <v>214</v>
      </c>
      <c r="B215" t="s">
        <v>379</v>
      </c>
      <c r="C215">
        <v>100</v>
      </c>
      <c r="D215">
        <v>48</v>
      </c>
      <c r="G215" s="37" t="s">
        <v>384</v>
      </c>
    </row>
    <row r="216" spans="1:7">
      <c r="A216">
        <v>215</v>
      </c>
      <c r="B216" t="s">
        <v>380</v>
      </c>
      <c r="C216">
        <v>12.5</v>
      </c>
      <c r="D216">
        <v>96</v>
      </c>
      <c r="G216" s="37" t="s">
        <v>384</v>
      </c>
    </row>
    <row r="217" spans="1:7">
      <c r="A217">
        <v>216</v>
      </c>
      <c r="B217" t="s">
        <v>381</v>
      </c>
      <c r="C217">
        <v>25</v>
      </c>
      <c r="D217">
        <v>96</v>
      </c>
      <c r="G217" s="37" t="s">
        <v>384</v>
      </c>
    </row>
    <row r="218" spans="1:7">
      <c r="A218">
        <v>217</v>
      </c>
      <c r="B218" t="s">
        <v>382</v>
      </c>
      <c r="C218">
        <v>37.5</v>
      </c>
      <c r="D218">
        <v>96</v>
      </c>
      <c r="G218" s="37" t="s">
        <v>384</v>
      </c>
    </row>
    <row r="219" spans="1:7">
      <c r="A219">
        <v>218</v>
      </c>
      <c r="B219" t="s">
        <v>383</v>
      </c>
      <c r="C219">
        <v>50</v>
      </c>
      <c r="D219">
        <v>96</v>
      </c>
      <c r="G219" s="37" t="s">
        <v>384</v>
      </c>
    </row>
    <row r="220" spans="1:7">
      <c r="A220">
        <v>219</v>
      </c>
      <c r="B220" t="s">
        <v>1173</v>
      </c>
      <c r="C220">
        <v>12.5</v>
      </c>
      <c r="D220">
        <v>48</v>
      </c>
      <c r="G220" s="37" t="s">
        <v>360</v>
      </c>
    </row>
    <row r="221" spans="1:7">
      <c r="A221">
        <v>220</v>
      </c>
      <c r="B221" t="s">
        <v>1174</v>
      </c>
      <c r="C221">
        <v>25</v>
      </c>
      <c r="D221">
        <v>48</v>
      </c>
      <c r="G221" s="37" t="s">
        <v>360</v>
      </c>
    </row>
    <row r="222" spans="1:7">
      <c r="A222">
        <v>221</v>
      </c>
      <c r="B222" t="s">
        <v>1175</v>
      </c>
      <c r="C222">
        <v>37.5</v>
      </c>
      <c r="D222">
        <v>48</v>
      </c>
      <c r="G222" s="37" t="s">
        <v>360</v>
      </c>
    </row>
    <row r="223" spans="1:7">
      <c r="A223">
        <v>222</v>
      </c>
      <c r="B223" t="s">
        <v>1176</v>
      </c>
      <c r="C223">
        <v>50</v>
      </c>
      <c r="D223">
        <v>48</v>
      </c>
      <c r="G223" s="37" t="s">
        <v>360</v>
      </c>
    </row>
    <row r="224" spans="1:7">
      <c r="A224">
        <v>223</v>
      </c>
      <c r="B224" t="s">
        <v>1177</v>
      </c>
      <c r="C224">
        <v>16</v>
      </c>
      <c r="D224">
        <v>48</v>
      </c>
      <c r="G224" s="37" t="s">
        <v>360</v>
      </c>
    </row>
    <row r="225" spans="1:7">
      <c r="A225">
        <v>224</v>
      </c>
      <c r="B225" s="350" t="s">
        <v>231</v>
      </c>
      <c r="C225" s="350"/>
      <c r="D225" s="350"/>
      <c r="E225" s="350"/>
      <c r="F225" s="350"/>
      <c r="G225" s="603"/>
    </row>
    <row r="226" spans="1:7">
      <c r="A226">
        <v>225</v>
      </c>
      <c r="B226" s="353" t="s">
        <v>232</v>
      </c>
      <c r="C226" s="353"/>
      <c r="D226" s="353"/>
      <c r="E226" s="353"/>
      <c r="F226" s="353"/>
      <c r="G226" s="604"/>
    </row>
    <row r="227" spans="1:7">
      <c r="A227">
        <v>226</v>
      </c>
      <c r="B227" s="350" t="s">
        <v>233</v>
      </c>
      <c r="C227" s="350"/>
      <c r="D227" s="350"/>
      <c r="E227" s="350"/>
      <c r="F227" s="350"/>
      <c r="G227" s="603"/>
    </row>
    <row r="228" spans="1:7">
      <c r="A228">
        <v>227</v>
      </c>
      <c r="B228" s="353" t="s">
        <v>234</v>
      </c>
      <c r="C228" s="353"/>
      <c r="D228" s="353"/>
      <c r="E228" s="353"/>
      <c r="F228" s="353"/>
      <c r="G228" s="604"/>
    </row>
    <row r="229" spans="1:7">
      <c r="A229">
        <v>228</v>
      </c>
      <c r="B229" s="350" t="s">
        <v>235</v>
      </c>
      <c r="C229" s="350"/>
      <c r="D229" s="350"/>
      <c r="E229" s="350"/>
      <c r="F229" s="350"/>
      <c r="G229" s="603"/>
    </row>
    <row r="230" spans="1:7">
      <c r="A230">
        <v>229</v>
      </c>
      <c r="B230" s="353" t="s">
        <v>236</v>
      </c>
      <c r="C230" s="353"/>
      <c r="D230" s="353"/>
      <c r="E230" s="353"/>
      <c r="F230" s="353"/>
      <c r="G230" s="604"/>
    </row>
    <row r="231" spans="1:7">
      <c r="A231">
        <v>230</v>
      </c>
      <c r="B231" s="350" t="s">
        <v>237</v>
      </c>
      <c r="C231" s="350"/>
      <c r="D231" s="350"/>
      <c r="E231" s="350"/>
      <c r="F231" s="350"/>
      <c r="G231" s="603"/>
    </row>
    <row r="232" spans="1:7">
      <c r="A232">
        <v>231</v>
      </c>
      <c r="B232" s="353" t="s">
        <v>238</v>
      </c>
      <c r="C232" s="353"/>
      <c r="D232" s="353"/>
      <c r="E232" s="353"/>
      <c r="F232" s="353"/>
      <c r="G232" s="604"/>
    </row>
    <row r="233" spans="1:7">
      <c r="A233">
        <v>232</v>
      </c>
      <c r="B233" s="350" t="s">
        <v>239</v>
      </c>
      <c r="C233" s="350"/>
      <c r="D233" s="350"/>
      <c r="E233" s="350"/>
      <c r="F233" s="350"/>
      <c r="G233" s="603"/>
    </row>
    <row r="234" spans="1:7">
      <c r="A234">
        <v>233</v>
      </c>
      <c r="B234" s="353" t="s">
        <v>240</v>
      </c>
      <c r="C234" s="353"/>
      <c r="D234" s="353"/>
      <c r="E234" s="353"/>
      <c r="F234" s="353"/>
      <c r="G234" s="604"/>
    </row>
    <row r="235" spans="1:7">
      <c r="A235">
        <v>234</v>
      </c>
      <c r="B235" s="350" t="s">
        <v>241</v>
      </c>
      <c r="C235" s="350"/>
      <c r="D235" s="350"/>
      <c r="E235" s="350"/>
      <c r="F235" s="350"/>
      <c r="G235" s="603"/>
    </row>
    <row r="236" spans="1:7">
      <c r="A236">
        <v>235</v>
      </c>
      <c r="B236" s="353" t="s">
        <v>242</v>
      </c>
      <c r="C236" s="353"/>
      <c r="D236" s="353"/>
      <c r="E236" s="353"/>
      <c r="F236" s="353"/>
      <c r="G236" s="604"/>
    </row>
    <row r="237" spans="1:7">
      <c r="A237">
        <v>236</v>
      </c>
      <c r="B237" s="350" t="s">
        <v>243</v>
      </c>
      <c r="C237" s="350"/>
      <c r="D237" s="350"/>
      <c r="E237" s="350"/>
      <c r="F237" s="350"/>
      <c r="G237" s="603"/>
    </row>
    <row r="238" spans="1:7">
      <c r="A238">
        <v>237</v>
      </c>
      <c r="B238" s="353" t="s">
        <v>244</v>
      </c>
      <c r="C238" s="353"/>
      <c r="D238" s="353"/>
      <c r="E238" s="353"/>
      <c r="F238" s="353"/>
      <c r="G238" s="604"/>
    </row>
    <row r="239" spans="1:7">
      <c r="A239">
        <v>238</v>
      </c>
      <c r="B239" s="350" t="s">
        <v>245</v>
      </c>
      <c r="C239" s="350"/>
      <c r="D239" s="350"/>
      <c r="E239" s="350"/>
      <c r="F239" s="350"/>
      <c r="G239" s="603"/>
    </row>
    <row r="240" spans="1:7">
      <c r="A240">
        <v>239</v>
      </c>
      <c r="B240" s="353" t="s">
        <v>246</v>
      </c>
      <c r="C240" s="353"/>
      <c r="D240" s="353"/>
      <c r="E240" s="353"/>
      <c r="F240" s="353"/>
      <c r="G240" s="604"/>
    </row>
    <row r="241" spans="1:7">
      <c r="A241">
        <v>240</v>
      </c>
      <c r="B241" s="350" t="s">
        <v>247</v>
      </c>
      <c r="C241" s="350"/>
      <c r="D241" s="350"/>
      <c r="E241" s="350"/>
      <c r="F241" s="350"/>
      <c r="G241" s="603"/>
    </row>
    <row r="242" spans="1:7">
      <c r="A242">
        <v>241</v>
      </c>
      <c r="B242" s="353" t="s">
        <v>248</v>
      </c>
      <c r="C242" s="353"/>
      <c r="D242" s="353"/>
      <c r="E242" s="353"/>
      <c r="F242" s="353"/>
      <c r="G242" s="604"/>
    </row>
    <row r="243" spans="1:7">
      <c r="A243">
        <v>242</v>
      </c>
      <c r="B243" s="350" t="s">
        <v>249</v>
      </c>
      <c r="C243" s="350"/>
      <c r="D243" s="350"/>
      <c r="E243" s="350"/>
      <c r="F243" s="350"/>
      <c r="G243" s="603"/>
    </row>
    <row r="244" spans="1:7">
      <c r="A244">
        <v>243</v>
      </c>
      <c r="B244" s="353" t="s">
        <v>250</v>
      </c>
      <c r="C244" s="353"/>
      <c r="D244" s="353"/>
      <c r="E244" s="353"/>
      <c r="F244" s="353"/>
      <c r="G244" s="604"/>
    </row>
    <row r="245" spans="1:7">
      <c r="A245">
        <v>244</v>
      </c>
      <c r="B245" s="350" t="s">
        <v>251</v>
      </c>
      <c r="C245" s="350"/>
      <c r="D245" s="350"/>
      <c r="E245" s="350"/>
      <c r="F245" s="350"/>
      <c r="G245" s="603"/>
    </row>
    <row r="246" spans="1:7">
      <c r="A246">
        <v>245</v>
      </c>
      <c r="B246" s="353" t="s">
        <v>252</v>
      </c>
      <c r="C246" s="353"/>
      <c r="D246" s="353"/>
      <c r="E246" s="353"/>
      <c r="F246" s="353"/>
      <c r="G246" s="604"/>
    </row>
    <row r="247" spans="1:7">
      <c r="A247">
        <v>246</v>
      </c>
      <c r="B247" s="350" t="s">
        <v>253</v>
      </c>
      <c r="C247" s="350"/>
      <c r="D247" s="350"/>
      <c r="E247" s="350"/>
      <c r="F247" s="350"/>
      <c r="G247" s="603"/>
    </row>
    <row r="248" spans="1:7">
      <c r="A248">
        <v>247</v>
      </c>
      <c r="B248" s="353" t="s">
        <v>254</v>
      </c>
      <c r="C248" s="353"/>
      <c r="D248" s="353"/>
      <c r="E248" s="353"/>
      <c r="F248" s="353"/>
      <c r="G248" s="604"/>
    </row>
    <row r="249" spans="1:7">
      <c r="A249">
        <v>248</v>
      </c>
      <c r="B249" s="350" t="s">
        <v>255</v>
      </c>
      <c r="C249" s="350"/>
      <c r="D249" s="350"/>
      <c r="E249" s="350"/>
      <c r="F249" s="350"/>
      <c r="G249" s="603"/>
    </row>
    <row r="250" spans="1:7">
      <c r="A250">
        <v>249</v>
      </c>
      <c r="B250" s="353" t="s">
        <v>256</v>
      </c>
      <c r="C250" s="353"/>
      <c r="D250" s="353"/>
      <c r="E250" s="353"/>
      <c r="F250" s="353"/>
      <c r="G250" s="604"/>
    </row>
    <row r="251" spans="1:7">
      <c r="A251">
        <v>250</v>
      </c>
      <c r="B251" s="350" t="s">
        <v>257</v>
      </c>
      <c r="C251" s="350"/>
      <c r="D251" s="350"/>
      <c r="E251" s="350"/>
      <c r="F251" s="350"/>
      <c r="G251" s="603"/>
    </row>
    <row r="252" spans="1:7">
      <c r="A252">
        <v>251</v>
      </c>
      <c r="B252" s="353" t="s">
        <v>258</v>
      </c>
      <c r="C252" s="353"/>
      <c r="D252" s="353"/>
      <c r="E252" s="353"/>
      <c r="F252" s="353"/>
      <c r="G252" s="604"/>
    </row>
    <row r="253" spans="1:7">
      <c r="A253">
        <v>252</v>
      </c>
      <c r="B253" s="350" t="s">
        <v>259</v>
      </c>
      <c r="C253" s="350"/>
      <c r="D253" s="350"/>
      <c r="E253" s="350"/>
      <c r="F253" s="350"/>
      <c r="G253" s="603"/>
    </row>
    <row r="254" spans="1:7">
      <c r="A254">
        <v>253</v>
      </c>
      <c r="B254" s="353" t="s">
        <v>260</v>
      </c>
      <c r="C254" s="353"/>
      <c r="D254" s="353"/>
      <c r="E254" s="353"/>
      <c r="F254" s="353"/>
      <c r="G254" s="604"/>
    </row>
    <row r="255" spans="1:7">
      <c r="A255">
        <v>254</v>
      </c>
      <c r="B255" s="350" t="s">
        <v>261</v>
      </c>
      <c r="C255" s="350"/>
      <c r="D255" s="350"/>
      <c r="E255" s="350"/>
      <c r="F255" s="350"/>
      <c r="G255" s="603"/>
    </row>
    <row r="256" spans="1:7">
      <c r="A256">
        <v>255</v>
      </c>
      <c r="B256" s="353" t="s">
        <v>262</v>
      </c>
      <c r="C256" s="353"/>
      <c r="D256" s="353"/>
      <c r="E256" s="353"/>
      <c r="F256" s="353"/>
      <c r="G256" s="604"/>
    </row>
    <row r="257" spans="1:7">
      <c r="A257">
        <v>256</v>
      </c>
      <c r="B257" s="350" t="s">
        <v>263</v>
      </c>
      <c r="C257" s="350"/>
      <c r="D257" s="350"/>
      <c r="E257" s="350"/>
      <c r="F257" s="350"/>
      <c r="G257" s="603"/>
    </row>
    <row r="258" spans="1:7">
      <c r="A258">
        <v>257</v>
      </c>
      <c r="B258" s="353" t="s">
        <v>264</v>
      </c>
      <c r="C258" s="353"/>
      <c r="D258" s="353"/>
      <c r="E258" s="353"/>
      <c r="F258" s="353"/>
      <c r="G258" s="604"/>
    </row>
    <row r="259" spans="1:7">
      <c r="A259">
        <v>258</v>
      </c>
      <c r="B259" s="350" t="s">
        <v>265</v>
      </c>
      <c r="C259" s="350"/>
      <c r="D259" s="350"/>
      <c r="E259" s="350"/>
      <c r="F259" s="350"/>
      <c r="G259" s="603"/>
    </row>
    <row r="260" spans="1:7">
      <c r="A260">
        <v>259</v>
      </c>
      <c r="B260" s="353" t="s">
        <v>266</v>
      </c>
      <c r="C260" s="353"/>
      <c r="D260" s="353"/>
      <c r="E260" s="353"/>
      <c r="F260" s="353"/>
      <c r="G260" s="604"/>
    </row>
    <row r="261" spans="1:7">
      <c r="A261">
        <v>260</v>
      </c>
      <c r="B261" s="350" t="s">
        <v>267</v>
      </c>
      <c r="C261" s="350"/>
      <c r="D261" s="350"/>
      <c r="E261" s="350"/>
      <c r="F261" s="350"/>
      <c r="G261" s="603"/>
    </row>
    <row r="262" spans="1:7">
      <c r="A262">
        <v>261</v>
      </c>
      <c r="B262" s="353" t="s">
        <v>268</v>
      </c>
      <c r="C262" s="353"/>
      <c r="D262" s="353"/>
      <c r="E262" s="353"/>
      <c r="F262" s="353"/>
      <c r="G262" s="604"/>
    </row>
    <row r="263" spans="1:7">
      <c r="A263">
        <v>262</v>
      </c>
      <c r="B263" s="350" t="s">
        <v>269</v>
      </c>
      <c r="C263" s="350"/>
      <c r="D263" s="350"/>
      <c r="E263" s="350"/>
      <c r="F263" s="350"/>
      <c r="G263" s="603"/>
    </row>
    <row r="264" spans="1:7">
      <c r="A264">
        <v>263</v>
      </c>
      <c r="B264" s="353" t="s">
        <v>270</v>
      </c>
      <c r="C264" s="353"/>
      <c r="D264" s="353"/>
      <c r="E264" s="353"/>
      <c r="F264" s="353"/>
      <c r="G264" s="604"/>
    </row>
    <row r="265" spans="1:7">
      <c r="A265">
        <v>264</v>
      </c>
      <c r="B265" s="350" t="s">
        <v>271</v>
      </c>
      <c r="C265" s="350"/>
      <c r="D265" s="350"/>
      <c r="E265" s="350"/>
      <c r="F265" s="350"/>
      <c r="G265" s="603"/>
    </row>
    <row r="266" spans="1:7">
      <c r="A266">
        <v>265</v>
      </c>
      <c r="B266" s="353" t="s">
        <v>272</v>
      </c>
      <c r="C266" s="353"/>
      <c r="D266" s="353"/>
      <c r="E266" s="353"/>
      <c r="F266" s="353"/>
      <c r="G266" s="604"/>
    </row>
    <row r="267" spans="1:7">
      <c r="A267">
        <v>266</v>
      </c>
      <c r="B267" s="350" t="s">
        <v>273</v>
      </c>
      <c r="C267" s="350"/>
      <c r="D267" s="350"/>
      <c r="E267" s="350"/>
      <c r="F267" s="350"/>
      <c r="G267" s="603"/>
    </row>
    <row r="268" spans="1:7">
      <c r="A268">
        <v>267</v>
      </c>
      <c r="B268" s="353" t="s">
        <v>274</v>
      </c>
      <c r="C268" s="353"/>
      <c r="D268" s="353"/>
      <c r="E268" s="353"/>
      <c r="F268" s="353"/>
      <c r="G268" s="604"/>
    </row>
    <row r="269" spans="1:7">
      <c r="A269">
        <v>268</v>
      </c>
      <c r="B269" s="350" t="s">
        <v>275</v>
      </c>
      <c r="C269" s="350"/>
      <c r="D269" s="350"/>
      <c r="E269" s="350"/>
      <c r="F269" s="350"/>
      <c r="G269" s="603"/>
    </row>
    <row r="270" spans="1:7">
      <c r="A270">
        <v>269</v>
      </c>
      <c r="B270" s="353" t="s">
        <v>276</v>
      </c>
      <c r="C270" s="353"/>
      <c r="D270" s="353"/>
      <c r="E270" s="353"/>
      <c r="F270" s="353"/>
      <c r="G270" s="604"/>
    </row>
    <row r="271" spans="1:7">
      <c r="A271">
        <v>270</v>
      </c>
      <c r="B271" s="350" t="s">
        <v>277</v>
      </c>
      <c r="C271" s="350"/>
      <c r="D271" s="350"/>
      <c r="E271" s="350"/>
      <c r="F271" s="350"/>
      <c r="G271" s="603"/>
    </row>
    <row r="272" spans="1:7">
      <c r="A272">
        <v>271</v>
      </c>
      <c r="B272" s="353" t="s">
        <v>278</v>
      </c>
      <c r="C272" s="353"/>
      <c r="D272" s="353"/>
      <c r="E272" s="353"/>
      <c r="F272" s="353"/>
      <c r="G272" s="604"/>
    </row>
    <row r="273" spans="1:7">
      <c r="A273">
        <v>272</v>
      </c>
      <c r="B273" s="350" t="s">
        <v>279</v>
      </c>
      <c r="C273" s="350"/>
      <c r="D273" s="350"/>
      <c r="E273" s="350"/>
      <c r="F273" s="350"/>
      <c r="G273" s="603"/>
    </row>
    <row r="274" spans="1:7">
      <c r="A274">
        <v>273</v>
      </c>
      <c r="B274" s="353" t="s">
        <v>280</v>
      </c>
      <c r="C274" s="353"/>
      <c r="D274" s="353"/>
      <c r="E274" s="353"/>
      <c r="F274" s="353"/>
      <c r="G274" s="604"/>
    </row>
    <row r="275" spans="1:7">
      <c r="A275">
        <v>274</v>
      </c>
      <c r="B275" s="350" t="s">
        <v>281</v>
      </c>
      <c r="C275" s="350"/>
      <c r="D275" s="350"/>
      <c r="E275" s="350"/>
      <c r="F275" s="350"/>
      <c r="G275" s="603"/>
    </row>
    <row r="276" spans="1:7">
      <c r="A276">
        <v>275</v>
      </c>
      <c r="B276" s="353" t="s">
        <v>282</v>
      </c>
      <c r="C276" s="353"/>
      <c r="D276" s="353"/>
      <c r="E276" s="353"/>
      <c r="F276" s="353"/>
      <c r="G276" s="604"/>
    </row>
    <row r="277" spans="1:7">
      <c r="A277">
        <v>276</v>
      </c>
      <c r="B277" s="350" t="s">
        <v>283</v>
      </c>
      <c r="C277" s="350"/>
      <c r="D277" s="350"/>
      <c r="E277" s="350"/>
      <c r="F277" s="350"/>
      <c r="G277" s="603"/>
    </row>
    <row r="278" spans="1:7">
      <c r="A278">
        <v>277</v>
      </c>
      <c r="B278" s="353" t="s">
        <v>284</v>
      </c>
      <c r="C278" s="353"/>
      <c r="D278" s="353"/>
      <c r="E278" s="353"/>
      <c r="F278" s="353"/>
      <c r="G278" s="604"/>
    </row>
    <row r="279" spans="1:7">
      <c r="A279">
        <v>278</v>
      </c>
      <c r="B279" s="350" t="s">
        <v>285</v>
      </c>
      <c r="C279" s="350"/>
      <c r="D279" s="350"/>
      <c r="E279" s="350"/>
      <c r="F279" s="350"/>
      <c r="G279" s="603"/>
    </row>
    <row r="280" spans="1:7">
      <c r="A280">
        <v>279</v>
      </c>
      <c r="B280" s="353" t="s">
        <v>286</v>
      </c>
      <c r="C280" s="353"/>
      <c r="D280" s="353"/>
      <c r="E280" s="353"/>
      <c r="F280" s="353"/>
      <c r="G280" s="604"/>
    </row>
    <row r="281" spans="1:7">
      <c r="A281">
        <v>280</v>
      </c>
      <c r="B281" s="350" t="s">
        <v>287</v>
      </c>
      <c r="C281" s="350"/>
      <c r="D281" s="350"/>
      <c r="E281" s="350"/>
      <c r="F281" s="350"/>
      <c r="G281" s="603"/>
    </row>
    <row r="282" spans="1:7">
      <c r="A282">
        <v>281</v>
      </c>
      <c r="B282" s="353" t="s">
        <v>288</v>
      </c>
      <c r="C282" s="353"/>
      <c r="D282" s="353"/>
      <c r="E282" s="353"/>
      <c r="F282" s="353"/>
      <c r="G282" s="604"/>
    </row>
    <row r="283" spans="1:7">
      <c r="A283">
        <v>282</v>
      </c>
      <c r="B283" s="350" t="s">
        <v>289</v>
      </c>
      <c r="C283" s="350"/>
      <c r="D283" s="350"/>
      <c r="E283" s="350"/>
      <c r="F283" s="350"/>
      <c r="G283" s="603"/>
    </row>
    <row r="284" spans="1:7">
      <c r="A284">
        <v>283</v>
      </c>
      <c r="B284" s="353" t="s">
        <v>290</v>
      </c>
      <c r="C284" s="353"/>
      <c r="D284" s="353"/>
      <c r="E284" s="353"/>
      <c r="F284" s="353"/>
      <c r="G284" s="604"/>
    </row>
    <row r="285" spans="1:7">
      <c r="A285">
        <v>284</v>
      </c>
      <c r="B285" s="350" t="s">
        <v>291</v>
      </c>
      <c r="C285" s="350"/>
      <c r="D285" s="350"/>
      <c r="E285" s="350"/>
      <c r="F285" s="350"/>
      <c r="G285" s="603"/>
    </row>
    <row r="286" spans="1:7">
      <c r="A286">
        <v>285</v>
      </c>
      <c r="B286" s="353" t="s">
        <v>292</v>
      </c>
      <c r="C286" s="353"/>
      <c r="D286" s="353"/>
      <c r="E286" s="353"/>
      <c r="F286" s="353"/>
      <c r="G286" s="604"/>
    </row>
    <row r="287" spans="1:7">
      <c r="A287">
        <v>286</v>
      </c>
      <c r="B287" s="350" t="s">
        <v>293</v>
      </c>
      <c r="C287" s="350"/>
      <c r="D287" s="350"/>
      <c r="E287" s="350"/>
      <c r="F287" s="350"/>
      <c r="G287" s="603"/>
    </row>
    <row r="288" spans="1:7">
      <c r="A288">
        <v>287</v>
      </c>
      <c r="B288" s="353" t="s">
        <v>294</v>
      </c>
      <c r="C288" s="353"/>
      <c r="D288" s="353"/>
      <c r="E288" s="353"/>
      <c r="F288" s="353"/>
      <c r="G288" s="604"/>
    </row>
    <row r="289" spans="1:7">
      <c r="A289">
        <v>288</v>
      </c>
      <c r="B289" s="350" t="s">
        <v>295</v>
      </c>
      <c r="C289" s="350"/>
      <c r="D289" s="350"/>
      <c r="E289" s="350"/>
      <c r="F289" s="350"/>
      <c r="G289" s="603"/>
    </row>
    <row r="290" spans="1:7">
      <c r="A290">
        <v>289</v>
      </c>
      <c r="B290" s="353" t="s">
        <v>296</v>
      </c>
      <c r="C290" s="353"/>
      <c r="D290" s="353"/>
      <c r="E290" s="353"/>
      <c r="F290" s="353"/>
      <c r="G290" s="604"/>
    </row>
    <row r="291" spans="1:7">
      <c r="A291">
        <v>290</v>
      </c>
      <c r="B291" s="350" t="s">
        <v>297</v>
      </c>
      <c r="C291" s="350"/>
      <c r="D291" s="350"/>
      <c r="E291" s="350"/>
      <c r="F291" s="350"/>
      <c r="G291" s="603"/>
    </row>
    <row r="292" spans="1:7">
      <c r="A292">
        <v>291</v>
      </c>
      <c r="B292" s="353" t="s">
        <v>298</v>
      </c>
      <c r="C292" s="353"/>
      <c r="D292" s="353"/>
      <c r="E292" s="353"/>
      <c r="F292" s="353"/>
      <c r="G292" s="604"/>
    </row>
    <row r="293" spans="1:7">
      <c r="A293">
        <v>292</v>
      </c>
      <c r="B293" s="350" t="s">
        <v>299</v>
      </c>
      <c r="C293" s="350"/>
      <c r="D293" s="350"/>
      <c r="E293" s="350"/>
      <c r="F293" s="350"/>
      <c r="G293" s="603"/>
    </row>
    <row r="294" spans="1:7">
      <c r="A294">
        <v>293</v>
      </c>
      <c r="B294" s="353" t="s">
        <v>300</v>
      </c>
      <c r="C294" s="353"/>
      <c r="D294" s="353"/>
      <c r="E294" s="353"/>
      <c r="F294" s="353"/>
      <c r="G294" s="604"/>
    </row>
    <row r="295" spans="1:7">
      <c r="A295">
        <v>294</v>
      </c>
      <c r="B295" s="350" t="s">
        <v>301</v>
      </c>
      <c r="C295" s="350"/>
      <c r="D295" s="350"/>
      <c r="E295" s="350"/>
      <c r="F295" s="350"/>
      <c r="G295" s="603"/>
    </row>
    <row r="296" spans="1:7">
      <c r="A296">
        <v>295</v>
      </c>
      <c r="B296" s="353" t="s">
        <v>302</v>
      </c>
      <c r="C296" s="353"/>
      <c r="D296" s="353"/>
      <c r="E296" s="353"/>
      <c r="F296" s="353"/>
      <c r="G296" s="604"/>
    </row>
    <row r="297" spans="1:7">
      <c r="A297">
        <v>296</v>
      </c>
      <c r="B297" s="350" t="s">
        <v>303</v>
      </c>
      <c r="C297" s="350"/>
      <c r="D297" s="350"/>
      <c r="E297" s="350"/>
      <c r="F297" s="350"/>
      <c r="G297" s="603"/>
    </row>
    <row r="298" spans="1:7">
      <c r="A298">
        <v>297</v>
      </c>
      <c r="B298" s="353" t="s">
        <v>304</v>
      </c>
      <c r="C298" s="353"/>
      <c r="D298" s="353"/>
      <c r="E298" s="353"/>
      <c r="F298" s="353"/>
      <c r="G298" s="604"/>
    </row>
    <row r="299" spans="1:7">
      <c r="A299">
        <v>298</v>
      </c>
      <c r="B299" s="350" t="s">
        <v>305</v>
      </c>
      <c r="C299" s="350"/>
      <c r="D299" s="350"/>
      <c r="E299" s="350"/>
      <c r="F299" s="350"/>
      <c r="G299" s="603"/>
    </row>
    <row r="300" spans="1:7">
      <c r="A300">
        <v>299</v>
      </c>
      <c r="B300" s="353" t="s">
        <v>306</v>
      </c>
      <c r="C300" s="353"/>
      <c r="D300" s="353"/>
      <c r="E300" s="353"/>
      <c r="F300" s="353"/>
      <c r="G300" s="604"/>
    </row>
    <row r="301" spans="1:7">
      <c r="A301">
        <v>300</v>
      </c>
      <c r="B301" s="350" t="s">
        <v>307</v>
      </c>
      <c r="C301" s="350"/>
      <c r="D301" s="350"/>
      <c r="E301" s="350"/>
      <c r="F301" s="350"/>
      <c r="G301" s="603"/>
    </row>
    <row r="302" spans="1:7">
      <c r="A302">
        <v>301</v>
      </c>
      <c r="B302" s="353" t="s">
        <v>308</v>
      </c>
      <c r="C302" s="353"/>
      <c r="D302" s="353"/>
      <c r="E302" s="353"/>
      <c r="F302" s="353"/>
      <c r="G302" s="604"/>
    </row>
    <row r="303" spans="1:7">
      <c r="A303">
        <v>302</v>
      </c>
      <c r="B303" s="350" t="s">
        <v>309</v>
      </c>
      <c r="C303" s="350"/>
      <c r="D303" s="350"/>
      <c r="E303" s="350"/>
      <c r="F303" s="350"/>
      <c r="G303" s="603"/>
    </row>
    <row r="304" spans="1:7">
      <c r="A304">
        <v>303</v>
      </c>
      <c r="B304" s="353" t="s">
        <v>310</v>
      </c>
      <c r="C304" s="353"/>
      <c r="D304" s="353"/>
      <c r="E304" s="353"/>
      <c r="F304" s="353"/>
      <c r="G304" s="604"/>
    </row>
    <row r="305" spans="1:7">
      <c r="A305">
        <v>304</v>
      </c>
      <c r="B305" s="350" t="s">
        <v>311</v>
      </c>
      <c r="C305" s="350"/>
      <c r="D305" s="350"/>
      <c r="E305" s="350"/>
      <c r="F305" s="350"/>
      <c r="G305" s="603"/>
    </row>
    <row r="306" spans="1:7">
      <c r="A306">
        <v>305</v>
      </c>
      <c r="B306" s="353" t="s">
        <v>312</v>
      </c>
      <c r="C306" s="353"/>
      <c r="D306" s="353"/>
      <c r="E306" s="353"/>
      <c r="F306" s="353"/>
      <c r="G306" s="604"/>
    </row>
    <row r="307" spans="1:7">
      <c r="A307">
        <v>306</v>
      </c>
      <c r="B307" s="350" t="s">
        <v>313</v>
      </c>
      <c r="C307" s="350"/>
      <c r="D307" s="350"/>
      <c r="E307" s="350"/>
      <c r="F307" s="350"/>
      <c r="G307" s="603"/>
    </row>
    <row r="308" spans="1:7">
      <c r="A308">
        <v>307</v>
      </c>
      <c r="B308" s="353" t="s">
        <v>314</v>
      </c>
      <c r="C308" s="353"/>
      <c r="D308" s="353"/>
      <c r="E308" s="353"/>
      <c r="F308" s="353"/>
      <c r="G308" s="604"/>
    </row>
    <row r="309" spans="1:7">
      <c r="A309">
        <v>308</v>
      </c>
      <c r="B309" s="350" t="s">
        <v>315</v>
      </c>
      <c r="C309" s="350"/>
      <c r="D309" s="350"/>
      <c r="E309" s="350"/>
      <c r="F309" s="350"/>
      <c r="G309" s="603"/>
    </row>
    <row r="310" spans="1:7">
      <c r="A310">
        <v>309</v>
      </c>
      <c r="B310" s="353" t="s">
        <v>316</v>
      </c>
      <c r="C310" s="353"/>
      <c r="D310" s="353"/>
      <c r="E310" s="353"/>
      <c r="F310" s="353"/>
      <c r="G310" s="604"/>
    </row>
    <row r="311" spans="1:7">
      <c r="A311">
        <v>310</v>
      </c>
      <c r="B311" s="350" t="s">
        <v>317</v>
      </c>
      <c r="C311" s="350"/>
      <c r="D311" s="350"/>
      <c r="E311" s="350"/>
      <c r="F311" s="350"/>
      <c r="G311" s="603"/>
    </row>
    <row r="312" spans="1:7">
      <c r="A312">
        <v>311</v>
      </c>
      <c r="B312" s="353" t="s">
        <v>318</v>
      </c>
      <c r="C312" s="353"/>
      <c r="D312" s="353"/>
      <c r="E312" s="353"/>
      <c r="F312" s="353"/>
      <c r="G312" s="604"/>
    </row>
    <row r="313" spans="1:7">
      <c r="A313">
        <v>312</v>
      </c>
      <c r="B313" s="350" t="s">
        <v>319</v>
      </c>
      <c r="C313" s="350"/>
      <c r="D313" s="350"/>
      <c r="E313" s="350"/>
      <c r="F313" s="350"/>
      <c r="G313" s="603"/>
    </row>
    <row r="314" spans="1:7">
      <c r="A314">
        <v>313</v>
      </c>
      <c r="B314" s="353" t="s">
        <v>320</v>
      </c>
      <c r="C314" s="353"/>
      <c r="D314" s="353"/>
      <c r="E314" s="353"/>
      <c r="F314" s="353"/>
      <c r="G314" s="604"/>
    </row>
    <row r="315" spans="1:7">
      <c r="A315">
        <v>314</v>
      </c>
      <c r="B315" s="350" t="s">
        <v>321</v>
      </c>
      <c r="C315" s="350"/>
      <c r="D315" s="350"/>
      <c r="E315" s="350"/>
      <c r="F315" s="350"/>
      <c r="G315" s="603"/>
    </row>
    <row r="316" spans="1:7">
      <c r="A316">
        <v>315</v>
      </c>
      <c r="B316" s="353" t="s">
        <v>322</v>
      </c>
      <c r="C316" s="353"/>
      <c r="D316" s="353"/>
      <c r="E316" s="353"/>
      <c r="F316" s="353"/>
      <c r="G316" s="604"/>
    </row>
    <row r="317" spans="1:7">
      <c r="A317">
        <v>316</v>
      </c>
      <c r="B317" s="350" t="s">
        <v>323</v>
      </c>
      <c r="C317" s="350"/>
      <c r="D317" s="350"/>
      <c r="E317" s="350"/>
      <c r="F317" s="350"/>
      <c r="G317" s="603"/>
    </row>
    <row r="318" spans="1:7">
      <c r="A318">
        <v>317</v>
      </c>
      <c r="B318" s="353" t="s">
        <v>324</v>
      </c>
      <c r="C318" s="353"/>
      <c r="D318" s="353"/>
      <c r="E318" s="353"/>
      <c r="F318" s="353"/>
      <c r="G318" s="604"/>
    </row>
    <row r="319" spans="1:7">
      <c r="A319">
        <v>318</v>
      </c>
      <c r="B319" s="350" t="s">
        <v>325</v>
      </c>
      <c r="C319" s="350"/>
      <c r="D319" s="350"/>
      <c r="E319" s="350"/>
      <c r="F319" s="350"/>
      <c r="G319" s="603"/>
    </row>
    <row r="320" spans="1:7">
      <c r="A320">
        <v>319</v>
      </c>
      <c r="B320" s="353" t="s">
        <v>326</v>
      </c>
      <c r="C320" s="353"/>
      <c r="D320" s="353"/>
      <c r="E320" s="353"/>
      <c r="F320" s="353"/>
      <c r="G320" s="604"/>
    </row>
    <row r="321" spans="1:7">
      <c r="A321">
        <v>320</v>
      </c>
      <c r="B321" s="350" t="s">
        <v>327</v>
      </c>
      <c r="C321" s="350"/>
      <c r="D321" s="350"/>
      <c r="E321" s="350"/>
      <c r="F321" s="350"/>
      <c r="G321" s="603"/>
    </row>
    <row r="322" spans="1:7">
      <c r="A322">
        <v>321</v>
      </c>
      <c r="B322" s="353" t="s">
        <v>328</v>
      </c>
      <c r="C322" s="353"/>
      <c r="D322" s="353"/>
      <c r="E322" s="353"/>
      <c r="F322" s="353"/>
      <c r="G322" s="604"/>
    </row>
    <row r="323" spans="1:7">
      <c r="A323">
        <v>322</v>
      </c>
      <c r="B323" s="350" t="s">
        <v>329</v>
      </c>
      <c r="C323" s="350"/>
      <c r="D323" s="350"/>
      <c r="E323" s="350"/>
      <c r="F323" s="350"/>
      <c r="G323" s="603"/>
    </row>
    <row r="324" spans="1:7">
      <c r="A324">
        <v>323</v>
      </c>
      <c r="B324" s="353" t="s">
        <v>330</v>
      </c>
      <c r="C324" s="353"/>
      <c r="D324" s="353"/>
      <c r="E324" s="353"/>
      <c r="F324" s="353"/>
      <c r="G324" s="604"/>
    </row>
    <row r="325" spans="1:7">
      <c r="A325">
        <v>324</v>
      </c>
      <c r="B325" s="350" t="s">
        <v>331</v>
      </c>
      <c r="C325" s="350"/>
      <c r="D325" s="350"/>
      <c r="E325" s="350"/>
      <c r="F325" s="350"/>
      <c r="G325" s="603"/>
    </row>
    <row r="326" spans="1:7">
      <c r="A326">
        <v>325</v>
      </c>
      <c r="B326" s="353" t="s">
        <v>332</v>
      </c>
      <c r="C326" s="353"/>
      <c r="D326" s="353"/>
      <c r="E326" s="353"/>
      <c r="F326" s="353"/>
      <c r="G326" s="604"/>
    </row>
    <row r="327" spans="1:7">
      <c r="A327">
        <v>326</v>
      </c>
      <c r="B327" s="350" t="s">
        <v>333</v>
      </c>
      <c r="C327" s="350"/>
      <c r="D327" s="350"/>
      <c r="E327" s="350"/>
      <c r="F327" s="350"/>
      <c r="G327" s="603"/>
    </row>
    <row r="328" spans="1:7">
      <c r="A328">
        <v>327</v>
      </c>
      <c r="B328" s="353" t="s">
        <v>334</v>
      </c>
      <c r="C328" s="353"/>
      <c r="D328" s="353"/>
      <c r="E328" s="353"/>
      <c r="F328" s="353"/>
      <c r="G328" s="604"/>
    </row>
    <row r="329" spans="1:7">
      <c r="A329">
        <v>328</v>
      </c>
      <c r="B329" s="350" t="s">
        <v>335</v>
      </c>
      <c r="C329" s="350"/>
      <c r="D329" s="350"/>
      <c r="E329" s="350"/>
      <c r="F329" s="350"/>
      <c r="G329" s="603"/>
    </row>
    <row r="330" spans="1:7">
      <c r="A330">
        <v>329</v>
      </c>
      <c r="B330" s="353" t="s">
        <v>336</v>
      </c>
      <c r="C330" s="353"/>
      <c r="D330" s="353"/>
      <c r="E330" s="353"/>
      <c r="F330" s="353"/>
      <c r="G330" s="604"/>
    </row>
    <row r="331" spans="1:7">
      <c r="A331">
        <v>330</v>
      </c>
      <c r="B331" s="350" t="s">
        <v>337</v>
      </c>
      <c r="C331" s="350"/>
      <c r="D331" s="350"/>
      <c r="E331" s="350"/>
      <c r="F331" s="350"/>
      <c r="G331" s="603"/>
    </row>
    <row r="332" spans="1:7">
      <c r="A332">
        <v>331</v>
      </c>
      <c r="B332" s="353" t="s">
        <v>338</v>
      </c>
      <c r="C332" s="353"/>
      <c r="D332" s="353"/>
      <c r="E332" s="353"/>
      <c r="F332" s="353"/>
      <c r="G332" s="604"/>
    </row>
    <row r="333" spans="1:7">
      <c r="A333">
        <v>332</v>
      </c>
      <c r="B333" s="350" t="s">
        <v>339</v>
      </c>
      <c r="C333" s="350"/>
      <c r="D333" s="350"/>
      <c r="E333" s="350"/>
      <c r="F333" s="350"/>
      <c r="G333" s="603"/>
    </row>
    <row r="334" spans="1:7">
      <c r="A334">
        <v>333</v>
      </c>
      <c r="B334" s="353" t="s">
        <v>340</v>
      </c>
      <c r="C334" s="353"/>
      <c r="D334" s="353"/>
      <c r="E334" s="353"/>
      <c r="F334" s="353"/>
      <c r="G334" s="604"/>
    </row>
    <row r="335" spans="1:7">
      <c r="A335">
        <v>334</v>
      </c>
      <c r="B335" s="350" t="s">
        <v>341</v>
      </c>
      <c r="C335" s="350"/>
      <c r="D335" s="350"/>
      <c r="E335" s="350"/>
      <c r="F335" s="350"/>
      <c r="G335" s="603"/>
    </row>
    <row r="336" spans="1:7">
      <c r="A336">
        <v>335</v>
      </c>
      <c r="B336" s="353" t="s">
        <v>342</v>
      </c>
      <c r="C336" s="353"/>
      <c r="D336" s="353"/>
      <c r="E336" s="353"/>
      <c r="F336" s="353"/>
      <c r="G336" s="604"/>
    </row>
    <row r="337" spans="1:7">
      <c r="A337">
        <v>336</v>
      </c>
      <c r="B337" s="350" t="s">
        <v>343</v>
      </c>
      <c r="C337" s="350"/>
      <c r="D337" s="350"/>
      <c r="E337" s="350"/>
      <c r="F337" s="350"/>
      <c r="G337" s="603"/>
    </row>
    <row r="338" spans="1:7">
      <c r="A338">
        <v>337</v>
      </c>
      <c r="B338" s="353" t="s">
        <v>344</v>
      </c>
      <c r="C338" s="353"/>
      <c r="D338" s="353"/>
      <c r="E338" s="353"/>
      <c r="F338" s="353"/>
      <c r="G338" s="604"/>
    </row>
    <row r="339" spans="1:7">
      <c r="A339">
        <v>338</v>
      </c>
      <c r="B339" s="350" t="s">
        <v>345</v>
      </c>
      <c r="C339" s="350"/>
      <c r="D339" s="350"/>
      <c r="E339" s="350"/>
      <c r="F339" s="350"/>
      <c r="G339" s="603"/>
    </row>
    <row r="340" spans="1:7">
      <c r="A340">
        <v>339</v>
      </c>
      <c r="B340" s="353" t="s">
        <v>346</v>
      </c>
      <c r="C340" s="353"/>
      <c r="D340" s="353"/>
      <c r="E340" s="353"/>
      <c r="F340" s="353"/>
      <c r="G340" s="604"/>
    </row>
    <row r="341" spans="1:7">
      <c r="A341">
        <v>340</v>
      </c>
      <c r="B341" s="350" t="s">
        <v>347</v>
      </c>
      <c r="C341" s="350"/>
      <c r="D341" s="350"/>
      <c r="E341" s="350"/>
      <c r="F341" s="350"/>
      <c r="G341" s="603"/>
    </row>
    <row r="342" spans="1:7">
      <c r="A342">
        <v>341</v>
      </c>
      <c r="B342" s="353" t="s">
        <v>348</v>
      </c>
      <c r="C342" s="353"/>
      <c r="D342" s="353"/>
      <c r="E342" s="353"/>
      <c r="F342" s="353"/>
      <c r="G342" s="604"/>
    </row>
    <row r="343" spans="1:7">
      <c r="A343">
        <v>342</v>
      </c>
      <c r="B343" s="350" t="s">
        <v>349</v>
      </c>
      <c r="C343" s="350"/>
      <c r="D343" s="350"/>
      <c r="E343" s="350"/>
      <c r="F343" s="350"/>
      <c r="G343" s="603"/>
    </row>
    <row r="344" spans="1:7">
      <c r="A344">
        <v>343</v>
      </c>
      <c r="B344" s="353" t="s">
        <v>350</v>
      </c>
      <c r="C344" s="353"/>
      <c r="D344" s="353"/>
      <c r="E344" s="353"/>
      <c r="F344" s="353"/>
      <c r="G344" s="604"/>
    </row>
    <row r="345" spans="1:7">
      <c r="A345">
        <v>344</v>
      </c>
      <c r="B345" s="350" t="s">
        <v>351</v>
      </c>
      <c r="C345" s="350"/>
      <c r="D345" s="350"/>
      <c r="E345" s="350"/>
      <c r="F345" s="350"/>
      <c r="G345" s="603"/>
    </row>
    <row r="346" spans="1:7">
      <c r="A346">
        <v>345</v>
      </c>
      <c r="B346" s="353" t="s">
        <v>352</v>
      </c>
      <c r="C346" s="353"/>
      <c r="D346" s="353"/>
      <c r="E346" s="353"/>
      <c r="F346" s="353"/>
      <c r="G346" s="604"/>
    </row>
    <row r="347" spans="1:7">
      <c r="A347">
        <v>346</v>
      </c>
      <c r="B347" s="350" t="s">
        <v>353</v>
      </c>
      <c r="C347" s="350"/>
      <c r="D347" s="350"/>
      <c r="E347" s="350"/>
      <c r="F347" s="350"/>
      <c r="G347" s="603"/>
    </row>
    <row r="348" spans="1:7">
      <c r="A348">
        <v>347</v>
      </c>
      <c r="B348" s="353" t="s">
        <v>354</v>
      </c>
      <c r="C348" s="353"/>
      <c r="D348" s="353"/>
      <c r="E348" s="353"/>
      <c r="F348" s="353"/>
      <c r="G348" s="604"/>
    </row>
    <row r="349" spans="1:7">
      <c r="A349">
        <v>348</v>
      </c>
      <c r="B349" s="350" t="s">
        <v>355</v>
      </c>
      <c r="C349" s="350"/>
      <c r="D349" s="350"/>
      <c r="E349" s="350"/>
      <c r="F349" s="350"/>
      <c r="G349" s="603"/>
    </row>
    <row r="350" spans="1:7">
      <c r="A350">
        <v>349</v>
      </c>
      <c r="B350" s="353" t="s">
        <v>356</v>
      </c>
      <c r="C350" s="353"/>
      <c r="D350" s="353"/>
      <c r="E350" s="353"/>
      <c r="F350" s="353"/>
      <c r="G350" s="604"/>
    </row>
    <row r="351" spans="1:7">
      <c r="A351">
        <v>350</v>
      </c>
      <c r="B351" s="350" t="s">
        <v>1079</v>
      </c>
      <c r="C351" s="350">
        <v>25</v>
      </c>
      <c r="D351" s="350">
        <v>33.261339999999997</v>
      </c>
      <c r="E351" s="350"/>
      <c r="F351" s="350"/>
      <c r="G351" s="603"/>
    </row>
    <row r="352" spans="1:7">
      <c r="A352">
        <v>351</v>
      </c>
      <c r="B352" s="358" t="s">
        <v>1080</v>
      </c>
      <c r="C352" s="358">
        <v>25</v>
      </c>
      <c r="D352" s="358">
        <v>28.585999999999999</v>
      </c>
      <c r="E352" s="358"/>
      <c r="F352" s="358"/>
      <c r="G352" s="147"/>
    </row>
  </sheetData>
  <phoneticPr fontId="5" type="noConversion"/>
  <conditionalFormatting sqref="B1:B58 B95:B100 B102:B196 B225:B1048576">
    <cfRule type="duplicateValues" dxfId="54" priority="8"/>
  </conditionalFormatting>
  <hyperlinks>
    <hyperlink ref="G220" r:id="rId1" xr:uid="{648B89A6-E339-FE43-A9D4-5E1C1EE0DBDB}"/>
    <hyperlink ref="Y5:Y15" r:id="rId2" display="http://www.signalrp.ru/catalog/skzip-mr2/" xr:uid="{B88C56A6-3F1F-EF48-9D9D-8F412FC42B54}"/>
    <hyperlink ref="G197:G212" r:id="rId3" display="http://www.signalrp.ru/catalog/skzip-m1/" xr:uid="{A627981E-1500-BB4C-A362-B07CFC234B2D}"/>
    <hyperlink ref="G5" r:id="rId4" xr:uid="{1EFE8D54-4CE2-4D43-ADF1-007A3D293531}"/>
    <hyperlink ref="G6:G8" r:id="rId5" display="http://www.signalrp.ru/catalog/vope-3/" xr:uid="{D01B8C03-F655-C74C-924F-68DC0FCAD364}"/>
    <hyperlink ref="G9" r:id="rId6" xr:uid="{3BEC344E-AB20-0C41-800C-71E032A040FE}"/>
    <hyperlink ref="G10:G15" r:id="rId7" display="https://pss.ru/product/ekhz-katodnaya-zashchita/stantsii-katodnoy-zashchity-skz-vypryamiteli/avtomaticheskiy-vypryamitel-v-ope/" xr:uid="{1A007B17-AC7B-254C-A2F8-B3E276663299}"/>
    <hyperlink ref="G16" r:id="rId8" xr:uid="{5E747E69-6A42-A245-A886-1767D9BFD748}"/>
    <hyperlink ref="G17:G23" r:id="rId9" display="https://www.energomera.ru/ru/products/ehz/v-ope-m2-v" xr:uid="{6AFDCE9B-EB73-E141-B88F-154AEEE65147}"/>
    <hyperlink ref="G24" r:id="rId10" xr:uid="{99D69CA5-B311-104A-925A-6B767D405CEF}"/>
    <hyperlink ref="G25:G31" r:id="rId11" display="https://www.energomera.ru/ru/products/ehz/v-ope-m3-v" xr:uid="{CEB3B01E-92AD-074D-8687-03B9944B263D}"/>
    <hyperlink ref="G32" r:id="rId12" xr:uid="{B8C574CE-1604-C643-9C3C-00FF96775DAA}"/>
    <hyperlink ref="G33:G39" r:id="rId13" display="https://www.energomera.ru/ru/products/ehz/v-ope-m6-v" xr:uid="{F1CA35BC-72E0-854F-B72D-AED7653DB038}"/>
    <hyperlink ref="G40" r:id="rId14" xr:uid="{E402E53C-01D4-CD46-A4B7-ED680494C5F0}"/>
    <hyperlink ref="G41:G47" r:id="rId15" display="https://www.energomera.ru/ru/products/ehz/v-ope-m7-v" xr:uid="{EC0550A3-2FA8-8645-8F80-A8CFD3602F38}"/>
    <hyperlink ref="G48" r:id="rId16" xr:uid="{FE5A64F1-EFCA-8E44-A5F6-697737EB855B}"/>
    <hyperlink ref="G49:G51" r:id="rId17" display="https://www.energomera.ru/ru/products/ehz/v-ope-m10-v" xr:uid="{3A4720D8-C53F-3044-B21B-6915A5E91864}"/>
    <hyperlink ref="G52" r:id="rId18" xr:uid="{25A2D003-591C-7F41-A7D7-9DDCEC474CF0}"/>
    <hyperlink ref="G59" r:id="rId19" xr:uid="{46C5121D-263B-534C-86D2-EF008B52855B}"/>
    <hyperlink ref="G53" r:id="rId20" xr:uid="{AE6AE786-058F-BE4A-98AA-3F43464AF224}"/>
    <hyperlink ref="G54" r:id="rId21" xr:uid="{D527FC92-58D8-E842-B96C-D95FD5454AA5}"/>
    <hyperlink ref="G56" r:id="rId22" xr:uid="{304AF4CE-0CA8-A240-AE23-721C29E3FD6A}"/>
    <hyperlink ref="G58" r:id="rId23" xr:uid="{BE48107A-2258-9943-841A-C0A5F72C7305}"/>
    <hyperlink ref="G55" r:id="rId24" xr:uid="{2A0C50D0-65B5-8C42-A5B5-55A6145275CB}"/>
    <hyperlink ref="G57" r:id="rId25" xr:uid="{8423D189-0226-C642-A066-6C1A3FCDA689}"/>
    <hyperlink ref="G60" r:id="rId26" xr:uid="{5E80657A-DBE9-BE4D-97CE-469260505F8F}"/>
    <hyperlink ref="G61" r:id="rId27" xr:uid="{37A85038-1CDA-5542-9D2A-59E4EAFF6890}"/>
    <hyperlink ref="G63" r:id="rId28" xr:uid="{4CC22578-1278-FF47-A73B-68120FCA0C7C}"/>
    <hyperlink ref="G65" r:id="rId29" xr:uid="{4763CCE9-5D6B-1D48-9A45-AE28209C4F5F}"/>
    <hyperlink ref="G67" r:id="rId30" xr:uid="{718973D4-39A8-CE4F-B3A1-C4A893F8AFE0}"/>
    <hyperlink ref="G69" r:id="rId31" xr:uid="{85A8B309-93D3-D34B-B01A-CBA09B2C2CC8}"/>
    <hyperlink ref="G71" r:id="rId32" xr:uid="{4188B39D-37EC-B048-89AD-B3908A7C27F0}"/>
    <hyperlink ref="G73" r:id="rId33" xr:uid="{4815CDEB-DF5A-7444-B823-5E4B90B7B80C}"/>
    <hyperlink ref="G75" r:id="rId34" xr:uid="{9407D967-EC53-F94B-8236-3FBF4E732092}"/>
    <hyperlink ref="G77" r:id="rId35" xr:uid="{38AC28E2-462E-5240-BE81-B3767C35F7C8}"/>
    <hyperlink ref="G79" r:id="rId36" xr:uid="{2C43B3B8-00BD-FB4A-9EB3-5E5D21F22E13}"/>
    <hyperlink ref="G81" r:id="rId37" xr:uid="{988CBABC-C775-B34E-AB09-2A425F0ECA88}"/>
    <hyperlink ref="G83" r:id="rId38" xr:uid="{B3EB1706-D967-F44F-8D13-D9D36E87D1B9}"/>
    <hyperlink ref="G85" r:id="rId39" xr:uid="{E12DE5C3-BAE1-B247-83C1-FB2A88BB5C29}"/>
    <hyperlink ref="G87" r:id="rId40" xr:uid="{915D0854-4D35-B34B-B348-BF7011816011}"/>
    <hyperlink ref="G89" r:id="rId41" xr:uid="{05046053-11F0-9145-BE1F-38344035C646}"/>
    <hyperlink ref="G91" r:id="rId42" xr:uid="{DDF044E8-EA22-6E4F-8CC1-C73F6BBCF140}"/>
    <hyperlink ref="G93" r:id="rId43" xr:uid="{8091B3A7-1F6F-7841-92E3-3FBB231B84E1}"/>
    <hyperlink ref="G62" r:id="rId44" xr:uid="{00247D5A-FAE9-B844-A135-40973A665007}"/>
    <hyperlink ref="G64" r:id="rId45" xr:uid="{6F296D55-4E3A-CB46-B7A0-A5C2235CDD82}"/>
    <hyperlink ref="G66" r:id="rId46" xr:uid="{40AB53D4-AE54-ED42-92D3-154DECB9C6DC}"/>
    <hyperlink ref="G68" r:id="rId47" xr:uid="{B330771B-A00C-D147-8979-BD830DCA7591}"/>
    <hyperlink ref="G70" r:id="rId48" xr:uid="{8A28F4DE-E07F-0C41-A31E-0DFF03D93AD1}"/>
    <hyperlink ref="G72" r:id="rId49" xr:uid="{F0B9B9F0-BE4E-AE4B-BEF4-8BF7149B8A12}"/>
    <hyperlink ref="G74" r:id="rId50" xr:uid="{8C42F01F-51EB-F746-9431-4137BC37E475}"/>
    <hyperlink ref="G76" r:id="rId51" xr:uid="{55937938-CE03-B14C-978C-944C0DF36EF1}"/>
    <hyperlink ref="G78" r:id="rId52" xr:uid="{B671C035-04E1-E34A-B1F1-235B3B9E6410}"/>
    <hyperlink ref="G80" r:id="rId53" xr:uid="{2779D7D9-B120-F04F-9373-E61BBA83BA62}"/>
    <hyperlink ref="G82" r:id="rId54" xr:uid="{D22ED004-CEDE-E043-B23D-CD9BB72D1052}"/>
    <hyperlink ref="G84" r:id="rId55" xr:uid="{B066D74D-C93F-E143-B8BD-1A5FB4A2787D}"/>
    <hyperlink ref="G86" r:id="rId56" xr:uid="{4FC0F80C-F087-7147-A74E-D1522BEF81C0}"/>
    <hyperlink ref="G88" r:id="rId57" xr:uid="{D1C2E1EA-8AE7-874B-BCD3-4D1DA672F8EF}"/>
    <hyperlink ref="G90" r:id="rId58" xr:uid="{406DB1A8-5EFB-644F-A93D-1D5805673A82}"/>
    <hyperlink ref="G92" r:id="rId59" xr:uid="{5D1B81D6-02FE-8B4D-8DE2-B169B3C7D8A5}"/>
    <hyperlink ref="G94" r:id="rId60" xr:uid="{79FDC23A-AB5D-334C-894B-61A9E52A05A6}"/>
    <hyperlink ref="G95" r:id="rId61" xr:uid="{55397BB9-10D8-944C-86FB-307F7CB83676}"/>
    <hyperlink ref="G96" r:id="rId62" xr:uid="{3F6C2297-E239-3A42-863A-AE8662183B4E}"/>
    <hyperlink ref="G97" r:id="rId63" xr:uid="{EE54100E-090F-984E-B428-692CC4CAC1C6}"/>
    <hyperlink ref="G99" r:id="rId64" xr:uid="{85C2FB48-DF50-994A-B20F-9FBB9C7AE60C}"/>
    <hyperlink ref="G98" r:id="rId65" xr:uid="{DB70F99E-19F1-8443-A907-5A6CC3941C47}"/>
    <hyperlink ref="G100" r:id="rId66" xr:uid="{C492CB1D-6AD5-4746-AAFC-C769A609DD0E}"/>
    <hyperlink ref="G101" r:id="rId67" xr:uid="{EB86E113-08ED-404A-BCC6-D493C417189E}"/>
    <hyperlink ref="G102:G103" r:id="rId68" display="http://www.eltech.tver.ru/catalog/elhim/elhim_54.html" xr:uid="{82C757A6-1E75-384A-9332-80FABBDFB6B0}"/>
    <hyperlink ref="G104" r:id="rId69" xr:uid="{C1CCB5DD-B56F-024C-9DFA-A633F4C46B42}"/>
    <hyperlink ref="G105" r:id="rId70" xr:uid="{ABB1BB4B-E862-9F48-B23F-257D6DBF4ED4}"/>
    <hyperlink ref="G106" r:id="rId71" xr:uid="{2E82F39F-AE49-F54C-AD9E-1ACDC333CF19}"/>
    <hyperlink ref="G108" r:id="rId72" xr:uid="{C612B425-66D1-4546-A4E3-8E6A0FF6AC4B}"/>
    <hyperlink ref="G110" r:id="rId73" xr:uid="{37BB3618-F3F9-9043-88AE-2165F27DA068}"/>
    <hyperlink ref="G112" r:id="rId74" xr:uid="{1E991081-D421-2C4C-B9CE-FD1FA0CF973F}"/>
    <hyperlink ref="G114" r:id="rId75" xr:uid="{6A1FB8F8-909F-774E-B257-50B81CFF488F}"/>
    <hyperlink ref="G116" r:id="rId76" xr:uid="{17CFB07F-A3DC-FF4F-9EE8-F0EDE344731E}"/>
    <hyperlink ref="G118" r:id="rId77" xr:uid="{AF032D78-6935-0F4A-BFB8-B2A8D873284F}"/>
    <hyperlink ref="G120" r:id="rId78" xr:uid="{38A53A90-1815-AC49-A7A3-A6A97F18EC5E}"/>
    <hyperlink ref="G122" r:id="rId79" xr:uid="{92384FBC-CCDC-1343-9FA4-CAAC32BBA557}"/>
    <hyperlink ref="G124" r:id="rId80" xr:uid="{4FB8FB7D-8FA8-9443-8AD5-F75E243CA8E4}"/>
    <hyperlink ref="G126" r:id="rId81" xr:uid="{77CE8EE0-8DFB-D443-BEDC-447BC41EF4F1}"/>
    <hyperlink ref="G128" r:id="rId82" xr:uid="{87C4BCD2-FA8D-9644-BB6B-0C6C30BA9193}"/>
    <hyperlink ref="G130" r:id="rId83" xr:uid="{3AF8DBE9-FEFD-C84D-B854-E192011650E8}"/>
    <hyperlink ref="G132" r:id="rId84" xr:uid="{4FA16C29-3552-D843-86CC-07EC9C99A1CE}"/>
    <hyperlink ref="G134" r:id="rId85" xr:uid="{5166D151-0106-B34A-B578-4268308C62A7}"/>
    <hyperlink ref="G136" r:id="rId86" xr:uid="{2EF29362-B765-6A49-A126-240003381BBF}"/>
    <hyperlink ref="G138" r:id="rId87" xr:uid="{97EC504B-A4BE-4540-BDAF-332E00E95A0B}"/>
    <hyperlink ref="G140" r:id="rId88" xr:uid="{61C62284-E8AF-6F4B-BB8C-E66377B68C55}"/>
    <hyperlink ref="G142" r:id="rId89" xr:uid="{20D4BD6C-CD1B-EE46-8B1D-F2B68103F306}"/>
    <hyperlink ref="G144" r:id="rId90" xr:uid="{9827BEEC-00C6-FF43-ADAE-CDA2DF072DD4}"/>
    <hyperlink ref="G146" r:id="rId91" xr:uid="{20C81E10-0E5D-5D42-86D2-220014BCACC9}"/>
    <hyperlink ref="G148" r:id="rId92" xr:uid="{F083355E-CA64-E748-967E-657CA6C0CC6C}"/>
    <hyperlink ref="G150" r:id="rId93" xr:uid="{7AAD0C69-4032-5741-A3BE-3D35673B87EE}"/>
    <hyperlink ref="G152" r:id="rId94" xr:uid="{A2E15DD8-444C-2648-8C9D-F210ACF0EAA6}"/>
    <hyperlink ref="G154" r:id="rId95" xr:uid="{BA13A07B-016F-844B-8D75-9A9E7A5F5C84}"/>
    <hyperlink ref="G156" r:id="rId96" xr:uid="{A0C47A75-CBEF-CB4F-B0C1-A267C7376283}"/>
    <hyperlink ref="G158" r:id="rId97" xr:uid="{83A3E983-06F0-B94A-8DDD-75F393584F05}"/>
    <hyperlink ref="G160" r:id="rId98" xr:uid="{C9A2839A-6439-6E40-B3F2-C019B7D38883}"/>
    <hyperlink ref="G162" r:id="rId99" xr:uid="{13211DF5-74BA-824B-A630-38A8C0E5823C}"/>
    <hyperlink ref="G164" r:id="rId100" xr:uid="{C4822AE5-02D4-FA44-96F2-CF9DA3F83483}"/>
    <hyperlink ref="G166" r:id="rId101" xr:uid="{8C79ED28-403F-7C42-9601-3845D536F6AC}"/>
    <hyperlink ref="G168" r:id="rId102" xr:uid="{DBB24E78-A08E-8445-AB29-C19F4CBCD3E8}"/>
    <hyperlink ref="G170" r:id="rId103" xr:uid="{B5D6D22A-DFC1-DA4F-8199-66DE0F6FDF1F}"/>
    <hyperlink ref="G172" r:id="rId104" xr:uid="{B3BBEBBC-BE18-E04B-B360-001D6BA4D11F}"/>
    <hyperlink ref="G174" r:id="rId105" xr:uid="{327DC99C-BB08-8F47-A3B2-B41FA7A34BBB}"/>
    <hyperlink ref="G107" r:id="rId106" xr:uid="{2A0D2062-AD72-9C47-AE49-7952A69B96C7}"/>
    <hyperlink ref="G109" r:id="rId107" xr:uid="{21FACA7D-65AF-284D-B3A2-FB9FE266F9F7}"/>
    <hyperlink ref="G111" r:id="rId108" xr:uid="{A6579C4A-362E-944C-ACA0-7ACCAB79EBAE}"/>
    <hyperlink ref="G113" r:id="rId109" xr:uid="{5FFA9124-05F1-AD4F-90DF-147C6F87F0C9}"/>
    <hyperlink ref="G115" r:id="rId110" xr:uid="{92320B0A-7685-3F42-AAD8-D192F2CA29F9}"/>
    <hyperlink ref="G117" r:id="rId111" xr:uid="{8D3B041B-88ED-484A-9474-5A0CA0C8F5BB}"/>
    <hyperlink ref="G119" r:id="rId112" xr:uid="{9F094C0D-17B2-EB4C-B9FA-320F9C1F6C0E}"/>
    <hyperlink ref="G121" r:id="rId113" xr:uid="{D5FB3055-50C4-F64A-9BC7-A4AF63307A46}"/>
    <hyperlink ref="G123" r:id="rId114" xr:uid="{B071E164-8CCA-A647-80CF-478EEE899E30}"/>
    <hyperlink ref="G125" r:id="rId115" xr:uid="{985E3EB2-9180-8B41-9C4A-764DE4B59D10}"/>
    <hyperlink ref="G127" r:id="rId116" xr:uid="{B3B0D694-B5E8-3743-8FA2-FC05AA1EFB36}"/>
    <hyperlink ref="G129" r:id="rId117" xr:uid="{16DE5058-530C-3545-8BA4-75C38742A5F1}"/>
    <hyperlink ref="G131" r:id="rId118" xr:uid="{E00202A0-F0D1-6C46-AB79-CA3B1E819F4B}"/>
    <hyperlink ref="G133" r:id="rId119" xr:uid="{D2F92E56-0D05-254D-A8F4-A7A54A62A4B2}"/>
    <hyperlink ref="G135" r:id="rId120" xr:uid="{0C18B848-918D-3C4C-8072-1DB746FC91B8}"/>
    <hyperlink ref="G137" r:id="rId121" xr:uid="{C4D474CE-2D17-7A42-A9C6-878C1AD584E1}"/>
    <hyperlink ref="G139" r:id="rId122" xr:uid="{A311D0A1-B1B4-F848-9F66-04D065A28B30}"/>
    <hyperlink ref="G141" r:id="rId123" xr:uid="{1D53961E-4530-9548-9A71-74CD592F6FF6}"/>
    <hyperlink ref="G143" r:id="rId124" xr:uid="{B7CB80FD-AF69-9142-A30F-0BD038E26A1C}"/>
    <hyperlink ref="G145" r:id="rId125" xr:uid="{7A6466EC-81D9-5142-AAEF-9569ECE4B015}"/>
    <hyperlink ref="G147" r:id="rId126" xr:uid="{DA6BE761-9F7B-1245-B9E8-4C67EEE96212}"/>
    <hyperlink ref="G149" r:id="rId127" xr:uid="{C4B3C31C-8AC1-4E4F-9E4C-280EDF189579}"/>
    <hyperlink ref="G151" r:id="rId128" xr:uid="{F8AED535-A9A6-2747-B48E-18BCF85A9D8F}"/>
    <hyperlink ref="G153" r:id="rId129" xr:uid="{86D0DFD5-B524-EA49-AB8E-D0FF97106BE4}"/>
    <hyperlink ref="G155" r:id="rId130" xr:uid="{2916B7FB-24AA-4648-BCA8-ABA6C8D03E2E}"/>
    <hyperlink ref="G157" r:id="rId131" xr:uid="{CBAA303F-3489-D74D-8A39-3FC309E101CA}"/>
    <hyperlink ref="G159" r:id="rId132" xr:uid="{E801634D-99B0-0348-9438-1CEDE4420FE0}"/>
    <hyperlink ref="G161" r:id="rId133" xr:uid="{6DC9B738-44CC-834A-91E9-398733E91F07}"/>
    <hyperlink ref="G163" r:id="rId134" xr:uid="{22E6C094-698F-F74B-A9B9-BFD5066F23CC}"/>
    <hyperlink ref="G165" r:id="rId135" xr:uid="{11CF364D-2DF3-4A45-81F4-9E7833841E22}"/>
    <hyperlink ref="G167" r:id="rId136" xr:uid="{48F0DCE1-5D5E-9748-A78B-A61CA01D93BC}"/>
    <hyperlink ref="G169" r:id="rId137" xr:uid="{F855D395-47EE-114A-ADE6-1330BE934B24}"/>
    <hyperlink ref="G171" r:id="rId138" xr:uid="{509CAADA-9CFA-EE4D-B0A1-EB35319FA321}"/>
    <hyperlink ref="G173" r:id="rId139" xr:uid="{27CD640F-A101-1643-B5B9-414414EB1538}"/>
    <hyperlink ref="G175" r:id="rId140" xr:uid="{2EA96781-CE48-5C48-9FE4-3D768BD19BB3}"/>
    <hyperlink ref="G16:G94" r:id="rId141" display="АО «Энергомера»" xr:uid="{5FA3B933-44BA-9941-932E-E218BA11EDC2}"/>
    <hyperlink ref="G222" r:id="rId142" xr:uid="{3034539D-890F-CE40-AD4C-8A9E2C3C21CD}"/>
  </hyperlinks>
  <pageMargins left="0.7" right="0.7" top="0.75" bottom="0.75" header="0.3" footer="0.3"/>
  <pageSetup paperSize="9" orientation="portrait" horizontalDpi="0" verticalDpi="0"/>
  <tableParts count="1">
    <tablePart r:id="rId14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B99ED-448A-BD42-AAA2-29EB91D09C94}">
  <sheetPr codeName="Лист26">
    <tabColor theme="0"/>
  </sheetPr>
  <dimension ref="A1:JJ111"/>
  <sheetViews>
    <sheetView topLeftCell="AH2" zoomScale="142" zoomScaleNormal="100" workbookViewId="0">
      <pane ySplit="1" topLeftCell="A5" activePane="bottomLeft" state="frozen"/>
      <selection activeCell="X2" sqref="X2"/>
      <selection pane="bottomLeft" activeCell="AP18" sqref="AP11:AP18"/>
    </sheetView>
  </sheetViews>
  <sheetFormatPr baseColWidth="10" defaultRowHeight="16"/>
  <cols>
    <col min="1" max="1" width="6" bestFit="1" customWidth="1"/>
    <col min="2" max="2" width="28.5" bestFit="1" customWidth="1"/>
    <col min="3" max="3" width="4.5" customWidth="1"/>
    <col min="4" max="4" width="9" customWidth="1"/>
    <col min="5" max="5" width="11" hidden="1" customWidth="1"/>
    <col min="6" max="6" width="14.6640625" hidden="1" customWidth="1"/>
    <col min="7" max="7" width="12.5" hidden="1" customWidth="1"/>
    <col min="8" max="8" width="22.1640625" hidden="1" customWidth="1"/>
    <col min="9" max="9" width="20.83203125" hidden="1" customWidth="1"/>
    <col min="10" max="10" width="13.33203125" hidden="1" customWidth="1"/>
    <col min="11" max="12" width="13" hidden="1" customWidth="1"/>
    <col min="13" max="13" width="14" hidden="1" customWidth="1"/>
    <col min="14" max="14" width="15.6640625" hidden="1" customWidth="1"/>
    <col min="15" max="15" width="9.33203125" customWidth="1"/>
    <col min="16" max="16" width="7.5" customWidth="1"/>
    <col min="17" max="17" width="6" customWidth="1"/>
    <col min="18" max="18" width="6" bestFit="1" customWidth="1"/>
    <col min="19" max="19" width="7.5" bestFit="1" customWidth="1"/>
    <col min="20" max="20" width="59.1640625" customWidth="1"/>
    <col min="21" max="21" width="19.83203125" customWidth="1"/>
    <col min="22" max="22" width="6.33203125" customWidth="1"/>
    <col min="23" max="23" width="26.5" customWidth="1"/>
    <col min="24" max="24" width="22.1640625" customWidth="1"/>
    <col min="25" max="25" width="5.33203125" customWidth="1"/>
    <col min="26" max="26" width="7.1640625" bestFit="1" customWidth="1"/>
    <col min="27" max="27" width="28.1640625" customWidth="1"/>
    <col min="28" max="28" width="20.5" customWidth="1"/>
    <col min="29" max="29" width="17.6640625" bestFit="1" customWidth="1"/>
    <col min="30" max="30" width="38.6640625" customWidth="1"/>
    <col min="31" max="31" width="25" customWidth="1"/>
    <col min="32" max="32" width="32.5" customWidth="1"/>
    <col min="33" max="33" width="7" customWidth="1"/>
    <col min="34" max="34" width="22.6640625" bestFit="1" customWidth="1"/>
    <col min="35" max="36" width="8.1640625" bestFit="1" customWidth="1"/>
    <col min="37" max="37" width="12.83203125" customWidth="1"/>
    <col min="38" max="38" width="11.1640625" customWidth="1"/>
    <col min="39" max="39" width="14.33203125" customWidth="1"/>
    <col min="40" max="40" width="13.5" customWidth="1"/>
    <col min="41" max="41" width="8.6640625" customWidth="1"/>
    <col min="42" max="42" width="15.33203125" customWidth="1"/>
    <col min="43" max="43" width="14.33203125" bestFit="1" customWidth="1"/>
    <col min="44" max="44" width="10.6640625" customWidth="1"/>
    <col min="45" max="45" width="14" customWidth="1"/>
    <col min="47" max="47" width="10.33203125" bestFit="1" customWidth="1"/>
    <col min="48" max="48" width="12.1640625" customWidth="1"/>
    <col min="49" max="49" width="8" customWidth="1"/>
    <col min="50" max="50" width="15" customWidth="1"/>
    <col min="51" max="51" width="15" bestFit="1" customWidth="1"/>
    <col min="52" max="52" width="10.6640625" style="515" bestFit="1" customWidth="1"/>
    <col min="53" max="54" width="10.33203125" bestFit="1" customWidth="1"/>
    <col min="55" max="55" width="12.6640625" bestFit="1" customWidth="1"/>
    <col min="56" max="56" width="8" bestFit="1" customWidth="1"/>
    <col min="57" max="57" width="11.83203125" customWidth="1"/>
    <col min="58" max="58" width="11.6640625" bestFit="1" customWidth="1"/>
    <col min="59" max="59" width="14.33203125" bestFit="1" customWidth="1"/>
    <col min="60" max="60" width="92.1640625" bestFit="1" customWidth="1"/>
    <col min="61" max="61" width="35" style="242" customWidth="1"/>
    <col min="62" max="62" width="65.1640625" customWidth="1"/>
    <col min="63" max="63" width="21.83203125" customWidth="1"/>
    <col min="64" max="64" width="9.1640625" bestFit="1" customWidth="1"/>
    <col min="65" max="65" width="9.1640625" customWidth="1"/>
    <col min="66" max="66" width="9.33203125" bestFit="1" customWidth="1"/>
    <col min="67" max="67" width="9.1640625" bestFit="1" customWidth="1"/>
    <col min="68" max="68" width="8.33203125" bestFit="1" customWidth="1"/>
    <col min="69" max="69" width="6.33203125" bestFit="1" customWidth="1"/>
    <col min="70" max="70" width="9" bestFit="1" customWidth="1"/>
    <col min="71" max="71" width="6.33203125" bestFit="1" customWidth="1"/>
    <col min="72" max="73" width="16.5" customWidth="1"/>
  </cols>
  <sheetData>
    <row r="1" spans="1:270">
      <c r="E1" s="792" t="s">
        <v>616</v>
      </c>
      <c r="F1" s="792"/>
      <c r="G1" s="792"/>
      <c r="H1" s="792"/>
      <c r="I1" s="792"/>
      <c r="J1" s="792"/>
      <c r="K1" s="792"/>
      <c r="L1" s="792"/>
      <c r="M1" s="792"/>
      <c r="N1" s="792"/>
      <c r="AY1" s="515"/>
      <c r="AZ1"/>
      <c r="BD1" s="242"/>
      <c r="BI1"/>
    </row>
    <row r="2" spans="1:270" s="1" customFormat="1" ht="112" customHeight="1">
      <c r="A2" s="343" t="s">
        <v>556</v>
      </c>
      <c r="B2" s="343" t="s">
        <v>580</v>
      </c>
      <c r="C2" s="344" t="s">
        <v>615</v>
      </c>
      <c r="D2" s="343" t="s">
        <v>606</v>
      </c>
      <c r="E2" s="345" t="s">
        <v>613</v>
      </c>
      <c r="F2" s="345" t="s">
        <v>614</v>
      </c>
      <c r="G2" s="345" t="s">
        <v>536</v>
      </c>
      <c r="H2" s="345" t="s">
        <v>537</v>
      </c>
      <c r="I2" s="345" t="s">
        <v>538</v>
      </c>
      <c r="J2" s="345" t="s">
        <v>543</v>
      </c>
      <c r="K2" s="345" t="s">
        <v>603</v>
      </c>
      <c r="L2" s="345" t="s">
        <v>539</v>
      </c>
      <c r="M2" s="345" t="s">
        <v>540</v>
      </c>
      <c r="N2" s="345" t="s">
        <v>541</v>
      </c>
      <c r="O2" s="343" t="s">
        <v>612</v>
      </c>
      <c r="P2" s="346" t="s">
        <v>577</v>
      </c>
      <c r="R2" t="s">
        <v>556</v>
      </c>
      <c r="S2" s="96" t="s">
        <v>617</v>
      </c>
      <c r="T2" s="96" t="s">
        <v>619</v>
      </c>
      <c r="U2" s="96" t="s">
        <v>607</v>
      </c>
      <c r="Y2" s="1" t="s">
        <v>851</v>
      </c>
      <c r="Z2" t="s">
        <v>103</v>
      </c>
      <c r="AA2" s="99" t="s">
        <v>580</v>
      </c>
      <c r="AB2" s="99" t="s">
        <v>607</v>
      </c>
      <c r="AC2" s="99" t="s">
        <v>658</v>
      </c>
      <c r="AD2" t="s">
        <v>605</v>
      </c>
      <c r="AE2" s="1" t="s">
        <v>578</v>
      </c>
      <c r="AF2" s="95" t="s">
        <v>594</v>
      </c>
      <c r="AG2" s="95" t="s">
        <v>618</v>
      </c>
      <c r="AH2" s="1" t="s">
        <v>1156</v>
      </c>
      <c r="AI2" s="533" t="s">
        <v>972</v>
      </c>
      <c r="AJ2" s="533" t="s">
        <v>1096</v>
      </c>
      <c r="AK2" s="533" t="s">
        <v>962</v>
      </c>
      <c r="AL2" s="533" t="s">
        <v>963</v>
      </c>
      <c r="AM2" s="533" t="s">
        <v>1110</v>
      </c>
      <c r="AN2" s="533" t="s">
        <v>1112</v>
      </c>
      <c r="AO2" s="533" t="s">
        <v>1111</v>
      </c>
      <c r="AP2" s="533" t="s">
        <v>1099</v>
      </c>
      <c r="AQ2" s="533" t="s">
        <v>1100</v>
      </c>
      <c r="AR2" s="533" t="s">
        <v>1109</v>
      </c>
      <c r="AS2" s="533" t="s">
        <v>1164</v>
      </c>
      <c r="AT2" s="529" t="s">
        <v>1097</v>
      </c>
      <c r="AU2" s="529" t="s">
        <v>1103</v>
      </c>
      <c r="AV2" s="529" t="s">
        <v>538</v>
      </c>
      <c r="AW2" s="532" t="s">
        <v>1113</v>
      </c>
      <c r="AX2" s="529" t="s">
        <v>1091</v>
      </c>
      <c r="AY2" s="530" t="s">
        <v>541</v>
      </c>
      <c r="AZ2" s="529" t="s">
        <v>593</v>
      </c>
      <c r="BA2" s="529" t="s">
        <v>597</v>
      </c>
      <c r="BB2" s="529" t="s">
        <v>595</v>
      </c>
      <c r="BC2" s="529" t="s">
        <v>596</v>
      </c>
      <c r="BD2" s="243" t="s">
        <v>612</v>
      </c>
      <c r="BF2" s="452" t="s">
        <v>1023</v>
      </c>
      <c r="BG2" s="451" t="s">
        <v>1036</v>
      </c>
      <c r="CV2" s="1" t="s">
        <v>930</v>
      </c>
      <c r="CW2" s="411" t="str" cm="1">
        <f t="array" ref="CW2:CW3">_xlfn.UNIQUE(_xlfn._xlws.FILTER(TableAG[Тип монтажа], IF('Anod calculation'!$D$34="", TRUE, TableAG[Материал анода]='Anod calculation'!$D$34)))</f>
        <v>подповерхностный</v>
      </c>
      <c r="CX2" s="411" t="str" cm="1">
        <f t="array" ref="CX2:CX3">_xlfn.UNIQUE(_xlfn._xlws.FILTER(TableAG[Тип монтажа], IF('Anod calculation'!$E$34="", TRUE, TableAG[Материал анода]='Anod calculation'!$E$34)))</f>
        <v>подповерхностный</v>
      </c>
      <c r="CY2" s="411" t="str" cm="1">
        <f t="array" ref="CY2:CY3">_xlfn.UNIQUE(_xlfn._xlws.FILTER(TableAG[Тип монтажа], IF('Anod calculation'!$F$34="", TRUE, TableAG[Материал анода]='Anod calculation'!$F$34)))</f>
        <v>подповерхностный</v>
      </c>
      <c r="CZ2" s="411" t="str" cm="1">
        <f t="array" ref="CZ2:CZ3">_xlfn.UNIQUE(_xlfn._xlws.FILTER(TableAG[Тип монтажа], IF('Anod calculation'!$G$34="", TRUE, TableAG[Материал анода]='Anod calculation'!$G$34)))</f>
        <v>подповерхностный</v>
      </c>
      <c r="DA2" s="411" t="str" cm="1">
        <f t="array" ref="DA2:DA3">_xlfn.UNIQUE(_xlfn._xlws.FILTER(TableAG[Тип монтажа], IF('Anod calculation'!$H$34="", TRUE, TableAG[Материал анода]='Anod calculation'!$H$34)))</f>
        <v>подповерхностный</v>
      </c>
      <c r="DB2" s="411" t="str" cm="1">
        <f t="array" ref="DB2:DB4">_xlfn.UNIQUE(_xlfn._xlws.FILTER(TableAG[Тип монтажа], IF('Anod calculation'!$I$34="", TRUE, TableAG[Материал анода]='Anod calculation'!$I$34)))</f>
        <v>протяженный</v>
      </c>
      <c r="DC2" s="411" t="str" cm="1">
        <f t="array" ref="DC2">_xlfn.UNIQUE(_xlfn._xlws.FILTER(TableAG[Тип монтажа], IF('Anod calculation'!$J$34="", TRUE, TableAG[Материал анода]='Anod calculation'!$J$34)))</f>
        <v>протяженный</v>
      </c>
      <c r="DD2" s="411" t="str" cm="1">
        <f t="array" ref="DD2:DD3">_xlfn.UNIQUE(_xlfn._xlws.FILTER(TableAG[Тип монтажа], IF('Anod calculation'!$K$34="", TRUE, TableAG[Материал анода]='Anod calculation'!$K$34)))</f>
        <v>подповерхностный</v>
      </c>
      <c r="DE2" s="411" t="str" cm="1">
        <f t="array" ref="DE2:DE3">_xlfn.UNIQUE(_xlfn._xlws.FILTER(TableAG[Тип монтажа], IF('Anod calculation'!$L$34="", TRUE, TableAG[Материал анода]='Anod calculation'!$L$34)))</f>
        <v>подповерхностный</v>
      </c>
      <c r="DF2" s="411" t="str" cm="1">
        <f t="array" ref="DF2:DF4">_xlfn.UNIQUE(_xlfn._xlws.FILTER(TableAG[Тип монтажа], IF('Anod calculation'!$M$34="", TRUE, TableAG[Материал анода]='Anod calculation'!$M$34)))</f>
        <v>протяженный</v>
      </c>
      <c r="DG2" s="412" t="str" cm="1">
        <f t="array" ref="DG2:DG4">_xlfn.UNIQUE(_xlfn._xlws.FILTER(ТаблицаМонтаж[Способ монтажа], IF('Anod calculation'!$D$35="", TRUE, ТаблицаМонтаж[Тип монтажа]='Anod calculation'!$D$35)))</f>
        <v>глубинный без активатора</v>
      </c>
      <c r="DH2" s="412" t="str" cm="1">
        <f t="array" ref="DH2:DH4">_xlfn.UNIQUE(_xlfn._xlws.FILTER(ТаблицаМонтаж[Способ монтажа], IF('Anod calculation'!$E$35="", TRUE, ТаблицаМонтаж[Тип монтажа]='Anod calculation'!$E$35)))</f>
        <v>глубинный без активатора</v>
      </c>
      <c r="DI2" s="412" t="str" cm="1">
        <f t="array" ref="DI2:DI5">_xlfn.UNIQUE(_xlfn._xlws.FILTER(ТаблицаМонтаж[Способ монтажа], IF('Anod calculation'!$F$35="", TRUE, ТаблицаМонтаж[Тип монтажа]='Anod calculation'!$F$35)))</f>
        <v>подповерхностный вертикальный</v>
      </c>
      <c r="DJ2" s="413" t="str" cm="1">
        <f t="array" ref="DJ2:DJ5">_xlfn.UNIQUE(_xlfn._xlws.FILTER(ТаблицаМонтаж[Способ монтажа], IF('Anod calculation'!$G$35="", TRUE, ТаблицаМонтаж[Тип монтажа]='Anod calculation'!$G$35)))</f>
        <v>подповерхностный вертикальный</v>
      </c>
      <c r="DK2" s="413" t="str" cm="1">
        <f t="array" ref="DK2:DK5">_xlfn.UNIQUE(_xlfn._xlws.FILTER(ТаблицаМонтаж[Способ монтажа], IF('Anod calculation'!$H$35="", TRUE, ТаблицаМонтаж[Тип монтажа]='Anod calculation'!$H$35)))</f>
        <v>подповерхностный вертикальный</v>
      </c>
      <c r="DL2" s="412" t="str" cm="1">
        <f t="array" ref="DL2:DL3">_xlfn.UNIQUE(_xlfn._xlws.FILTER(ТаблицаМонтаж[Способ монтажа], IF('Anod calculation'!$I$35="", TRUE, ТаблицаМонтаж[Тип монтажа]='Anod calculation'!$I$35)))</f>
        <v>подповерхностный протяженный lэ&gt;12h</v>
      </c>
      <c r="DM2" s="412" t="str" cm="1">
        <f t="array" ref="DM2:DM3">_xlfn.UNIQUE(_xlfn._xlws.FILTER(ТаблицаМонтаж[Способ монтажа], IF('Anod calculation'!$J$35="", TRUE, ТаблицаМонтаж[Тип монтажа]='Anod calculation'!$J$35)))</f>
        <v>подповерхностный протяженный lэ&gt;12h</v>
      </c>
      <c r="DN2" s="412" t="str" cm="1">
        <f t="array" ref="DN2:DN4">_xlfn.UNIQUE(_xlfn._xlws.FILTER(ТаблицаМонтаж[Способ монтажа], IF('Anod calculation'!$K$35="", TRUE, ТаблицаМонтаж[Тип монтажа]='Anod calculation'!$K$35)))</f>
        <v>глубинный без активатора</v>
      </c>
      <c r="DO2" s="412" t="str" cm="1">
        <f t="array" ref="DO2:DO4">_xlfn.UNIQUE(_xlfn._xlws.FILTER(ТаблицаМонтаж[Способ монтажа], IF('Anod calculation'!$L$35="", TRUE, ТаблицаМонтаж[Тип монтажа]='Anod calculation'!$L$35)))</f>
        <v>глубинный без активатора</v>
      </c>
      <c r="DP2" s="412" t="str" cm="1">
        <f t="array" ref="DP2:DP3">_xlfn.UNIQUE(_xlfn._xlws.FILTER(ТаблицаМонтаж[Способ монтажа], IF('Anod calculation'!$M$35="", TRUE, ТаблицаМонтаж[Тип монтажа]='Anod calculation'!$M$35)))</f>
        <v>подповерхностный протяженный lэ&gt;12h</v>
      </c>
      <c r="DQ2" s="414" t="str" cm="1">
        <f t="array" ref="DQ2:DQ3">_xlfn.UNIQUE(_xlfn._xlws.FILTER(TableAG[Комплектация], IF('Anod calculation'!$D$34="", TRUE, TableAG[Материал анода]='Anod calculation'!$D$34) * IF('Anod calculation'!$D$35="", TRUE, TableAG[Тип монтажа]='Anod calculation'!$D$35)))</f>
        <v>некомплектный</v>
      </c>
      <c r="DR2" s="414" t="str" cm="1">
        <f t="array" ref="DR2:DR3">_xlfn.UNIQUE(_xlfn._xlws.FILTER(TableAG[Комплектация], IF('Anod calculation'!$E$34="", TRUE, TableAG[Материал анода]='Anod calculation'!$E$34) * IF('Anod calculation'!$E$35="", TRUE, TableAG[Тип монтажа]='Anod calculation'!$E$35)))</f>
        <v>некомплектный</v>
      </c>
      <c r="DS2" s="414" t="str" cm="1">
        <f t="array" ref="DS2:DS3">_xlfn.UNIQUE(_xlfn._xlws.FILTER(TableAG[Комплектация], IF('Anod calculation'!$F$34="", TRUE, TableAG[Материал анода]='Anod calculation'!$F$34) * IF('Anod calculation'!$F$35="", TRUE, TableAG[Тип монтажа]='Anod calculation'!$F$35)))</f>
        <v>некомплектный</v>
      </c>
      <c r="DT2" s="414" t="str" cm="1">
        <f t="array" ref="DT2:DT3">_xlfn.UNIQUE(_xlfn._xlws.FILTER(TableAG[Комплектация], IF('Anod calculation'!$G$34="", TRUE, TableAG[Материал анода]='Anod calculation'!$G$34) * IF('Anod calculation'!$G$35="", TRUE, TableAG[Тип монтажа]='Anod calculation'!$G$35)))</f>
        <v>некомплектный</v>
      </c>
      <c r="DU2" s="414" t="str" cm="1">
        <f t="array" ref="DU2:DU3">_xlfn.UNIQUE(_xlfn._xlws.FILTER(TableAG[Комплектация], IF('Anod calculation'!$H$34="", TRUE, TableAG[Материал анода]='Anod calculation'!$H$34) * IF('Anod calculation'!$H$35="", TRUE, TableAG[Тип монтажа]='Anod calculation'!$H$35)))</f>
        <v>некомплектный</v>
      </c>
      <c r="DV2" s="414" t="str" cm="1">
        <f t="array" ref="DV2:DV3">_xlfn.UNIQUE(_xlfn._xlws.FILTER(TableAG[Комплектация], IF('Anod calculation'!$I$34="", TRUE, TableAG[Материал анода]='Anod calculation'!$I$34) * IF('Anod calculation'!$I$35="", TRUE, TableAG[Тип монтажа]='Anod calculation'!$I$35)))</f>
        <v>комплектный</v>
      </c>
      <c r="DW2" s="414" t="str" cm="1">
        <f t="array" ref="DW2">_xlfn.UNIQUE(_xlfn._xlws.FILTER(TableAG[Комплектация], IF('Anod calculation'!$J$34="", TRUE, TableAG[Материал анода]='Anod calculation'!$J$34) * IF('Anod calculation'!$J$35="", TRUE, TableAG[Тип монтажа]='Anod calculation'!$J$35)))</f>
        <v>комплектный</v>
      </c>
      <c r="DX2" s="414" t="str" cm="1">
        <f t="array" ref="DX2:DX3">_xlfn.UNIQUE(_xlfn._xlws.FILTER(TableAG[Комплектация], IF('Anod calculation'!$K$34="", TRUE, TableAG[Материал анода]='Anod calculation'!$K$34) * IF('Anod calculation'!$K$35="", TRUE, TableAG[Тип монтажа]='Anod calculation'!$K$35)))</f>
        <v>некомплектный</v>
      </c>
      <c r="DY2" s="414" t="str" cm="1">
        <f t="array" ref="DY2:DY3">_xlfn.UNIQUE(_xlfn._xlws.FILTER(TableAG[Комплектация], IF('Anod calculation'!$L$34="", TRUE, TableAG[Материал анода]='Anod calculation'!$L$34) * IF('Anod calculation'!$L$35="", TRUE, TableAG[Тип монтажа]='Anod calculation'!$L$35)))</f>
        <v>некомплектный</v>
      </c>
      <c r="DZ2" s="414" t="str" cm="1">
        <f t="array" ref="DZ2:DZ3">_xlfn.UNIQUE(_xlfn._xlws.FILTER(TableAG[Комплектация], IF('Anod calculation'!$M$34="", TRUE, TableAG[Материал анода]='Anod calculation'!$M$34) * IF('Anod calculation'!$M$35="", TRUE, TableAG[Тип монтажа]='Anod calculation'!$M$35)))</f>
        <v>комплектный</v>
      </c>
      <c r="EA2" s="415" t="str" cm="1">
        <f t="array" ref="EA2:EA3">_xlfn._xlws.FILTER(TableAG[Model], IF('Anod calculation'!$D$34="", TRUE, TableAG[Материал анода]='Anod calculation'!$D$34) * IF('Anod calculation'!$D$35="", TRUE, TableAG[Тип монтажа]='Anod calculation'!$D$35) * IF('Anod calculation'!$D$37="", TRUE, TableAG[Комплектация]='Anod calculation'!$D$37))</f>
        <v>ГАЗ.ПТМ.Ф.К (24)</v>
      </c>
      <c r="EB2" s="415" t="str" cm="1">
        <f t="array" ref="EB2">_xlfn._xlws.FILTER(TableAG[Model], IF('Anod calculation'!$E$34="", TRUE, TableAG[Материал анода]='Anod calculation'!$E$34) * IF('Anod calculation'!$E$35="", TRUE, TableAG[Тип монтажа]='Anod calculation'!$E$35) * IF('Anod calculation'!$E$37="", TRUE, TableAG[Комплектация]='Anod calculation'!$E$37))</f>
        <v>ГАЗ.ПТМ.Т.К</v>
      </c>
      <c r="EC2" s="415" t="str" cm="1">
        <f t="array" ref="EC2">_xlfn._xlws.FILTER(TableAG[Model], IF('Anod calculation'!$F$34="", TRUE, TableAG[Материал анода]='Anod calculation'!$F$34) * IF('Anod calculation'!$F$35="", TRUE, TableAG[Тип монтажа]='Anod calculation'!$F$35) * IF('Anod calculation'!$F$37="", TRUE, TableAG[Комплектация]='Anod calculation'!$F$37))</f>
        <v>ПАЗ.ПТМ.М</v>
      </c>
      <c r="ED2" s="415" t="str" cm="1">
        <f t="array" ref="ED2">_xlfn._xlws.FILTER(TableAG[Model], IF('Anod calculation'!$G$34="", TRUE, TableAG[Материал анода]='Anod calculation'!$G$34) * IF('Anod calculation'!$G$35="", TRUE, TableAG[Тип монтажа]='Anod calculation'!$G$35) * IF('Anod calculation'!$G$37="", TRUE, TableAG[Комплектация]='Anod calculation'!$G$37))</f>
        <v>ПАЗ.ПТМ.Т</v>
      </c>
      <c r="EE2" s="415" t="str" cm="1">
        <f t="array" ref="EE2">_xlfn._xlws.FILTER(TableAG[Model], IF('Anod calculation'!$H$34="", TRUE, TableAG[Материал анода]='Anod calculation'!$H$34) * IF('Anod calculation'!$H$35="", TRUE, TableAG[Тип монтажа]='Anod calculation'!$H$35) * IF('Anod calculation'!$H$37="", TRUE, TableAG[Комплектация]='Anod calculation'!$H$37))</f>
        <v>ПАЗ.ПТМ.М.К</v>
      </c>
      <c r="EF2" s="415" t="str" cm="1">
        <f t="array" ref="EF2:EF9">_xlfn._xlws.FILTER(TableAG[Model], IF('Anod calculation'!$I$34="", TRUE, TableAG[Материал анода]='Anod calculation'!$I$34) * IF('Anod calculation'!$I$35="", TRUE, TableAG[Тип монтажа]='Anod calculation'!$I$35) * IF('Anod calculation'!$I$37="", TRUE, TableAG[Комплектация]='Anod calculation'!$I$37))</f>
        <v>АПр Тип 1</v>
      </c>
      <c r="EG2" s="415" t="str" cm="1">
        <f t="array" ref="EG2">_xlfn._xlws.FILTER(TableAG[Model], IF('Anod calculation'!$J$34="", TRUE, TableAG[Материал анода]='Anod calculation'!$J$34) * IF('Anod calculation'!$J$35="", TRUE, TableAG[Тип монтажа]='Anod calculation'!$J$35) * IF('Anod calculation'!$J$37="", TRUE, TableAG[Комплектация]='Anod calculation'!$J$37))</f>
        <v>АПр Тип 2</v>
      </c>
      <c r="EH2" s="415" t="str" cm="1">
        <f t="array" ref="EH2">_xlfn._xlws.FILTER(TableAG[Model], IF('Anod calculation'!$K$34="", TRUE, TableAG[Материал анода]='Anod calculation'!$K$34) * IF('Anod calculation'!$K$35="", TRUE, TableAG[Тип монтажа]='Anod calculation'!$K$35) * IF('Anod calculation'!$K$37="", TRUE, TableAG[Комплектация]='Anod calculation'!$K$37))</f>
        <v>ГАЗ.ПТМ.Т.К</v>
      </c>
      <c r="EI2" s="415" t="str" cm="1">
        <f t="array" ref="EI2">_xlfn._xlws.FILTER(TableAG[Model], IF('Anod calculation'!$L$34="", TRUE, TableAG[Материал анода]='Anod calculation'!$L$34) * IF('Anod calculation'!$L$35="", TRUE, TableAG[Тип монтажа]='Anod calculation'!$L$35) * IF('Anod calculation'!$L$37="", TRUE, TableAG[Комплектация]='Anod calculation'!$L$37))</f>
        <v>ГАЗ.ПТМ.Т</v>
      </c>
      <c r="EJ2" s="415" t="str" cm="1">
        <f t="array" ref="EJ2">_xlfn._xlws.FILTER(TableAG[Model], IF('Anod calculation'!$M$34="", TRUE, TableAG[Материал анода]='Anod calculation'!$M$34) * IF('Anod calculation'!$M$35="", TRUE, TableAG[Тип монтажа]='Anod calculation'!$M$35) * IF('Anod calculation'!$M$37="", TRUE, TableAG[Комплектация]='Anod calculation'!$M$37))</f>
        <v>АПр Тип 1 (тестовый, длина 20 м, без засыпки) (²,³)</v>
      </c>
      <c r="EK2" s="126"/>
      <c r="EL2" s="126"/>
      <c r="EM2" s="405"/>
      <c r="EN2" s="142"/>
      <c r="EO2" s="126"/>
      <c r="EP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K2" s="126"/>
      <c r="GL2" s="126"/>
      <c r="GM2" s="126"/>
      <c r="GN2" s="126"/>
      <c r="GO2" s="126"/>
      <c r="GP2" s="126"/>
      <c r="GQ2" s="126"/>
      <c r="GR2" s="126"/>
      <c r="GS2" s="126"/>
      <c r="GT2" s="126"/>
      <c r="GU2" s="126"/>
      <c r="GV2" s="126"/>
      <c r="GW2" s="126"/>
      <c r="GX2" s="126"/>
      <c r="GY2" s="126"/>
      <c r="GZ2" s="126"/>
      <c r="HA2" s="126"/>
      <c r="HB2" s="126"/>
      <c r="HC2" s="126"/>
      <c r="HD2" s="126"/>
      <c r="HE2" s="126"/>
      <c r="HF2" s="126"/>
      <c r="HG2" s="126"/>
      <c r="HH2" s="126"/>
      <c r="HI2" s="126"/>
      <c r="HJ2" s="126"/>
      <c r="HK2" s="126"/>
      <c r="HL2" s="126"/>
      <c r="HM2" s="126"/>
      <c r="HN2" s="126"/>
      <c r="HO2" s="126"/>
      <c r="HP2" s="126"/>
      <c r="HQ2" s="126"/>
      <c r="HR2" s="126"/>
      <c r="HS2" s="126"/>
      <c r="HT2" s="126"/>
      <c r="HU2" s="126"/>
      <c r="HV2" s="126"/>
      <c r="HW2" s="126"/>
      <c r="HX2" s="126"/>
      <c r="HY2" s="126"/>
      <c r="HZ2" s="126"/>
      <c r="IA2" s="126"/>
      <c r="IB2" s="126"/>
      <c r="IC2" s="126"/>
      <c r="ID2" s="126"/>
      <c r="IE2" s="126"/>
      <c r="IF2" s="126"/>
      <c r="IG2" s="126"/>
      <c r="IH2" s="126"/>
      <c r="II2" s="126"/>
      <c r="IJ2" s="126"/>
      <c r="IK2" s="126"/>
      <c r="IL2" s="126"/>
      <c r="IM2" s="126"/>
      <c r="IN2" s="126"/>
      <c r="IO2" s="126"/>
      <c r="IP2" s="126"/>
      <c r="IQ2" s="126"/>
      <c r="IR2" s="126"/>
      <c r="IS2" s="126"/>
      <c r="IT2" s="126"/>
      <c r="IU2" s="126"/>
      <c r="IV2" s="126"/>
      <c r="IW2" s="126"/>
      <c r="IX2" s="126"/>
      <c r="IY2" s="126"/>
      <c r="IZ2" s="126"/>
      <c r="JA2" s="126"/>
      <c r="JB2" s="126"/>
      <c r="JC2" s="126"/>
      <c r="JD2" s="126"/>
      <c r="JE2" s="126"/>
      <c r="JF2" s="126"/>
      <c r="JG2" s="126"/>
      <c r="JH2" s="126"/>
      <c r="JI2" s="126"/>
      <c r="JJ2" s="126"/>
    </row>
    <row r="3" spans="1:270" s="1" customFormat="1">
      <c r="A3" s="347"/>
      <c r="B3" s="126" t="str" cm="1">
        <f t="array" ref="B3:B11">_xlfn.UNIQUE(TableAG[Материал анода])</f>
        <v>Электропроводящий полимер</v>
      </c>
      <c r="C3" s="348"/>
      <c r="D3" s="348"/>
      <c r="E3" s="348"/>
      <c r="F3" s="348"/>
      <c r="G3" s="348"/>
      <c r="H3" s="348"/>
      <c r="I3" s="348"/>
      <c r="J3" s="348"/>
      <c r="K3" s="348"/>
      <c r="L3" s="348"/>
      <c r="M3" s="348"/>
      <c r="N3" s="348"/>
      <c r="O3" s="348"/>
      <c r="P3" s="349"/>
      <c r="R3">
        <v>1</v>
      </c>
      <c r="S3" s="96" t="s">
        <v>576</v>
      </c>
      <c r="T3" s="144" t="s">
        <v>664</v>
      </c>
      <c r="U3" s="96" t="s">
        <v>582</v>
      </c>
      <c r="Z3" s="68">
        <v>1</v>
      </c>
      <c r="AA3" s="203" t="s">
        <v>860</v>
      </c>
      <c r="AB3" s="203" t="s">
        <v>585</v>
      </c>
      <c r="AC3" s="203" t="s">
        <v>584</v>
      </c>
      <c r="AD3" s="205" t="s">
        <v>590</v>
      </c>
      <c r="AE3" s="205" t="s">
        <v>581</v>
      </c>
      <c r="AF3" s="245" t="s">
        <v>815</v>
      </c>
      <c r="AG3" s="204"/>
      <c r="AH3" s="250" t="s">
        <v>817</v>
      </c>
      <c r="AI3" s="206">
        <f>13/1000</f>
        <v>1.2999999999999999E-2</v>
      </c>
      <c r="AJ3" s="206">
        <v>200</v>
      </c>
      <c r="AK3" s="206">
        <f t="shared" ref="AK3:AK10" si="0">45/1000</f>
        <v>4.4999999999999998E-2</v>
      </c>
      <c r="AL3" s="379">
        <v>200</v>
      </c>
      <c r="AM3" s="207"/>
      <c r="AN3" s="379">
        <v>0.35</v>
      </c>
      <c r="AO3" s="208"/>
      <c r="AP3" s="208">
        <v>0.67</v>
      </c>
      <c r="AQ3" s="208">
        <v>0.5</v>
      </c>
      <c r="AR3" s="527">
        <v>0.1</v>
      </c>
      <c r="AS3" s="528">
        <v>1.4</v>
      </c>
      <c r="AT3" s="527">
        <v>1.5999999999999999E-5</v>
      </c>
      <c r="AU3" s="473">
        <v>2.7</v>
      </c>
      <c r="AV3" s="208">
        <f>TableAG[[#This Row],[Диаметр электрода заземлителя (dэ, м)]]*PI()*TableAG[[#This Row],[Удельная токовая нагрузка заземлителя, не более (Iа, А/м^2)]]*5</f>
        <v>1.0210176124166827E-2</v>
      </c>
      <c r="AW3" s="208">
        <v>0.05</v>
      </c>
      <c r="AX3" s="208">
        <v>0.12</v>
      </c>
      <c r="AY3" s="385">
        <v>25</v>
      </c>
      <c r="AZ3" s="208"/>
      <c r="BA3" s="208"/>
      <c r="BB3" s="208"/>
      <c r="BC3" s="209">
        <v>96</v>
      </c>
      <c r="BD3" s="241" t="s">
        <v>816</v>
      </c>
      <c r="BG3" s="450" t="s">
        <v>1037</v>
      </c>
      <c r="CW3" s="1" t="str">
        <v>глубинный</v>
      </c>
      <c r="CX3" s="1" t="str">
        <v>глубинный</v>
      </c>
      <c r="CY3" s="1" t="str">
        <v>глубинный</v>
      </c>
      <c r="CZ3" s="1" t="str">
        <v>глубинный</v>
      </c>
      <c r="DA3" s="1" t="str">
        <v>глубинный</v>
      </c>
      <c r="DB3" s="1" t="str">
        <v>подповерхностный</v>
      </c>
      <c r="DD3" s="1" t="str">
        <v>глубинный</v>
      </c>
      <c r="DE3" s="1" t="str">
        <v>глубинный</v>
      </c>
      <c r="DF3" s="1" t="str">
        <v>подповерхностный</v>
      </c>
      <c r="DG3" s="1" t="str">
        <v>глубинный с выходом торца на поверхность с активатором</v>
      </c>
      <c r="DH3" s="1" t="str">
        <v>глубинный с выходом торца на поверхность с активатором</v>
      </c>
      <c r="DI3" s="1" t="str">
        <v>подповерхностный горизонтальный lэ&lt;h</v>
      </c>
      <c r="DJ3" s="1" t="str">
        <v>подповерхностный горизонтальный lэ&lt;h</v>
      </c>
      <c r="DK3" s="1" t="str">
        <v>подповерхностный горизонтальный lэ&lt;h</v>
      </c>
      <c r="DL3" s="1" t="str">
        <v>подповерхностный протяженный с активатором lэ&gt;12h</v>
      </c>
      <c r="DM3" s="1" t="str">
        <v>подповерхностный протяженный с активатором lэ&gt;12h</v>
      </c>
      <c r="DN3" s="1" t="str">
        <v>глубинный с выходом торца на поверхность с активатором</v>
      </c>
      <c r="DO3" s="1" t="str">
        <v>глубинный с выходом торца на поверхность с активатором</v>
      </c>
      <c r="DP3" s="1" t="str">
        <v>подповерхностный протяженный с активатором lэ&gt;12h</v>
      </c>
      <c r="DQ3" s="1" t="str">
        <v>комплектный</v>
      </c>
      <c r="DR3" s="1" t="str">
        <v>комплектный</v>
      </c>
      <c r="DS3" s="1" t="str">
        <v>комплектный</v>
      </c>
      <c r="DT3" s="1" t="str">
        <v>комплектный</v>
      </c>
      <c r="DU3" s="1" t="str">
        <v>комплектный</v>
      </c>
      <c r="DV3" s="1" t="str">
        <v>некомплектный</v>
      </c>
      <c r="DX3" s="1" t="str">
        <v>комплектный</v>
      </c>
      <c r="DY3" s="1" t="str">
        <v>комплектный</v>
      </c>
      <c r="DZ3" s="1" t="str">
        <v>некомплектный</v>
      </c>
      <c r="EA3" s="1" t="str">
        <v>ГАЗ.ПТМ.Ф.К (43)</v>
      </c>
      <c r="EF3" s="1" t="str">
        <v>АЗПр тип 1 (I)</v>
      </c>
    </row>
    <row r="4" spans="1:270" s="1" customFormat="1">
      <c r="A4" s="343"/>
      <c r="B4" s="348" t="str">
        <v>Титан ММО</v>
      </c>
      <c r="C4" s="350"/>
      <c r="D4" s="350"/>
      <c r="E4" s="350"/>
      <c r="F4" s="350"/>
      <c r="G4" s="350"/>
      <c r="H4" s="350"/>
      <c r="I4" s="350"/>
      <c r="J4" s="350"/>
      <c r="K4" s="350"/>
      <c r="L4" s="350"/>
      <c r="M4" s="350"/>
      <c r="N4" s="350"/>
      <c r="O4" s="350"/>
      <c r="P4" s="351"/>
      <c r="R4">
        <v>2</v>
      </c>
      <c r="S4" s="96" t="s">
        <v>576</v>
      </c>
      <c r="T4" s="144" t="s">
        <v>665</v>
      </c>
      <c r="U4" s="96" t="s">
        <v>582</v>
      </c>
      <c r="Z4" s="91">
        <v>2</v>
      </c>
      <c r="AA4" s="467" t="s">
        <v>859</v>
      </c>
      <c r="AB4" s="467" t="s">
        <v>585</v>
      </c>
      <c r="AC4" s="468" t="s">
        <v>584</v>
      </c>
      <c r="AD4" s="469" t="s">
        <v>590</v>
      </c>
      <c r="AE4" s="467" t="s">
        <v>581</v>
      </c>
      <c r="AF4" s="470" t="s">
        <v>815</v>
      </c>
      <c r="AG4" s="471"/>
      <c r="AH4" s="472" t="s">
        <v>819</v>
      </c>
      <c r="AI4" s="210">
        <v>3.0000000000000001E-3</v>
      </c>
      <c r="AJ4" s="210">
        <v>200</v>
      </c>
      <c r="AK4" s="210">
        <f t="shared" si="0"/>
        <v>4.4999999999999998E-2</v>
      </c>
      <c r="AL4" s="210">
        <v>200</v>
      </c>
      <c r="AM4" s="210"/>
      <c r="AN4" s="210">
        <v>0.01</v>
      </c>
      <c r="AO4" s="473"/>
      <c r="AP4" s="473">
        <v>5.6000000000000004E-7</v>
      </c>
      <c r="AQ4" s="208">
        <v>0.5</v>
      </c>
      <c r="AR4" s="527">
        <v>0.9</v>
      </c>
      <c r="AS4" s="534">
        <v>0.35</v>
      </c>
      <c r="AT4" s="527"/>
      <c r="AU4" s="473"/>
      <c r="AV4" s="208"/>
      <c r="AW4" s="210">
        <v>100</v>
      </c>
      <c r="AX4" s="473">
        <v>1.35</v>
      </c>
      <c r="AY4" s="255">
        <v>30</v>
      </c>
      <c r="AZ4" s="473"/>
      <c r="BA4" s="473"/>
      <c r="BB4" s="473"/>
      <c r="BC4" s="525">
        <v>7.5</v>
      </c>
      <c r="BD4" s="474" t="s">
        <v>818</v>
      </c>
      <c r="BG4" s="450" t="s">
        <v>1038</v>
      </c>
      <c r="DB4" s="1" t="str">
        <v>глубинный</v>
      </c>
      <c r="DF4" s="1" t="str">
        <v>глубинный</v>
      </c>
      <c r="DG4" s="1" t="str">
        <v>глубинный без выхода торца на поверхность с активатором</v>
      </c>
      <c r="DH4" s="1" t="str">
        <v>глубинный без выхода торца на поверхность с активатором</v>
      </c>
      <c r="DI4" s="1" t="str">
        <v>подповерхностный комбинированный</v>
      </c>
      <c r="DJ4" s="1" t="str">
        <v>подповерхностный комбинированный</v>
      </c>
      <c r="DK4" s="1" t="str">
        <v>подповерхностный комбинированный</v>
      </c>
      <c r="DN4" s="1" t="str">
        <v>глубинный без выхода торца на поверхность с активатором</v>
      </c>
      <c r="DO4" s="1" t="str">
        <v>глубинный без выхода торца на поверхность с активатором</v>
      </c>
      <c r="EF4" s="1" t="str">
        <v>АЗПр тип 1 (II)</v>
      </c>
    </row>
    <row r="5" spans="1:270" s="1" customFormat="1">
      <c r="A5" s="352"/>
      <c r="B5" s="350" t="str">
        <v>Ферросилид</v>
      </c>
      <c r="C5" s="353"/>
      <c r="D5" s="353"/>
      <c r="E5" s="353"/>
      <c r="F5" s="353"/>
      <c r="G5" s="353"/>
      <c r="H5" s="353"/>
      <c r="I5" s="353"/>
      <c r="J5" s="353"/>
      <c r="K5" s="353"/>
      <c r="L5" s="353"/>
      <c r="M5" s="354"/>
      <c r="N5" s="353"/>
      <c r="O5" s="353"/>
      <c r="P5" s="355"/>
      <c r="R5">
        <v>3</v>
      </c>
      <c r="S5" s="96" t="s">
        <v>576</v>
      </c>
      <c r="T5" s="144" t="s">
        <v>666</v>
      </c>
      <c r="U5" s="96" t="s">
        <v>582</v>
      </c>
      <c r="Z5" s="68">
        <v>3</v>
      </c>
      <c r="AA5" s="203" t="s">
        <v>860</v>
      </c>
      <c r="AB5" s="203" t="s">
        <v>585</v>
      </c>
      <c r="AC5" s="203" t="s">
        <v>584</v>
      </c>
      <c r="AD5" s="205" t="s">
        <v>820</v>
      </c>
      <c r="AE5" s="208" t="s">
        <v>581</v>
      </c>
      <c r="AF5" s="245" t="s">
        <v>598</v>
      </c>
      <c r="AG5" s="202"/>
      <c r="AH5" s="250" t="s">
        <v>821</v>
      </c>
      <c r="AI5" s="206">
        <f>11/1000</f>
        <v>1.0999999999999999E-2</v>
      </c>
      <c r="AJ5" s="206">
        <v>200</v>
      </c>
      <c r="AK5" s="206">
        <f t="shared" si="0"/>
        <v>4.4999999999999998E-2</v>
      </c>
      <c r="AL5" s="379">
        <v>200</v>
      </c>
      <c r="AM5" s="207">
        <v>0.55500000000000005</v>
      </c>
      <c r="AN5" s="379">
        <f>(0.1+0.6)/2</f>
        <v>0.35</v>
      </c>
      <c r="AO5" s="208">
        <v>0.03</v>
      </c>
      <c r="AP5" s="208">
        <v>0.67</v>
      </c>
      <c r="AQ5" s="208">
        <v>0.5</v>
      </c>
      <c r="AR5" s="527">
        <v>8.5000000000000006E-2</v>
      </c>
      <c r="AS5" s="528"/>
      <c r="AT5" s="527"/>
      <c r="AU5" s="211"/>
      <c r="AV5" s="208"/>
      <c r="AW5" s="208">
        <v>0.05</v>
      </c>
      <c r="AX5" s="208">
        <v>0.05</v>
      </c>
      <c r="AY5" s="385">
        <v>30</v>
      </c>
      <c r="AZ5" s="211"/>
      <c r="BA5" s="211"/>
      <c r="BB5" s="211"/>
      <c r="BC5" s="209"/>
      <c r="BD5" s="241" t="s">
        <v>816</v>
      </c>
      <c r="DI5" s="1" t="str">
        <v>подповерхностный горизонтальный lэ&gt;h и lэ&gt;&gt;dэ c активатором</v>
      </c>
      <c r="DJ5" s="1" t="str">
        <v>подповерхностный горизонтальный lэ&gt;h и lэ&gt;&gt;dэ c активатором</v>
      </c>
      <c r="DK5" s="1" t="str">
        <v>подповерхностный горизонтальный lэ&gt;h и lэ&gt;&gt;dэ c активатором</v>
      </c>
      <c r="EF5" s="1" t="str">
        <v>АЗПр тип 1 (III)</v>
      </c>
    </row>
    <row r="6" spans="1:270" s="1" customFormat="1">
      <c r="A6" s="343"/>
      <c r="B6" s="353" t="str">
        <v>Магнетит</v>
      </c>
      <c r="C6" s="350"/>
      <c r="D6" s="350"/>
      <c r="E6" s="350"/>
      <c r="F6" s="350"/>
      <c r="G6" s="350"/>
      <c r="H6" s="350"/>
      <c r="I6" s="350"/>
      <c r="J6" s="350"/>
      <c r="K6" s="350"/>
      <c r="L6" s="350"/>
      <c r="M6" s="356"/>
      <c r="N6" s="350"/>
      <c r="O6" s="350"/>
      <c r="P6" s="351"/>
      <c r="R6">
        <v>4</v>
      </c>
      <c r="S6" s="96" t="s">
        <v>576</v>
      </c>
      <c r="T6" s="144" t="s">
        <v>670</v>
      </c>
      <c r="U6" s="96" t="s">
        <v>582</v>
      </c>
      <c r="Z6" s="68">
        <v>4</v>
      </c>
      <c r="AA6" s="203" t="s">
        <v>860</v>
      </c>
      <c r="AB6" s="203" t="s">
        <v>585</v>
      </c>
      <c r="AC6" s="203" t="s">
        <v>584</v>
      </c>
      <c r="AD6" s="205" t="s">
        <v>820</v>
      </c>
      <c r="AE6" s="208" t="s">
        <v>581</v>
      </c>
      <c r="AF6" s="245" t="s">
        <v>598</v>
      </c>
      <c r="AG6" s="202"/>
      <c r="AH6" s="250" t="s">
        <v>822</v>
      </c>
      <c r="AI6" s="206">
        <f>13/1000</f>
        <v>1.2999999999999999E-2</v>
      </c>
      <c r="AJ6" s="206">
        <v>200</v>
      </c>
      <c r="AK6" s="206">
        <f t="shared" si="0"/>
        <v>4.4999999999999998E-2</v>
      </c>
      <c r="AL6" s="379">
        <v>200</v>
      </c>
      <c r="AM6" s="207">
        <v>0.55500000000000005</v>
      </c>
      <c r="AN6" s="379">
        <f t="shared" ref="AN6:AN10" si="1">(0.1+0.6)/2</f>
        <v>0.35</v>
      </c>
      <c r="AO6" s="208">
        <v>0.03</v>
      </c>
      <c r="AP6" s="208">
        <v>0.67</v>
      </c>
      <c r="AQ6" s="208">
        <v>0.5</v>
      </c>
      <c r="AR6" s="527">
        <v>0.1</v>
      </c>
      <c r="AS6" s="528"/>
      <c r="AT6" s="527"/>
      <c r="AU6" s="212"/>
      <c r="AV6" s="208"/>
      <c r="AW6" s="208">
        <v>0.05</v>
      </c>
      <c r="AX6" s="208">
        <v>0.05</v>
      </c>
      <c r="AY6" s="385">
        <v>30</v>
      </c>
      <c r="AZ6" s="212"/>
      <c r="BA6" s="212"/>
      <c r="BB6" s="212"/>
      <c r="BC6" s="213"/>
      <c r="BD6" s="241" t="s">
        <v>852</v>
      </c>
      <c r="EF6" s="1" t="str">
        <v>АЗПр тип 2 (I)</v>
      </c>
    </row>
    <row r="7" spans="1:270" s="1" customFormat="1">
      <c r="A7" s="352"/>
      <c r="B7" s="350" t="str">
        <v>Титан</v>
      </c>
      <c r="C7" s="353"/>
      <c r="D7" s="353"/>
      <c r="E7" s="353"/>
      <c r="F7" s="353"/>
      <c r="G7" s="353"/>
      <c r="H7" s="353"/>
      <c r="I7" s="353"/>
      <c r="J7" s="353"/>
      <c r="K7" s="353"/>
      <c r="L7" s="353"/>
      <c r="M7" s="354"/>
      <c r="N7" s="353"/>
      <c r="O7" s="353"/>
      <c r="P7" s="355"/>
      <c r="R7">
        <v>5</v>
      </c>
      <c r="S7" s="96" t="s">
        <v>576</v>
      </c>
      <c r="T7" s="144" t="s">
        <v>667</v>
      </c>
      <c r="U7" s="96" t="s">
        <v>585</v>
      </c>
      <c r="Z7" s="68">
        <v>5</v>
      </c>
      <c r="AA7" s="203" t="s">
        <v>860</v>
      </c>
      <c r="AB7" s="203" t="s">
        <v>585</v>
      </c>
      <c r="AC7" s="203" t="s">
        <v>584</v>
      </c>
      <c r="AD7" s="205" t="s">
        <v>820</v>
      </c>
      <c r="AE7" s="208" t="s">
        <v>581</v>
      </c>
      <c r="AF7" s="245" t="s">
        <v>598</v>
      </c>
      <c r="AG7" s="202"/>
      <c r="AH7" s="250" t="s">
        <v>823</v>
      </c>
      <c r="AI7" s="206">
        <f>15/1000</f>
        <v>1.4999999999999999E-2</v>
      </c>
      <c r="AJ7" s="206">
        <v>200</v>
      </c>
      <c r="AK7" s="206">
        <f t="shared" si="0"/>
        <v>4.4999999999999998E-2</v>
      </c>
      <c r="AL7" s="379">
        <v>200</v>
      </c>
      <c r="AM7" s="207">
        <v>0.55500000000000005</v>
      </c>
      <c r="AN7" s="379">
        <f t="shared" si="1"/>
        <v>0.35</v>
      </c>
      <c r="AO7" s="208">
        <v>0.03</v>
      </c>
      <c r="AP7" s="208">
        <v>0.67</v>
      </c>
      <c r="AQ7" s="208">
        <v>0.5</v>
      </c>
      <c r="AR7" s="527">
        <v>0.115</v>
      </c>
      <c r="AS7" s="528"/>
      <c r="AT7" s="527"/>
      <c r="AU7" s="212"/>
      <c r="AV7" s="208"/>
      <c r="AW7" s="208">
        <v>0.05</v>
      </c>
      <c r="AX7" s="208">
        <v>0.05</v>
      </c>
      <c r="AY7" s="385">
        <v>30</v>
      </c>
      <c r="AZ7" s="212"/>
      <c r="BA7" s="212"/>
      <c r="BB7" s="212"/>
      <c r="BC7" s="213"/>
      <c r="BD7" s="241" t="s">
        <v>853</v>
      </c>
      <c r="EF7" s="1" t="str">
        <v>АЗПр тип 2 (II)</v>
      </c>
    </row>
    <row r="8" spans="1:270" s="1" customFormat="1">
      <c r="A8" s="343"/>
      <c r="B8" s="353" t="str">
        <v>Углеродопласт</v>
      </c>
      <c r="C8" s="350"/>
      <c r="D8" s="350"/>
      <c r="E8" s="350"/>
      <c r="F8" s="350"/>
      <c r="G8" s="350"/>
      <c r="H8" s="350"/>
      <c r="I8" s="350"/>
      <c r="J8" s="350"/>
      <c r="K8" s="350"/>
      <c r="L8" s="350"/>
      <c r="M8" s="350"/>
      <c r="N8" s="350"/>
      <c r="O8" s="350"/>
      <c r="P8" s="351"/>
      <c r="R8">
        <v>6</v>
      </c>
      <c r="S8" s="96" t="s">
        <v>576</v>
      </c>
      <c r="T8" s="144" t="s">
        <v>799</v>
      </c>
      <c r="U8" s="96" t="s">
        <v>585</v>
      </c>
      <c r="Z8" s="68">
        <v>6</v>
      </c>
      <c r="AA8" s="203" t="s">
        <v>860</v>
      </c>
      <c r="AB8" s="203" t="s">
        <v>585</v>
      </c>
      <c r="AC8" s="203" t="s">
        <v>584</v>
      </c>
      <c r="AD8" s="205" t="s">
        <v>820</v>
      </c>
      <c r="AE8" s="208" t="s">
        <v>581</v>
      </c>
      <c r="AF8" s="245" t="s">
        <v>598</v>
      </c>
      <c r="AG8" s="202"/>
      <c r="AH8" s="250" t="s">
        <v>824</v>
      </c>
      <c r="AI8" s="206">
        <f>1/1000</f>
        <v>1E-3</v>
      </c>
      <c r="AJ8" s="206">
        <v>200</v>
      </c>
      <c r="AK8" s="206">
        <f t="shared" si="0"/>
        <v>4.4999999999999998E-2</v>
      </c>
      <c r="AL8" s="379">
        <v>200</v>
      </c>
      <c r="AM8" s="207">
        <v>0.55500000000000005</v>
      </c>
      <c r="AN8" s="379">
        <f t="shared" si="1"/>
        <v>0.35</v>
      </c>
      <c r="AO8" s="214">
        <v>0.15</v>
      </c>
      <c r="AP8" s="523"/>
      <c r="AQ8" s="208">
        <v>0.5</v>
      </c>
      <c r="AR8" s="527">
        <v>7.7000000000000002E-3</v>
      </c>
      <c r="AS8" s="526"/>
      <c r="AT8" s="527"/>
      <c r="AU8" s="212"/>
      <c r="AV8" s="208"/>
      <c r="AW8" s="208">
        <v>100</v>
      </c>
      <c r="AX8" s="214">
        <v>0.3</v>
      </c>
      <c r="AY8" s="385">
        <v>30</v>
      </c>
      <c r="AZ8" s="212"/>
      <c r="BA8" s="212"/>
      <c r="BB8" s="212"/>
      <c r="BC8" s="213"/>
      <c r="BD8" s="241" t="s">
        <v>854</v>
      </c>
      <c r="EF8" s="1" t="str">
        <v>АЗПр тип 2 (III)</v>
      </c>
    </row>
    <row r="9" spans="1:270" s="1" customFormat="1">
      <c r="A9" s="357"/>
      <c r="B9" s="350" t="str">
        <v>ПСС материал не указан</v>
      </c>
      <c r="C9" s="358"/>
      <c r="D9" s="358"/>
      <c r="E9" s="358"/>
      <c r="F9" s="358"/>
      <c r="G9" s="358"/>
      <c r="H9" s="358"/>
      <c r="I9" s="358"/>
      <c r="J9" s="358"/>
      <c r="K9" s="358"/>
      <c r="L9" s="358"/>
      <c r="M9" s="358"/>
      <c r="N9" s="358"/>
      <c r="O9" s="358"/>
      <c r="P9" s="359"/>
      <c r="R9">
        <v>7</v>
      </c>
      <c r="S9" s="96" t="s">
        <v>133</v>
      </c>
      <c r="T9" s="174" t="s">
        <v>671</v>
      </c>
      <c r="U9" s="96" t="s">
        <v>583</v>
      </c>
      <c r="Z9" s="68">
        <v>7</v>
      </c>
      <c r="AA9" s="203" t="s">
        <v>860</v>
      </c>
      <c r="AB9" s="203" t="s">
        <v>585</v>
      </c>
      <c r="AC9" s="203" t="s">
        <v>584</v>
      </c>
      <c r="AD9" s="205" t="s">
        <v>820</v>
      </c>
      <c r="AE9" s="208" t="s">
        <v>581</v>
      </c>
      <c r="AF9" s="245" t="s">
        <v>598</v>
      </c>
      <c r="AG9" s="202"/>
      <c r="AH9" s="250" t="s">
        <v>825</v>
      </c>
      <c r="AI9" s="206">
        <f>1.5/1000</f>
        <v>1.5E-3</v>
      </c>
      <c r="AJ9" s="206">
        <v>200</v>
      </c>
      <c r="AK9" s="206">
        <f t="shared" si="0"/>
        <v>4.4999999999999998E-2</v>
      </c>
      <c r="AL9" s="379">
        <v>200</v>
      </c>
      <c r="AM9" s="207">
        <v>0.55500000000000005</v>
      </c>
      <c r="AN9" s="379">
        <f t="shared" si="1"/>
        <v>0.35</v>
      </c>
      <c r="AO9" s="214">
        <v>0.2</v>
      </c>
      <c r="AP9" s="214"/>
      <c r="AQ9" s="208">
        <v>0.5</v>
      </c>
      <c r="AR9" s="527">
        <v>1.15E-2</v>
      </c>
      <c r="AS9" s="526"/>
      <c r="AT9" s="527"/>
      <c r="AU9" s="212"/>
      <c r="AV9" s="208"/>
      <c r="AW9" s="208">
        <v>100</v>
      </c>
      <c r="AX9" s="214">
        <v>1.3</v>
      </c>
      <c r="AY9" s="385">
        <v>30</v>
      </c>
      <c r="AZ9" s="212"/>
      <c r="BA9" s="212"/>
      <c r="BB9" s="212"/>
      <c r="BC9" s="213"/>
      <c r="BD9" s="241" t="s">
        <v>855</v>
      </c>
      <c r="EF9" s="1" t="str">
        <v xml:space="preserve">ЭЛГАЗ-К </v>
      </c>
    </row>
    <row r="10" spans="1:270" s="1" customFormat="1">
      <c r="A10" s="343"/>
      <c r="B10" s="358" t="str">
        <v>Надеждинская</v>
      </c>
      <c r="C10" s="350"/>
      <c r="D10" s="350"/>
      <c r="E10" s="350"/>
      <c r="F10" s="350"/>
      <c r="G10" s="350"/>
      <c r="H10" s="350"/>
      <c r="I10" s="350"/>
      <c r="J10" s="350"/>
      <c r="K10" s="350"/>
      <c r="L10" s="350"/>
      <c r="M10" s="350"/>
      <c r="N10" s="350"/>
      <c r="O10" s="350"/>
      <c r="P10" s="351"/>
      <c r="R10">
        <v>8</v>
      </c>
      <c r="S10" s="96" t="s">
        <v>133</v>
      </c>
      <c r="T10" s="144" t="s">
        <v>672</v>
      </c>
      <c r="U10" s="96" t="s">
        <v>583</v>
      </c>
      <c r="Z10" s="68">
        <v>8</v>
      </c>
      <c r="AA10" s="203" t="s">
        <v>860</v>
      </c>
      <c r="AB10" s="203" t="s">
        <v>585</v>
      </c>
      <c r="AC10" s="203" t="s">
        <v>584</v>
      </c>
      <c r="AD10" s="205" t="s">
        <v>820</v>
      </c>
      <c r="AE10" s="208" t="s">
        <v>581</v>
      </c>
      <c r="AF10" s="245" t="s">
        <v>598</v>
      </c>
      <c r="AG10" s="202"/>
      <c r="AH10" s="250" t="s">
        <v>826</v>
      </c>
      <c r="AI10" s="206">
        <f>1.8/1000</f>
        <v>1.8E-3</v>
      </c>
      <c r="AJ10" s="206">
        <v>200</v>
      </c>
      <c r="AK10" s="206">
        <f t="shared" si="0"/>
        <v>4.4999999999999998E-2</v>
      </c>
      <c r="AL10" s="379">
        <v>200</v>
      </c>
      <c r="AM10" s="207">
        <v>0.55500000000000005</v>
      </c>
      <c r="AN10" s="379">
        <f t="shared" si="1"/>
        <v>0.35</v>
      </c>
      <c r="AO10" s="214">
        <v>0.2</v>
      </c>
      <c r="AP10" s="214"/>
      <c r="AQ10" s="208">
        <v>0.5</v>
      </c>
      <c r="AR10" s="527">
        <v>1.4E-2</v>
      </c>
      <c r="AS10" s="526"/>
      <c r="AT10" s="527"/>
      <c r="AU10" s="212"/>
      <c r="AV10" s="208"/>
      <c r="AW10" s="208">
        <v>100</v>
      </c>
      <c r="AX10" s="214">
        <v>2.2999999999999998</v>
      </c>
      <c r="AY10" s="385">
        <v>30</v>
      </c>
      <c r="AZ10" s="212"/>
      <c r="BA10" s="212"/>
      <c r="BB10" s="212"/>
      <c r="BC10" s="213"/>
      <c r="BD10" s="241" t="s">
        <v>856</v>
      </c>
    </row>
    <row r="11" spans="1:270" s="1" customFormat="1">
      <c r="B11" s="350" t="str">
        <v>с форума Транснефть</v>
      </c>
      <c r="I11" s="98"/>
      <c r="J11" s="98"/>
      <c r="K11" s="98"/>
      <c r="L11" s="98"/>
      <c r="M11" s="98"/>
      <c r="N11" s="98"/>
      <c r="P11" s="69"/>
      <c r="R11">
        <v>9</v>
      </c>
      <c r="S11" s="96" t="s">
        <v>133</v>
      </c>
      <c r="T11" s="144" t="s">
        <v>673</v>
      </c>
      <c r="U11" s="96" t="s">
        <v>583</v>
      </c>
      <c r="Z11" s="453">
        <v>9</v>
      </c>
      <c r="AA11" s="454" t="s">
        <v>535</v>
      </c>
      <c r="AB11" s="454" t="s">
        <v>582</v>
      </c>
      <c r="AC11" s="455" t="s">
        <v>827</v>
      </c>
      <c r="AD11" s="455" t="s">
        <v>590</v>
      </c>
      <c r="AE11" s="456" t="s">
        <v>581</v>
      </c>
      <c r="AF11" s="457" t="s">
        <v>599</v>
      </c>
      <c r="AG11" s="458"/>
      <c r="AH11" s="459" t="s">
        <v>828</v>
      </c>
      <c r="AI11" s="460">
        <f>56/1000</f>
        <v>5.6000000000000001E-2</v>
      </c>
      <c r="AJ11" s="460">
        <v>1.2</v>
      </c>
      <c r="AK11" s="460"/>
      <c r="AL11" s="460"/>
      <c r="AM11" s="461">
        <v>24</v>
      </c>
      <c r="AN11" s="460">
        <v>0.3</v>
      </c>
      <c r="AO11" s="462">
        <v>3.2</v>
      </c>
      <c r="AP11" s="220">
        <v>4.9999999999999998E-7</v>
      </c>
      <c r="AQ11" s="463">
        <v>0.5</v>
      </c>
      <c r="AR11" s="222"/>
      <c r="AS11" s="462"/>
      <c r="AT11" s="222"/>
      <c r="AU11" s="464"/>
      <c r="AV11" s="462">
        <v>5</v>
      </c>
      <c r="AW11" s="220">
        <v>15</v>
      </c>
      <c r="AX11" s="463"/>
      <c r="AY11" s="463">
        <v>30</v>
      </c>
      <c r="AZ11" s="464"/>
      <c r="BA11" s="464"/>
      <c r="BB11" s="465"/>
      <c r="BC11" s="211"/>
      <c r="BD11" s="458" t="s">
        <v>829</v>
      </c>
    </row>
    <row r="12" spans="1:270" s="1" customFormat="1" ht="34">
      <c r="E12"/>
      <c r="I12" s="98"/>
      <c r="J12" s="98"/>
      <c r="K12" s="98"/>
      <c r="L12" s="98"/>
      <c r="M12" s="98"/>
      <c r="N12" s="98"/>
      <c r="Z12" s="68">
        <v>10</v>
      </c>
      <c r="AA12" s="215" t="s">
        <v>535</v>
      </c>
      <c r="AB12" s="215" t="s">
        <v>582</v>
      </c>
      <c r="AC12" s="216" t="s">
        <v>827</v>
      </c>
      <c r="AD12" s="239" t="s">
        <v>830</v>
      </c>
      <c r="AE12" s="217" t="s">
        <v>581</v>
      </c>
      <c r="AF12" s="247" t="s">
        <v>831</v>
      </c>
      <c r="AG12" s="238"/>
      <c r="AH12" s="251" t="s">
        <v>832</v>
      </c>
      <c r="AI12" s="218">
        <v>0.08</v>
      </c>
      <c r="AJ12" s="218">
        <v>1.2</v>
      </c>
      <c r="AK12" s="378"/>
      <c r="AL12" s="378"/>
      <c r="AM12" s="219">
        <v>43</v>
      </c>
      <c r="AN12" s="218">
        <v>0.3</v>
      </c>
      <c r="AO12" s="220">
        <v>6</v>
      </c>
      <c r="AP12" s="220">
        <v>4.9999999999999998E-7</v>
      </c>
      <c r="AQ12" s="208">
        <v>0.5</v>
      </c>
      <c r="AR12" s="222"/>
      <c r="AS12" s="520"/>
      <c r="AT12" s="222"/>
      <c r="AU12" s="222"/>
      <c r="AV12" s="220">
        <v>8</v>
      </c>
      <c r="AW12" s="220">
        <v>15</v>
      </c>
      <c r="AX12" s="221"/>
      <c r="AY12" s="516">
        <v>30</v>
      </c>
      <c r="AZ12" s="222"/>
      <c r="BA12" s="222"/>
      <c r="BB12" s="223"/>
      <c r="BC12" s="211"/>
      <c r="BD12" s="224" t="s">
        <v>829</v>
      </c>
    </row>
    <row r="13" spans="1:270" s="1" customFormat="1">
      <c r="E13"/>
      <c r="I13" s="98"/>
      <c r="J13" s="98"/>
      <c r="K13" s="98"/>
      <c r="L13" s="98"/>
      <c r="M13" s="98"/>
      <c r="N13" s="98"/>
      <c r="R13"/>
      <c r="S13"/>
      <c r="T13"/>
      <c r="U13"/>
      <c r="Z13" s="68">
        <v>11</v>
      </c>
      <c r="AA13" s="215" t="s">
        <v>535</v>
      </c>
      <c r="AB13" s="215" t="s">
        <v>582</v>
      </c>
      <c r="AC13" s="225" t="s">
        <v>584</v>
      </c>
      <c r="AD13" s="239" t="s">
        <v>590</v>
      </c>
      <c r="AE13" s="217" t="s">
        <v>581</v>
      </c>
      <c r="AF13" s="246" t="s">
        <v>599</v>
      </c>
      <c r="AG13" s="238"/>
      <c r="AH13" s="251" t="s">
        <v>833</v>
      </c>
      <c r="AI13" s="218">
        <f>56/1000</f>
        <v>5.6000000000000001E-2</v>
      </c>
      <c r="AJ13" s="218">
        <v>1.2</v>
      </c>
      <c r="AK13" s="218">
        <f>160/1000</f>
        <v>0.16</v>
      </c>
      <c r="AL13" s="218">
        <v>1.5</v>
      </c>
      <c r="AM13" s="219">
        <v>24</v>
      </c>
      <c r="AN13" s="218">
        <v>0.3</v>
      </c>
      <c r="AO13" s="220">
        <v>5</v>
      </c>
      <c r="AP13" s="220">
        <v>4.9999999999999998E-7</v>
      </c>
      <c r="AQ13" s="208">
        <v>0.5</v>
      </c>
      <c r="AR13" s="222"/>
      <c r="AS13" s="520"/>
      <c r="AT13" s="222"/>
      <c r="AU13" s="222"/>
      <c r="AV13" s="220">
        <v>6</v>
      </c>
      <c r="AW13" s="218">
        <v>24</v>
      </c>
      <c r="AX13" s="221"/>
      <c r="AY13" s="516">
        <v>30</v>
      </c>
      <c r="AZ13" s="222"/>
      <c r="BA13" s="222"/>
      <c r="BB13" s="223"/>
      <c r="BC13" s="211"/>
      <c r="BD13" s="224" t="s">
        <v>829</v>
      </c>
    </row>
    <row r="14" spans="1:270" s="1" customFormat="1" ht="34">
      <c r="E14"/>
      <c r="I14" s="98"/>
      <c r="J14" s="98"/>
      <c r="K14" s="98"/>
      <c r="L14" s="98"/>
      <c r="M14" s="98"/>
      <c r="N14" s="98"/>
      <c r="R14"/>
      <c r="S14"/>
      <c r="T14"/>
      <c r="U14"/>
      <c r="Z14" s="68">
        <v>12</v>
      </c>
      <c r="AA14" s="215" t="s">
        <v>535</v>
      </c>
      <c r="AB14" s="215" t="s">
        <v>582</v>
      </c>
      <c r="AC14" s="225" t="s">
        <v>584</v>
      </c>
      <c r="AD14" s="239" t="s">
        <v>830</v>
      </c>
      <c r="AE14" s="217" t="s">
        <v>581</v>
      </c>
      <c r="AF14" s="247" t="s">
        <v>831</v>
      </c>
      <c r="AG14" s="238"/>
      <c r="AH14" s="251" t="s">
        <v>834</v>
      </c>
      <c r="AI14" s="218">
        <f>80/1000</f>
        <v>0.08</v>
      </c>
      <c r="AJ14" s="218">
        <v>1.2</v>
      </c>
      <c r="AK14" s="218">
        <f>160/1000</f>
        <v>0.16</v>
      </c>
      <c r="AL14" s="218">
        <v>1.5</v>
      </c>
      <c r="AM14" s="219">
        <v>43</v>
      </c>
      <c r="AN14" s="218">
        <v>0.3</v>
      </c>
      <c r="AO14" s="220">
        <v>7</v>
      </c>
      <c r="AP14" s="220">
        <v>4.9999999999999998E-7</v>
      </c>
      <c r="AQ14" s="208">
        <v>0.5</v>
      </c>
      <c r="AR14" s="222"/>
      <c r="AS14" s="520"/>
      <c r="AT14" s="222"/>
      <c r="AU14" s="222"/>
      <c r="AV14" s="220">
        <v>8</v>
      </c>
      <c r="AW14" s="218">
        <v>24</v>
      </c>
      <c r="AX14" s="221"/>
      <c r="AY14" s="516">
        <v>30</v>
      </c>
      <c r="AZ14" s="222"/>
      <c r="BA14" s="222"/>
      <c r="BB14" s="223"/>
      <c r="BC14" s="211"/>
      <c r="BD14" s="224" t="s">
        <v>829</v>
      </c>
    </row>
    <row r="15" spans="1:270" s="1" customFormat="1">
      <c r="E15"/>
      <c r="I15" s="98"/>
      <c r="J15" s="98"/>
      <c r="K15" s="98"/>
      <c r="L15" s="98"/>
      <c r="M15" s="98"/>
      <c r="N15" s="98"/>
      <c r="R15"/>
      <c r="S15"/>
      <c r="T15"/>
      <c r="U15"/>
      <c r="Z15" s="68">
        <v>13</v>
      </c>
      <c r="AA15" s="215" t="s">
        <v>535</v>
      </c>
      <c r="AB15" s="215" t="s">
        <v>583</v>
      </c>
      <c r="AC15" s="216" t="s">
        <v>827</v>
      </c>
      <c r="AD15" s="239" t="s">
        <v>620</v>
      </c>
      <c r="AE15" s="215" t="s">
        <v>581</v>
      </c>
      <c r="AF15" s="246" t="s">
        <v>599</v>
      </c>
      <c r="AG15" s="238"/>
      <c r="AH15" s="251" t="s">
        <v>835</v>
      </c>
      <c r="AI15" s="218">
        <f>56/1000</f>
        <v>5.6000000000000001E-2</v>
      </c>
      <c r="AJ15" s="218">
        <v>1.2</v>
      </c>
      <c r="AK15" s="378"/>
      <c r="AL15" s="378"/>
      <c r="AM15" s="219">
        <v>24</v>
      </c>
      <c r="AN15" s="218">
        <v>0.3</v>
      </c>
      <c r="AO15" s="220">
        <v>3.2</v>
      </c>
      <c r="AP15" s="220">
        <v>4.9999999999999998E-7</v>
      </c>
      <c r="AQ15" s="208">
        <v>0.5</v>
      </c>
      <c r="AR15" s="222"/>
      <c r="AS15" s="520"/>
      <c r="AT15" s="222"/>
      <c r="AU15" s="222"/>
      <c r="AV15" s="220">
        <v>5</v>
      </c>
      <c r="AW15" s="220">
        <v>15</v>
      </c>
      <c r="AX15" s="221"/>
      <c r="AY15" s="382">
        <v>30</v>
      </c>
      <c r="AZ15" s="222"/>
      <c r="BA15" s="222"/>
      <c r="BB15" s="223"/>
      <c r="BC15" s="211"/>
      <c r="BD15" s="224" t="s">
        <v>829</v>
      </c>
    </row>
    <row r="16" spans="1:270" s="1" customFormat="1" ht="34">
      <c r="E16"/>
      <c r="I16" s="98"/>
      <c r="J16" s="98"/>
      <c r="K16" s="98"/>
      <c r="L16" s="98"/>
      <c r="M16" s="98"/>
      <c r="N16" s="98"/>
      <c r="R16"/>
      <c r="S16"/>
      <c r="T16"/>
      <c r="U16"/>
      <c r="Z16" s="68">
        <v>14</v>
      </c>
      <c r="AA16" s="215" t="s">
        <v>535</v>
      </c>
      <c r="AB16" s="215" t="s">
        <v>583</v>
      </c>
      <c r="AC16" s="216" t="s">
        <v>827</v>
      </c>
      <c r="AD16" s="239" t="s">
        <v>830</v>
      </c>
      <c r="AE16" s="215" t="s">
        <v>581</v>
      </c>
      <c r="AF16" s="247" t="s">
        <v>831</v>
      </c>
      <c r="AG16" s="227"/>
      <c r="AH16" s="251" t="s">
        <v>836</v>
      </c>
      <c r="AI16" s="218">
        <f>80/1000</f>
        <v>0.08</v>
      </c>
      <c r="AJ16" s="218">
        <v>1.2</v>
      </c>
      <c r="AK16" s="378"/>
      <c r="AL16" s="378"/>
      <c r="AM16" s="219">
        <v>43</v>
      </c>
      <c r="AN16" s="218">
        <v>0.3</v>
      </c>
      <c r="AO16" s="220">
        <v>6</v>
      </c>
      <c r="AP16" s="220">
        <v>4.9999999999999998E-7</v>
      </c>
      <c r="AQ16" s="208">
        <v>0.5</v>
      </c>
      <c r="AR16" s="222"/>
      <c r="AS16" s="520"/>
      <c r="AT16" s="222"/>
      <c r="AU16" s="227"/>
      <c r="AV16" s="220">
        <v>8</v>
      </c>
      <c r="AW16" s="220">
        <v>15</v>
      </c>
      <c r="AX16" s="226"/>
      <c r="AY16" s="517">
        <v>30</v>
      </c>
      <c r="AZ16" s="227"/>
      <c r="BA16" s="227"/>
      <c r="BB16" s="228"/>
      <c r="BC16" s="211"/>
      <c r="BD16" s="224" t="s">
        <v>829</v>
      </c>
    </row>
    <row r="17" spans="1:56" s="1" customFormat="1">
      <c r="E17"/>
      <c r="I17" s="98"/>
      <c r="J17" s="98"/>
      <c r="K17" s="98"/>
      <c r="L17" s="98"/>
      <c r="M17" s="98"/>
      <c r="N17" s="98"/>
      <c r="R17"/>
      <c r="S17"/>
      <c r="T17"/>
      <c r="U17"/>
      <c r="Z17" s="68">
        <v>15</v>
      </c>
      <c r="AA17" s="215" t="s">
        <v>535</v>
      </c>
      <c r="AB17" s="215" t="s">
        <v>583</v>
      </c>
      <c r="AC17" s="216" t="s">
        <v>584</v>
      </c>
      <c r="AD17" s="239" t="s">
        <v>620</v>
      </c>
      <c r="AE17" s="215" t="s">
        <v>581</v>
      </c>
      <c r="AF17" s="246" t="s">
        <v>599</v>
      </c>
      <c r="AG17" s="227"/>
      <c r="AH17" s="251" t="s">
        <v>837</v>
      </c>
      <c r="AI17" s="229">
        <f>56/1000</f>
        <v>5.6000000000000001E-2</v>
      </c>
      <c r="AJ17" s="229">
        <v>1.2</v>
      </c>
      <c r="AK17" s="229">
        <f>160/1000</f>
        <v>0.16</v>
      </c>
      <c r="AL17" s="229">
        <v>1.5</v>
      </c>
      <c r="AM17" s="219">
        <v>24</v>
      </c>
      <c r="AN17" s="229">
        <v>0.3</v>
      </c>
      <c r="AO17" s="220">
        <v>5</v>
      </c>
      <c r="AP17" s="220">
        <v>4.9999999999999998E-7</v>
      </c>
      <c r="AQ17" s="208">
        <v>0.5</v>
      </c>
      <c r="AR17" s="222"/>
      <c r="AS17" s="520"/>
      <c r="AT17" s="222"/>
      <c r="AU17" s="227"/>
      <c r="AV17" s="220">
        <v>6</v>
      </c>
      <c r="AW17" s="218">
        <v>24</v>
      </c>
      <c r="AX17" s="230"/>
      <c r="AY17" s="517">
        <v>30</v>
      </c>
      <c r="AZ17" s="227"/>
      <c r="BA17" s="227"/>
      <c r="BB17" s="228"/>
      <c r="BC17" s="211"/>
      <c r="BD17" s="224" t="s">
        <v>829</v>
      </c>
    </row>
    <row r="18" spans="1:56" s="1" customFormat="1" ht="34">
      <c r="E18"/>
      <c r="I18" s="98"/>
      <c r="J18" s="98"/>
      <c r="K18" s="98"/>
      <c r="L18" s="98"/>
      <c r="M18" s="98"/>
      <c r="N18" s="98"/>
      <c r="R18"/>
      <c r="S18"/>
      <c r="T18"/>
      <c r="U18"/>
      <c r="Z18" s="68">
        <v>16</v>
      </c>
      <c r="AA18" s="215" t="s">
        <v>535</v>
      </c>
      <c r="AB18" s="215" t="s">
        <v>583</v>
      </c>
      <c r="AC18" s="216" t="s">
        <v>584</v>
      </c>
      <c r="AD18" s="239" t="s">
        <v>830</v>
      </c>
      <c r="AE18" s="231" t="s">
        <v>581</v>
      </c>
      <c r="AF18" s="248" t="s">
        <v>831</v>
      </c>
      <c r="AG18" s="227"/>
      <c r="AH18" s="252" t="s">
        <v>838</v>
      </c>
      <c r="AI18" s="232">
        <f>80/1000</f>
        <v>0.08</v>
      </c>
      <c r="AJ18" s="232">
        <v>1.2</v>
      </c>
      <c r="AK18" s="232">
        <f>160/1000</f>
        <v>0.16</v>
      </c>
      <c r="AL18" s="232">
        <v>1.5</v>
      </c>
      <c r="AM18" s="233">
        <v>43</v>
      </c>
      <c r="AN18" s="232">
        <v>0.3</v>
      </c>
      <c r="AO18" s="234">
        <v>7</v>
      </c>
      <c r="AP18" s="220">
        <v>4.9999999999999998E-7</v>
      </c>
      <c r="AQ18" s="208">
        <v>0.5</v>
      </c>
      <c r="AR18" s="222"/>
      <c r="AS18" s="521"/>
      <c r="AT18" s="222"/>
      <c r="AU18" s="227"/>
      <c r="AV18" s="234">
        <v>8</v>
      </c>
      <c r="AW18" s="218">
        <v>24</v>
      </c>
      <c r="AX18" s="235"/>
      <c r="AY18" s="517">
        <v>30</v>
      </c>
      <c r="AZ18" s="227"/>
      <c r="BA18" s="227"/>
      <c r="BB18" s="228"/>
      <c r="BC18" s="211"/>
      <c r="BD18" s="224" t="s">
        <v>829</v>
      </c>
    </row>
    <row r="19" spans="1:56" s="1" customFormat="1" ht="34">
      <c r="E19"/>
      <c r="I19" s="98"/>
      <c r="J19" s="98"/>
      <c r="K19" s="98"/>
      <c r="L19" s="98"/>
      <c r="M19" s="98"/>
      <c r="N19" s="98"/>
      <c r="R19"/>
      <c r="S19"/>
      <c r="T19"/>
      <c r="U19"/>
      <c r="Z19" s="68">
        <v>17</v>
      </c>
      <c r="AA19" s="193" t="s">
        <v>542</v>
      </c>
      <c r="AB19" s="193" t="s">
        <v>582</v>
      </c>
      <c r="AC19" s="194" t="s">
        <v>827</v>
      </c>
      <c r="AD19" s="240" t="s">
        <v>830</v>
      </c>
      <c r="AE19" s="236" t="s">
        <v>581</v>
      </c>
      <c r="AF19" s="249" t="s">
        <v>831</v>
      </c>
      <c r="AG19" s="196"/>
      <c r="AH19" s="253" t="s">
        <v>588</v>
      </c>
      <c r="AI19" s="197">
        <f>60/1000</f>
        <v>0.06</v>
      </c>
      <c r="AJ19" s="199">
        <v>0.65</v>
      </c>
      <c r="AK19" s="378"/>
      <c r="AL19" s="380"/>
      <c r="AM19" s="200">
        <v>8</v>
      </c>
      <c r="AN19" s="199">
        <v>0.03</v>
      </c>
      <c r="AO19" s="201">
        <v>4</v>
      </c>
      <c r="AP19" s="201">
        <v>0.01</v>
      </c>
      <c r="AQ19" s="208">
        <v>0.5</v>
      </c>
      <c r="AR19" s="522"/>
      <c r="AS19" s="522"/>
      <c r="AT19" s="522"/>
      <c r="AU19" s="196"/>
      <c r="AV19" s="201">
        <v>6</v>
      </c>
      <c r="AW19" s="462">
        <v>33</v>
      </c>
      <c r="AX19" s="201"/>
      <c r="AY19" s="518">
        <v>30</v>
      </c>
      <c r="AZ19" s="196"/>
      <c r="BA19" s="196"/>
      <c r="BB19" s="196"/>
      <c r="BC19" s="211"/>
      <c r="BD19" s="237" t="s">
        <v>839</v>
      </c>
    </row>
    <row r="20" spans="1:56" s="1" customFormat="1" ht="34">
      <c r="A20"/>
      <c r="C20"/>
      <c r="D20"/>
      <c r="E20"/>
      <c r="I20" s="98"/>
      <c r="J20" s="98"/>
      <c r="K20" s="98"/>
      <c r="L20" s="98"/>
      <c r="M20" s="98"/>
      <c r="N20" s="98"/>
      <c r="R20"/>
      <c r="S20"/>
      <c r="T20"/>
      <c r="U20"/>
      <c r="Z20" s="68">
        <v>18</v>
      </c>
      <c r="AA20" s="193" t="s">
        <v>542</v>
      </c>
      <c r="AB20" s="193" t="s">
        <v>582</v>
      </c>
      <c r="AC20" s="195" t="s">
        <v>584</v>
      </c>
      <c r="AD20" s="240" t="s">
        <v>830</v>
      </c>
      <c r="AE20" s="236" t="s">
        <v>581</v>
      </c>
      <c r="AF20" s="249" t="s">
        <v>831</v>
      </c>
      <c r="AG20" s="196"/>
      <c r="AH20" s="253" t="s">
        <v>840</v>
      </c>
      <c r="AI20" s="197">
        <f>60/1000</f>
        <v>0.06</v>
      </c>
      <c r="AJ20" s="199">
        <v>1.65</v>
      </c>
      <c r="AK20" s="199">
        <f>160/1000</f>
        <v>0.16</v>
      </c>
      <c r="AL20" s="199">
        <v>1.5</v>
      </c>
      <c r="AM20" s="200">
        <v>8</v>
      </c>
      <c r="AN20" s="199">
        <v>0.03</v>
      </c>
      <c r="AO20" s="201">
        <v>6</v>
      </c>
      <c r="AP20" s="201">
        <v>0.01</v>
      </c>
      <c r="AQ20" s="208">
        <v>0.5</v>
      </c>
      <c r="AR20" s="522"/>
      <c r="AS20" s="522"/>
      <c r="AT20" s="522"/>
      <c r="AU20" s="196"/>
      <c r="AV20" s="201">
        <v>8</v>
      </c>
      <c r="AW20" s="462">
        <v>150</v>
      </c>
      <c r="AX20" s="201"/>
      <c r="AY20" s="518">
        <v>30</v>
      </c>
      <c r="AZ20" s="196"/>
      <c r="BA20" s="196"/>
      <c r="BB20" s="196"/>
      <c r="BC20" s="211"/>
      <c r="BD20" s="237" t="s">
        <v>839</v>
      </c>
    </row>
    <row r="21" spans="1:56" s="1" customFormat="1" ht="34">
      <c r="A21" s="95"/>
      <c r="B21"/>
      <c r="C21" s="95"/>
      <c r="D21" s="95"/>
      <c r="E21" s="95"/>
      <c r="F21" s="95"/>
      <c r="G21" s="95"/>
      <c r="H21" s="95"/>
      <c r="I21" s="95"/>
      <c r="J21" s="95"/>
      <c r="K21" s="95"/>
      <c r="L21" s="95"/>
      <c r="M21" s="95"/>
      <c r="N21" s="95"/>
      <c r="O21" s="95"/>
      <c r="P21" s="95"/>
      <c r="R21"/>
      <c r="S21"/>
      <c r="T21"/>
      <c r="U21"/>
      <c r="Z21" s="68">
        <v>19</v>
      </c>
      <c r="AA21" s="193" t="s">
        <v>542</v>
      </c>
      <c r="AB21" s="193" t="s">
        <v>583</v>
      </c>
      <c r="AC21" s="194" t="s">
        <v>827</v>
      </c>
      <c r="AD21" s="240" t="s">
        <v>830</v>
      </c>
      <c r="AE21" s="198" t="s">
        <v>581</v>
      </c>
      <c r="AF21" s="249" t="s">
        <v>831</v>
      </c>
      <c r="AG21" s="196"/>
      <c r="AH21" s="253" t="s">
        <v>591</v>
      </c>
      <c r="AI21" s="197">
        <f>60/1000</f>
        <v>0.06</v>
      </c>
      <c r="AJ21" s="199">
        <v>2.65</v>
      </c>
      <c r="AK21" s="378"/>
      <c r="AL21" s="380"/>
      <c r="AM21" s="200">
        <v>8</v>
      </c>
      <c r="AN21" s="199">
        <v>0.03</v>
      </c>
      <c r="AO21" s="201">
        <v>4</v>
      </c>
      <c r="AP21" s="201">
        <v>0.01</v>
      </c>
      <c r="AQ21" s="208">
        <v>0.5</v>
      </c>
      <c r="AR21" s="522"/>
      <c r="AS21" s="522"/>
      <c r="AT21" s="522"/>
      <c r="AU21" s="196"/>
      <c r="AV21" s="201">
        <v>6</v>
      </c>
      <c r="AW21" s="462">
        <v>100</v>
      </c>
      <c r="AX21" s="201"/>
      <c r="AY21" s="518">
        <v>30</v>
      </c>
      <c r="AZ21" s="196"/>
      <c r="BA21" s="196"/>
      <c r="BB21" s="196"/>
      <c r="BC21" s="211"/>
      <c r="BD21" s="237" t="s">
        <v>839</v>
      </c>
    </row>
    <row r="22" spans="1:56" s="1" customFormat="1" ht="34">
      <c r="A22" s="68"/>
      <c r="B22" s="95"/>
      <c r="C22" s="68"/>
      <c r="D22" s="68"/>
      <c r="E22" s="68"/>
      <c r="F22" s="68"/>
      <c r="G22" s="68"/>
      <c r="H22" s="68"/>
      <c r="I22" s="68"/>
      <c r="J22" s="68"/>
      <c r="K22" s="68"/>
      <c r="L22" s="68"/>
      <c r="M22" s="68"/>
      <c r="N22" s="68"/>
      <c r="O22" s="68"/>
      <c r="P22" s="68"/>
      <c r="R22"/>
      <c r="S22"/>
      <c r="T22"/>
      <c r="U22"/>
      <c r="Z22" s="68">
        <v>20</v>
      </c>
      <c r="AA22" s="193" t="s">
        <v>542</v>
      </c>
      <c r="AB22" s="193" t="s">
        <v>583</v>
      </c>
      <c r="AC22" s="194" t="s">
        <v>584</v>
      </c>
      <c r="AD22" s="240" t="s">
        <v>830</v>
      </c>
      <c r="AE22" s="198" t="s">
        <v>581</v>
      </c>
      <c r="AF22" s="249" t="s">
        <v>831</v>
      </c>
      <c r="AG22" s="196"/>
      <c r="AH22" s="254" t="s">
        <v>841</v>
      </c>
      <c r="AI22" s="199">
        <f>60/1000</f>
        <v>0.06</v>
      </c>
      <c r="AJ22" s="199">
        <v>3.65</v>
      </c>
      <c r="AK22" s="199">
        <f>160/1000</f>
        <v>0.16</v>
      </c>
      <c r="AL22" s="199">
        <v>1.5</v>
      </c>
      <c r="AM22" s="200">
        <v>8</v>
      </c>
      <c r="AN22" s="199">
        <v>0.03</v>
      </c>
      <c r="AO22" s="201">
        <v>6</v>
      </c>
      <c r="AP22" s="201">
        <v>0.01</v>
      </c>
      <c r="AQ22" s="208">
        <v>0.5</v>
      </c>
      <c r="AR22" s="522"/>
      <c r="AS22" s="522"/>
      <c r="AT22" s="522"/>
      <c r="AU22" s="196"/>
      <c r="AV22" s="201">
        <v>8</v>
      </c>
      <c r="AW22" s="462">
        <v>150</v>
      </c>
      <c r="AX22" s="201"/>
      <c r="AY22" s="518">
        <v>30</v>
      </c>
      <c r="AZ22" s="196"/>
      <c r="BA22" s="196"/>
      <c r="BB22" s="196"/>
      <c r="BC22" s="211"/>
      <c r="BD22" s="237" t="s">
        <v>839</v>
      </c>
    </row>
    <row r="23" spans="1:56" s="95" customFormat="1" ht="34">
      <c r="A23" s="68"/>
      <c r="B23" s="68"/>
      <c r="C23" s="68"/>
      <c r="D23" s="68"/>
      <c r="E23" s="68"/>
      <c r="F23" s="68"/>
      <c r="G23" s="68"/>
      <c r="H23" s="68"/>
      <c r="I23" s="68"/>
      <c r="J23" s="68"/>
      <c r="K23" s="68"/>
      <c r="L23" s="68"/>
      <c r="M23" s="68"/>
      <c r="N23" s="68"/>
      <c r="O23" s="68"/>
      <c r="P23" s="68"/>
      <c r="Z23" s="68">
        <v>21</v>
      </c>
      <c r="AA23" s="327" t="s">
        <v>586</v>
      </c>
      <c r="AB23" s="327" t="s">
        <v>582</v>
      </c>
      <c r="AC23" s="328" t="s">
        <v>827</v>
      </c>
      <c r="AD23" s="329" t="s">
        <v>830</v>
      </c>
      <c r="AE23" s="342" t="s">
        <v>581</v>
      </c>
      <c r="AF23" s="331" t="s">
        <v>831</v>
      </c>
      <c r="AG23" s="73"/>
      <c r="AH23" s="332" t="s">
        <v>589</v>
      </c>
      <c r="AI23" s="333">
        <f>50/1000</f>
        <v>0.05</v>
      </c>
      <c r="AJ23" s="333">
        <v>1</v>
      </c>
      <c r="AK23" s="378"/>
      <c r="AL23" s="381"/>
      <c r="AM23" s="377">
        <v>5.5</v>
      </c>
      <c r="AN23" s="333">
        <v>0.01</v>
      </c>
      <c r="AO23" s="333">
        <v>6</v>
      </c>
      <c r="AP23" s="524">
        <f>(0.42+0.55)/2000000+0.000000000111</f>
        <v>4.8511100000000001E-7</v>
      </c>
      <c r="AQ23" s="208">
        <v>0.5</v>
      </c>
      <c r="AR23" s="527"/>
      <c r="AS23" s="381"/>
      <c r="AT23" s="527"/>
      <c r="AU23" s="73"/>
      <c r="AV23" s="333">
        <v>8</v>
      </c>
      <c r="AW23" s="526">
        <v>250</v>
      </c>
      <c r="AX23" s="333"/>
      <c r="AY23" s="519">
        <v>30</v>
      </c>
      <c r="AZ23" s="73"/>
      <c r="BA23" s="73"/>
      <c r="BB23" s="73"/>
      <c r="BC23" s="525">
        <v>7.5</v>
      </c>
      <c r="BD23" s="334" t="s">
        <v>839</v>
      </c>
    </row>
    <row r="24" spans="1:56" s="68" customFormat="1" ht="34">
      <c r="Z24" s="68">
        <v>22</v>
      </c>
      <c r="AA24" s="327" t="s">
        <v>586</v>
      </c>
      <c r="AB24" s="327" t="s">
        <v>582</v>
      </c>
      <c r="AC24" s="328" t="s">
        <v>584</v>
      </c>
      <c r="AD24" s="329" t="s">
        <v>830</v>
      </c>
      <c r="AE24" s="342" t="s">
        <v>581</v>
      </c>
      <c r="AF24" s="331" t="s">
        <v>858</v>
      </c>
      <c r="AG24" s="73"/>
      <c r="AH24" s="332" t="s">
        <v>842</v>
      </c>
      <c r="AI24" s="333">
        <f>50/1000</f>
        <v>0.05</v>
      </c>
      <c r="AJ24" s="333">
        <v>1</v>
      </c>
      <c r="AK24" s="335">
        <f>160/1000</f>
        <v>0.16</v>
      </c>
      <c r="AL24" s="335">
        <v>1.5</v>
      </c>
      <c r="AM24" s="377">
        <v>5.5</v>
      </c>
      <c r="AN24" s="333">
        <v>0.01</v>
      </c>
      <c r="AO24" s="333">
        <v>8</v>
      </c>
      <c r="AP24" s="524">
        <f>(0.42+0.55)/2000000+0.000000000111</f>
        <v>4.8511100000000001E-7</v>
      </c>
      <c r="AQ24" s="208">
        <v>0.5</v>
      </c>
      <c r="AR24" s="527"/>
      <c r="AS24" s="381"/>
      <c r="AT24" s="527"/>
      <c r="AU24" s="73"/>
      <c r="AV24" s="333">
        <v>10</v>
      </c>
      <c r="AW24" s="526">
        <v>325</v>
      </c>
      <c r="AX24" s="333"/>
      <c r="AY24" s="519">
        <v>30</v>
      </c>
      <c r="AZ24" s="73"/>
      <c r="BA24" s="73"/>
      <c r="BB24" s="73"/>
      <c r="BC24" s="525">
        <v>7.5</v>
      </c>
      <c r="BD24" s="334" t="s">
        <v>839</v>
      </c>
    </row>
    <row r="25" spans="1:56" s="68" customFormat="1" ht="35" customHeight="1">
      <c r="Z25" s="68">
        <v>23</v>
      </c>
      <c r="AA25" s="427" t="s">
        <v>586</v>
      </c>
      <c r="AB25" s="327" t="s">
        <v>583</v>
      </c>
      <c r="AC25" s="328" t="s">
        <v>827</v>
      </c>
      <c r="AD25" s="329" t="s">
        <v>830</v>
      </c>
      <c r="AE25" s="330" t="s">
        <v>581</v>
      </c>
      <c r="AF25" s="331" t="s">
        <v>831</v>
      </c>
      <c r="AG25" s="73"/>
      <c r="AH25" s="332" t="s">
        <v>587</v>
      </c>
      <c r="AI25" s="333">
        <f>50/1000</f>
        <v>0.05</v>
      </c>
      <c r="AJ25" s="333">
        <v>1</v>
      </c>
      <c r="AK25" s="378"/>
      <c r="AL25" s="381"/>
      <c r="AM25" s="377">
        <v>5.5</v>
      </c>
      <c r="AN25" s="333">
        <v>0.01</v>
      </c>
      <c r="AO25" s="333">
        <v>6</v>
      </c>
      <c r="AP25" s="524">
        <f>(0.42+0.55)/2000000+0.000000000111</f>
        <v>4.8511100000000001E-7</v>
      </c>
      <c r="AQ25" s="208">
        <v>0.5</v>
      </c>
      <c r="AR25" s="527"/>
      <c r="AS25" s="381"/>
      <c r="AT25" s="527"/>
      <c r="AU25" s="73"/>
      <c r="AV25" s="333">
        <v>8</v>
      </c>
      <c r="AW25" s="526">
        <v>250</v>
      </c>
      <c r="AX25" s="333"/>
      <c r="AY25" s="519">
        <v>30</v>
      </c>
      <c r="AZ25" s="73"/>
      <c r="BA25" s="73"/>
      <c r="BB25" s="73"/>
      <c r="BC25" s="525">
        <v>7.5</v>
      </c>
      <c r="BD25" s="334" t="s">
        <v>839</v>
      </c>
    </row>
    <row r="26" spans="1:56" s="376" customFormat="1" ht="34">
      <c r="Z26" s="376">
        <v>24</v>
      </c>
      <c r="AA26" s="421" t="s">
        <v>586</v>
      </c>
      <c r="AB26" s="421" t="s">
        <v>583</v>
      </c>
      <c r="AC26" s="422" t="s">
        <v>584</v>
      </c>
      <c r="AD26" s="422" t="s">
        <v>830</v>
      </c>
      <c r="AE26" s="423" t="s">
        <v>581</v>
      </c>
      <c r="AF26" s="424" t="s">
        <v>831</v>
      </c>
      <c r="AG26" s="386"/>
      <c r="AH26" s="426" t="s">
        <v>843</v>
      </c>
      <c r="AI26" s="377">
        <f>50/1000</f>
        <v>0.05</v>
      </c>
      <c r="AJ26" s="377">
        <v>1</v>
      </c>
      <c r="AK26" s="381">
        <f>160/1000</f>
        <v>0.16</v>
      </c>
      <c r="AL26" s="381">
        <v>1.5</v>
      </c>
      <c r="AM26" s="377">
        <v>5.5</v>
      </c>
      <c r="AN26" s="377">
        <v>0.01</v>
      </c>
      <c r="AO26" s="377">
        <v>8</v>
      </c>
      <c r="AP26" s="524">
        <f>(0.42+0.55)/2000000+0.000000000111</f>
        <v>4.8511100000000001E-7</v>
      </c>
      <c r="AQ26" s="385">
        <v>0.5</v>
      </c>
      <c r="AR26" s="527"/>
      <c r="AS26" s="381"/>
      <c r="AT26" s="527"/>
      <c r="AU26" s="386"/>
      <c r="AV26" s="377">
        <v>10</v>
      </c>
      <c r="AW26" s="526">
        <v>325</v>
      </c>
      <c r="AX26" s="377"/>
      <c r="AY26" s="519">
        <v>30</v>
      </c>
      <c r="AZ26" s="386"/>
      <c r="BA26" s="386"/>
      <c r="BB26" s="386"/>
      <c r="BC26" s="525">
        <v>7.5</v>
      </c>
      <c r="BD26" s="425" t="s">
        <v>839</v>
      </c>
    </row>
    <row r="27" spans="1:56" s="68" customFormat="1">
      <c r="Z27" s="68">
        <v>25</v>
      </c>
      <c r="AA27" s="327" t="s">
        <v>857</v>
      </c>
      <c r="AB27" s="327" t="s">
        <v>582</v>
      </c>
      <c r="AC27" s="328" t="s">
        <v>827</v>
      </c>
      <c r="AD27" s="329" t="s">
        <v>590</v>
      </c>
      <c r="AE27" s="336" t="s">
        <v>581</v>
      </c>
      <c r="AF27" s="337" t="s">
        <v>599</v>
      </c>
      <c r="AG27" s="73"/>
      <c r="AH27" s="332" t="s">
        <v>844</v>
      </c>
      <c r="AI27" s="370">
        <v>0.05</v>
      </c>
      <c r="AJ27" s="333">
        <v>1</v>
      </c>
      <c r="AK27" s="378"/>
      <c r="AL27" s="381"/>
      <c r="AM27" s="333">
        <v>5</v>
      </c>
      <c r="AN27" s="333">
        <v>0.17</v>
      </c>
      <c r="AO27" s="333">
        <v>3</v>
      </c>
      <c r="AP27" s="524">
        <v>0.55500000000000005</v>
      </c>
      <c r="AQ27" s="208">
        <v>0.5</v>
      </c>
      <c r="AR27" s="527"/>
      <c r="AS27" s="381"/>
      <c r="AT27" s="527"/>
      <c r="AU27" s="73"/>
      <c r="AV27" s="333">
        <v>5</v>
      </c>
      <c r="AW27" s="462">
        <v>20</v>
      </c>
      <c r="AX27" s="333"/>
      <c r="AY27" s="519">
        <v>30</v>
      </c>
      <c r="AZ27" s="73"/>
      <c r="BA27" s="73"/>
      <c r="BB27" s="73"/>
      <c r="BC27" s="211"/>
      <c r="BD27" s="334" t="s">
        <v>557</v>
      </c>
    </row>
    <row r="28" spans="1:56" s="68" customFormat="1" ht="34">
      <c r="Z28" s="68">
        <v>26</v>
      </c>
      <c r="AA28" s="328" t="s">
        <v>860</v>
      </c>
      <c r="AB28" s="327" t="s">
        <v>582</v>
      </c>
      <c r="AC28" s="328" t="s">
        <v>827</v>
      </c>
      <c r="AD28" s="329" t="s">
        <v>830</v>
      </c>
      <c r="AE28" s="336" t="s">
        <v>581</v>
      </c>
      <c r="AF28" s="338" t="s">
        <v>831</v>
      </c>
      <c r="AG28" s="73"/>
      <c r="AH28" s="332" t="s">
        <v>845</v>
      </c>
      <c r="AI28" s="333">
        <f>45/1000</f>
        <v>4.4999999999999998E-2</v>
      </c>
      <c r="AJ28" s="333">
        <v>1.2</v>
      </c>
      <c r="AK28" s="378"/>
      <c r="AL28" s="381"/>
      <c r="AM28" s="333">
        <v>10</v>
      </c>
      <c r="AN28" s="377">
        <v>0.1</v>
      </c>
      <c r="AO28" s="333">
        <v>3</v>
      </c>
      <c r="AP28" s="524">
        <v>0.5</v>
      </c>
      <c r="AQ28" s="208"/>
      <c r="AR28" s="527"/>
      <c r="AS28" s="381"/>
      <c r="AT28" s="527"/>
      <c r="AU28" s="73"/>
      <c r="AV28" s="333">
        <v>5</v>
      </c>
      <c r="AW28" s="208">
        <v>2.5000000000000001E-2</v>
      </c>
      <c r="AX28" s="333"/>
      <c r="AY28" s="519">
        <v>30</v>
      </c>
      <c r="AZ28" s="73"/>
      <c r="BA28" s="73"/>
      <c r="BB28" s="73"/>
      <c r="BC28" s="211"/>
      <c r="BD28" s="334" t="s">
        <v>557</v>
      </c>
    </row>
    <row r="29" spans="1:56" s="68" customFormat="1">
      <c r="Z29" s="68">
        <v>27</v>
      </c>
      <c r="AA29" s="327" t="s">
        <v>857</v>
      </c>
      <c r="AB29" s="327" t="s">
        <v>582</v>
      </c>
      <c r="AC29" s="328" t="s">
        <v>584</v>
      </c>
      <c r="AD29" s="329" t="s">
        <v>590</v>
      </c>
      <c r="AE29" s="336" t="s">
        <v>581</v>
      </c>
      <c r="AF29" s="337" t="s">
        <v>599</v>
      </c>
      <c r="AG29" s="73"/>
      <c r="AH29" s="332" t="s">
        <v>846</v>
      </c>
      <c r="AI29" s="370">
        <v>0.05</v>
      </c>
      <c r="AJ29" s="333">
        <v>1</v>
      </c>
      <c r="AK29" s="335">
        <f>160/1000</f>
        <v>0.16</v>
      </c>
      <c r="AL29" s="335">
        <v>1.5</v>
      </c>
      <c r="AM29" s="333">
        <v>5</v>
      </c>
      <c r="AN29" s="333">
        <v>0.17</v>
      </c>
      <c r="AO29" s="333">
        <v>4</v>
      </c>
      <c r="AP29" s="524">
        <v>0.55500000000000005</v>
      </c>
      <c r="AQ29" s="208">
        <v>0.5</v>
      </c>
      <c r="AR29" s="527"/>
      <c r="AS29" s="381"/>
      <c r="AT29" s="527"/>
      <c r="AU29" s="73"/>
      <c r="AV29" s="333">
        <v>6</v>
      </c>
      <c r="AW29" s="462">
        <v>25</v>
      </c>
      <c r="AX29" s="333"/>
      <c r="AY29" s="519">
        <v>30</v>
      </c>
      <c r="AZ29" s="73"/>
      <c r="BA29" s="73"/>
      <c r="BB29" s="73"/>
      <c r="BC29" s="211"/>
      <c r="BD29" s="334" t="s">
        <v>557</v>
      </c>
    </row>
    <row r="30" spans="1:56" s="68" customFormat="1" ht="34">
      <c r="Z30" s="68">
        <v>28</v>
      </c>
      <c r="AA30" s="328" t="s">
        <v>860</v>
      </c>
      <c r="AB30" s="327" t="s">
        <v>582</v>
      </c>
      <c r="AC30" s="328" t="s">
        <v>584</v>
      </c>
      <c r="AD30" s="329" t="s">
        <v>830</v>
      </c>
      <c r="AE30" s="336" t="s">
        <v>581</v>
      </c>
      <c r="AF30" s="338" t="s">
        <v>831</v>
      </c>
      <c r="AG30" s="73"/>
      <c r="AH30" s="332" t="s">
        <v>847</v>
      </c>
      <c r="AI30" s="333">
        <f>45/1000</f>
        <v>4.4999999999999998E-2</v>
      </c>
      <c r="AJ30" s="333">
        <v>1.2</v>
      </c>
      <c r="AK30" s="335">
        <f>160/1000</f>
        <v>0.16</v>
      </c>
      <c r="AL30" s="335">
        <v>1.5</v>
      </c>
      <c r="AM30" s="333">
        <v>10</v>
      </c>
      <c r="AN30" s="377">
        <v>0.1</v>
      </c>
      <c r="AO30" s="333">
        <v>4</v>
      </c>
      <c r="AP30" s="524">
        <v>0.5</v>
      </c>
      <c r="AQ30" s="208">
        <v>0.5</v>
      </c>
      <c r="AR30" s="527"/>
      <c r="AS30" s="381"/>
      <c r="AT30" s="527"/>
      <c r="AU30" s="73"/>
      <c r="AV30" s="333">
        <v>6</v>
      </c>
      <c r="AW30" s="208">
        <v>2.5000000000000001E-2</v>
      </c>
      <c r="AX30" s="333"/>
      <c r="AY30" s="519">
        <v>30</v>
      </c>
      <c r="AZ30" s="73"/>
      <c r="BA30" s="73"/>
      <c r="BB30" s="73"/>
      <c r="BC30" s="211"/>
      <c r="BD30" s="334" t="s">
        <v>557</v>
      </c>
    </row>
    <row r="31" spans="1:56" s="68" customFormat="1">
      <c r="Z31" s="68">
        <v>29</v>
      </c>
      <c r="AA31" s="327" t="s">
        <v>857</v>
      </c>
      <c r="AB31" s="327" t="s">
        <v>583</v>
      </c>
      <c r="AC31" s="328" t="s">
        <v>827</v>
      </c>
      <c r="AD31" s="329" t="s">
        <v>620</v>
      </c>
      <c r="AE31" s="327" t="s">
        <v>581</v>
      </c>
      <c r="AF31" s="337" t="s">
        <v>599</v>
      </c>
      <c r="AG31" s="73"/>
      <c r="AH31" s="332" t="s">
        <v>848</v>
      </c>
      <c r="AI31" s="370">
        <v>0.05</v>
      </c>
      <c r="AJ31" s="333">
        <v>1</v>
      </c>
      <c r="AK31" s="378"/>
      <c r="AL31" s="381"/>
      <c r="AM31" s="333">
        <v>5</v>
      </c>
      <c r="AN31" s="333">
        <v>0.17</v>
      </c>
      <c r="AO31" s="333">
        <v>3</v>
      </c>
      <c r="AP31" s="524">
        <v>0.55500000000000005</v>
      </c>
      <c r="AQ31" s="208">
        <v>0.5</v>
      </c>
      <c r="AR31" s="527"/>
      <c r="AS31" s="381"/>
      <c r="AT31" s="527"/>
      <c r="AU31" s="73"/>
      <c r="AV31" s="333">
        <v>5</v>
      </c>
      <c r="AW31" s="462">
        <v>20</v>
      </c>
      <c r="AX31" s="333"/>
      <c r="AY31" s="519">
        <v>30</v>
      </c>
      <c r="AZ31" s="73"/>
      <c r="BA31" s="73"/>
      <c r="BB31" s="73"/>
      <c r="BC31" s="211"/>
      <c r="BD31" s="334" t="s">
        <v>557</v>
      </c>
    </row>
    <row r="32" spans="1:56" s="68" customFormat="1" ht="34">
      <c r="Z32" s="68">
        <v>30</v>
      </c>
      <c r="AA32" s="328" t="s">
        <v>860</v>
      </c>
      <c r="AB32" s="327" t="s">
        <v>583</v>
      </c>
      <c r="AC32" s="328" t="s">
        <v>827</v>
      </c>
      <c r="AD32" s="329" t="s">
        <v>830</v>
      </c>
      <c r="AE32" s="327" t="s">
        <v>581</v>
      </c>
      <c r="AF32" s="338" t="s">
        <v>831</v>
      </c>
      <c r="AG32" s="73"/>
      <c r="AH32" s="332" t="s">
        <v>1104</v>
      </c>
      <c r="AI32" s="333">
        <f>45/1000</f>
        <v>4.4999999999999998E-2</v>
      </c>
      <c r="AJ32" s="333">
        <v>1.2</v>
      </c>
      <c r="AK32" s="378"/>
      <c r="AL32" s="381"/>
      <c r="AM32" s="333">
        <v>10</v>
      </c>
      <c r="AN32" s="377">
        <v>0.1</v>
      </c>
      <c r="AO32" s="333">
        <v>3</v>
      </c>
      <c r="AP32" s="524">
        <v>0.5</v>
      </c>
      <c r="AQ32" s="208"/>
      <c r="AR32" s="527"/>
      <c r="AS32" s="381"/>
      <c r="AT32" s="527"/>
      <c r="AU32" s="73"/>
      <c r="AV32" s="333">
        <v>5</v>
      </c>
      <c r="AW32" s="208">
        <v>2.5000000000000001E-2</v>
      </c>
      <c r="AX32" s="333"/>
      <c r="AY32" s="519">
        <v>30</v>
      </c>
      <c r="AZ32" s="73"/>
      <c r="BA32" s="73"/>
      <c r="BB32" s="73"/>
      <c r="BC32" s="211"/>
      <c r="BD32" s="334" t="s">
        <v>557</v>
      </c>
    </row>
    <row r="33" spans="1:61" s="68" customFormat="1">
      <c r="Z33" s="68">
        <v>31</v>
      </c>
      <c r="AA33" s="327" t="s">
        <v>857</v>
      </c>
      <c r="AB33" s="327" t="s">
        <v>583</v>
      </c>
      <c r="AC33" s="328" t="s">
        <v>584</v>
      </c>
      <c r="AD33" s="329" t="s">
        <v>620</v>
      </c>
      <c r="AE33" s="327" t="s">
        <v>581</v>
      </c>
      <c r="AF33" s="337" t="s">
        <v>599</v>
      </c>
      <c r="AG33" s="73"/>
      <c r="AH33" s="332" t="s">
        <v>849</v>
      </c>
      <c r="AI33" s="370">
        <v>0.05</v>
      </c>
      <c r="AJ33" s="333">
        <v>1</v>
      </c>
      <c r="AK33" s="335">
        <f>160/1000</f>
        <v>0.16</v>
      </c>
      <c r="AL33" s="335">
        <v>1.5</v>
      </c>
      <c r="AM33" s="333">
        <v>5</v>
      </c>
      <c r="AN33" s="333">
        <v>0.17</v>
      </c>
      <c r="AO33" s="333">
        <v>4</v>
      </c>
      <c r="AP33" s="524">
        <v>0.55500000000000005</v>
      </c>
      <c r="AQ33" s="208">
        <v>0.5</v>
      </c>
      <c r="AR33" s="527"/>
      <c r="AS33" s="381"/>
      <c r="AT33" s="527"/>
      <c r="AU33" s="73"/>
      <c r="AV33" s="333">
        <v>6</v>
      </c>
      <c r="AW33" s="462">
        <v>25</v>
      </c>
      <c r="AX33" s="333"/>
      <c r="AY33" s="519">
        <v>30</v>
      </c>
      <c r="AZ33" s="73"/>
      <c r="BA33" s="73"/>
      <c r="BB33" s="73"/>
      <c r="BC33" s="211"/>
      <c r="BD33" s="334" t="s">
        <v>557</v>
      </c>
    </row>
    <row r="34" spans="1:61" s="68" customFormat="1" ht="34">
      <c r="Z34" s="68">
        <v>32</v>
      </c>
      <c r="AA34" s="328" t="s">
        <v>860</v>
      </c>
      <c r="AB34" s="327" t="s">
        <v>583</v>
      </c>
      <c r="AC34" s="328" t="s">
        <v>584</v>
      </c>
      <c r="AD34" s="329" t="s">
        <v>830</v>
      </c>
      <c r="AE34" s="330" t="s">
        <v>581</v>
      </c>
      <c r="AF34" s="331" t="s">
        <v>831</v>
      </c>
      <c r="AG34" s="73"/>
      <c r="AH34" s="339" t="s">
        <v>850</v>
      </c>
      <c r="AI34" s="333">
        <f>45/1000</f>
        <v>4.4999999999999998E-2</v>
      </c>
      <c r="AJ34" s="333">
        <v>1.2</v>
      </c>
      <c r="AK34" s="335">
        <f>160/1000</f>
        <v>0.16</v>
      </c>
      <c r="AL34" s="335">
        <v>1.5</v>
      </c>
      <c r="AM34" s="333">
        <v>10</v>
      </c>
      <c r="AN34" s="377">
        <v>0.1</v>
      </c>
      <c r="AO34" s="333">
        <v>4</v>
      </c>
      <c r="AP34" s="524">
        <v>0.5</v>
      </c>
      <c r="AQ34" s="208">
        <v>0.5</v>
      </c>
      <c r="AR34" s="527"/>
      <c r="AS34" s="381"/>
      <c r="AT34" s="527"/>
      <c r="AU34" s="73"/>
      <c r="AV34" s="333">
        <v>6</v>
      </c>
      <c r="AW34" s="208">
        <v>2.5000000000000001E-2</v>
      </c>
      <c r="AX34" s="333"/>
      <c r="AY34" s="519">
        <v>30</v>
      </c>
      <c r="AZ34" s="73"/>
      <c r="BA34" s="73"/>
      <c r="BB34" s="73"/>
      <c r="BC34" s="211"/>
      <c r="BD34" s="334" t="s">
        <v>557</v>
      </c>
    </row>
    <row r="35" spans="1:61" s="68" customFormat="1">
      <c r="Z35" s="68">
        <v>33</v>
      </c>
      <c r="AA35" s="208" t="s">
        <v>1035</v>
      </c>
      <c r="AB35" s="208" t="s">
        <v>582</v>
      </c>
      <c r="AC35" s="208" t="s">
        <v>584</v>
      </c>
      <c r="AD35" s="208"/>
      <c r="AE35" s="205"/>
      <c r="AF35" s="245"/>
      <c r="AG35" s="371"/>
      <c r="AH35" s="372" t="s">
        <v>1034</v>
      </c>
      <c r="AI35" s="206">
        <v>0.05</v>
      </c>
      <c r="AJ35" s="206">
        <v>1.5</v>
      </c>
      <c r="AK35" s="206">
        <v>0.2</v>
      </c>
      <c r="AL35" s="206">
        <v>1.7</v>
      </c>
      <c r="AM35" s="207">
        <v>40</v>
      </c>
      <c r="AN35" s="206">
        <v>0.3</v>
      </c>
      <c r="AO35" s="206">
        <v>6</v>
      </c>
      <c r="AP35" s="208">
        <v>0.5</v>
      </c>
      <c r="AQ35" s="208">
        <v>0.5</v>
      </c>
      <c r="AR35" s="222"/>
      <c r="AS35" s="379">
        <v>6</v>
      </c>
      <c r="AT35" s="222"/>
      <c r="AU35" s="206"/>
      <c r="AV35" s="208">
        <v>8</v>
      </c>
      <c r="AW35" s="462">
        <f>ROUND(TableAG[[#This Row],[Удельная номинальная токовая нагрузка на погонный метр изделия (Iаз.н, А/м)]],0)</f>
        <v>0</v>
      </c>
      <c r="AX35" s="208"/>
      <c r="AY35" s="385">
        <v>30</v>
      </c>
      <c r="AZ35" s="208"/>
      <c r="BA35" s="208"/>
      <c r="BB35" s="208"/>
      <c r="BC35" s="211"/>
      <c r="BD35" s="244"/>
    </row>
    <row r="36" spans="1:61" s="68" customFormat="1" ht="16" customHeight="1">
      <c r="Z36" s="68">
        <v>34</v>
      </c>
      <c r="AA36" s="383" t="s">
        <v>535</v>
      </c>
      <c r="AB36" s="208" t="s">
        <v>582</v>
      </c>
      <c r="AC36" s="208" t="s">
        <v>827</v>
      </c>
      <c r="AD36" s="208"/>
      <c r="AE36" s="205"/>
      <c r="AF36" s="245" t="s">
        <v>886</v>
      </c>
      <c r="AG36" s="371"/>
      <c r="AH36" s="372" t="s">
        <v>885</v>
      </c>
      <c r="AI36" s="206">
        <v>0.09</v>
      </c>
      <c r="AJ36" s="206">
        <v>1.5</v>
      </c>
      <c r="AK36" s="206"/>
      <c r="AL36" s="206"/>
      <c r="AM36" s="207">
        <v>43</v>
      </c>
      <c r="AN36" s="206">
        <v>0.3</v>
      </c>
      <c r="AO36" s="206">
        <v>2.5</v>
      </c>
      <c r="AP36" s="220">
        <v>5.5499999999999998E-7</v>
      </c>
      <c r="AQ36" s="208">
        <v>0.5</v>
      </c>
      <c r="AR36" s="222"/>
      <c r="AS36" s="379"/>
      <c r="AT36" s="222"/>
      <c r="AU36" s="206"/>
      <c r="AV36" s="208">
        <v>5</v>
      </c>
      <c r="AW36" s="208">
        <v>6</v>
      </c>
      <c r="AX36" s="208"/>
      <c r="AY36" s="385">
        <v>30</v>
      </c>
      <c r="AZ36" s="208"/>
      <c r="BA36" s="208"/>
      <c r="BB36" s="208"/>
      <c r="BC36" s="211"/>
      <c r="BD36" s="244"/>
    </row>
    <row r="37" spans="1:61" s="68" customFormat="1">
      <c r="Z37" s="134">
        <v>35</v>
      </c>
      <c r="AA37" s="486" t="s">
        <v>1078</v>
      </c>
      <c r="AB37" s="486" t="s">
        <v>583</v>
      </c>
      <c r="AC37" s="486" t="s">
        <v>827</v>
      </c>
      <c r="AD37" s="486"/>
      <c r="AE37" s="486"/>
      <c r="AF37" s="487"/>
      <c r="AG37" s="488"/>
      <c r="AH37" s="495" t="s">
        <v>1076</v>
      </c>
      <c r="AI37" s="486">
        <v>0.19</v>
      </c>
      <c r="AJ37" s="486">
        <v>11.1</v>
      </c>
      <c r="AK37" s="486"/>
      <c r="AL37" s="486"/>
      <c r="AM37" s="486">
        <v>10</v>
      </c>
      <c r="AN37" s="486">
        <v>0.35</v>
      </c>
      <c r="AO37" s="379"/>
      <c r="AP37" s="208"/>
      <c r="AQ37" s="486"/>
      <c r="AR37" s="222"/>
      <c r="AS37" s="206">
        <v>6</v>
      </c>
      <c r="AT37" s="222"/>
      <c r="AU37" s="486"/>
      <c r="AV37" s="486"/>
      <c r="AW37" s="462">
        <f>ROUND(TableAG[[#This Row],[Удельная номинальная токовая нагрузка на погонный метр изделия (Iаз.н, А/м)]],3)</f>
        <v>0</v>
      </c>
      <c r="AX37" s="486"/>
      <c r="AY37" s="486"/>
      <c r="AZ37" s="486"/>
      <c r="BA37" s="486"/>
      <c r="BB37" s="486"/>
      <c r="BC37" s="489"/>
      <c r="BD37" s="490"/>
    </row>
    <row r="38" spans="1:61" s="68" customFormat="1">
      <c r="Z38" s="134">
        <v>36</v>
      </c>
      <c r="AA38" s="486" t="s">
        <v>1078</v>
      </c>
      <c r="AB38" s="486" t="s">
        <v>583</v>
      </c>
      <c r="AC38" s="486" t="s">
        <v>827</v>
      </c>
      <c r="AD38" s="486"/>
      <c r="AE38" s="486"/>
      <c r="AF38" s="487"/>
      <c r="AG38" s="488"/>
      <c r="AH38" s="495" t="s">
        <v>1077</v>
      </c>
      <c r="AI38" s="486">
        <v>0.19</v>
      </c>
      <c r="AJ38" s="486">
        <v>11.1</v>
      </c>
      <c r="AK38" s="486"/>
      <c r="AL38" s="486"/>
      <c r="AM38" s="486">
        <v>10</v>
      </c>
      <c r="AN38" s="486">
        <v>0.35</v>
      </c>
      <c r="AO38" s="379"/>
      <c r="AP38" s="208"/>
      <c r="AQ38" s="486"/>
      <c r="AR38" s="222"/>
      <c r="AS38" s="206">
        <v>2.5</v>
      </c>
      <c r="AT38" s="222"/>
      <c r="AU38" s="486"/>
      <c r="AV38" s="486"/>
      <c r="AW38" s="462">
        <f>ROUND(TableAG[[#This Row],[Удельная номинальная токовая нагрузка на погонный метр изделия (Iаз.н, А/м)]],3)</f>
        <v>0</v>
      </c>
      <c r="AX38" s="486"/>
      <c r="AY38" s="486"/>
      <c r="AZ38" s="486"/>
      <c r="BA38" s="486"/>
      <c r="BB38" s="486"/>
      <c r="BC38" s="489"/>
      <c r="BD38" s="490"/>
    </row>
    <row r="39" spans="1:61" s="68" customFormat="1">
      <c r="A39" s="340"/>
      <c r="C39" s="340"/>
      <c r="D39" s="340"/>
      <c r="O39" s="340"/>
      <c r="P39" s="340"/>
      <c r="Z39" s="134">
        <v>37</v>
      </c>
      <c r="AA39" s="486" t="s">
        <v>1086</v>
      </c>
      <c r="AB39" s="486" t="s">
        <v>582</v>
      </c>
      <c r="AC39" s="486" t="s">
        <v>827</v>
      </c>
      <c r="AD39" s="486"/>
      <c r="AE39" s="486"/>
      <c r="AF39" s="487"/>
      <c r="AG39" s="488"/>
      <c r="AH39" s="491" t="s">
        <v>1087</v>
      </c>
      <c r="AI39" s="486">
        <v>7.0000000000000007E-2</v>
      </c>
      <c r="AJ39" s="486">
        <v>1.5</v>
      </c>
      <c r="AK39" s="486"/>
      <c r="AL39" s="486"/>
      <c r="AM39" s="486">
        <v>40</v>
      </c>
      <c r="AN39" s="486">
        <v>0.3</v>
      </c>
      <c r="AO39" s="531"/>
      <c r="AP39" s="208"/>
      <c r="AQ39" s="486"/>
      <c r="AR39" s="222"/>
      <c r="AS39" s="379">
        <v>1</v>
      </c>
      <c r="AT39" s="222"/>
      <c r="AU39" s="486"/>
      <c r="AV39" s="486"/>
      <c r="AW39" s="462">
        <f>ROUND(TableAG[[#This Row],[Удельная номинальная токовая нагрузка на погонный метр изделия (Iаз.н, А/м)]],0)</f>
        <v>0</v>
      </c>
      <c r="AX39" s="486"/>
      <c r="AY39" s="486"/>
      <c r="AZ39" s="486"/>
      <c r="BA39" s="486"/>
      <c r="BB39" s="486"/>
      <c r="BC39" s="489"/>
      <c r="BD39" s="490"/>
    </row>
    <row r="40" spans="1:61" s="68" customFormat="1">
      <c r="B40" s="340"/>
      <c r="Z40" s="91">
        <v>38</v>
      </c>
      <c r="AA40" s="468" t="s">
        <v>860</v>
      </c>
      <c r="AB40" s="468" t="s">
        <v>585</v>
      </c>
      <c r="AC40" s="206" t="s">
        <v>584</v>
      </c>
      <c r="AD40" s="206"/>
      <c r="AE40" s="468"/>
      <c r="AF40" s="484"/>
      <c r="AG40" s="485"/>
      <c r="AH40" s="492" t="s">
        <v>1088</v>
      </c>
      <c r="AI40" s="206">
        <f>2*SQRT(50*0.000001/PI())</f>
        <v>7.9788456080286535E-3</v>
      </c>
      <c r="AJ40" s="206">
        <v>1</v>
      </c>
      <c r="AK40" s="206">
        <v>0.08</v>
      </c>
      <c r="AL40" s="206">
        <v>1</v>
      </c>
      <c r="AM40" s="206"/>
      <c r="AN40" s="206">
        <v>0.25</v>
      </c>
      <c r="AO40" s="509"/>
      <c r="AP40" s="206">
        <v>0.5</v>
      </c>
      <c r="AQ40" s="206">
        <v>0.5</v>
      </c>
      <c r="AR40" s="222">
        <v>40</v>
      </c>
      <c r="AS40" s="379">
        <v>1</v>
      </c>
      <c r="AT40" s="222"/>
      <c r="AU40" s="206"/>
      <c r="AV40" s="206"/>
      <c r="AW40" s="462">
        <f>ROUND(TableAG[[#This Row],[Удельная номинальная токовая нагрузка на погонный метр изделия (Iаз.н, А/м)]],0)</f>
        <v>40</v>
      </c>
      <c r="AX40" s="206"/>
      <c r="AY40" s="379">
        <v>30</v>
      </c>
      <c r="AZ40" s="206"/>
      <c r="BA40" s="206"/>
      <c r="BB40" s="206"/>
      <c r="BC40" s="493"/>
      <c r="BD40" s="494"/>
    </row>
    <row r="41" spans="1:61" s="340" customFormat="1" ht="16" customHeight="1">
      <c r="A41" s="68"/>
      <c r="B41" s="68"/>
      <c r="C41" s="68"/>
      <c r="D41" s="68"/>
      <c r="E41" s="68"/>
      <c r="F41" s="68"/>
      <c r="G41" s="68"/>
      <c r="H41" s="68"/>
      <c r="I41" s="68"/>
      <c r="J41" s="68"/>
      <c r="K41" s="68"/>
      <c r="L41" s="341"/>
      <c r="M41" s="341"/>
      <c r="N41" s="341"/>
      <c r="O41" s="68"/>
      <c r="P41" s="68"/>
      <c r="Z41" s="68">
        <v>39</v>
      </c>
      <c r="AA41" s="214" t="s">
        <v>860</v>
      </c>
      <c r="AB41" s="214" t="s">
        <v>585</v>
      </c>
      <c r="AC41" s="214" t="s">
        <v>827</v>
      </c>
      <c r="AD41" s="214"/>
      <c r="AE41" s="511"/>
      <c r="AF41" s="506"/>
      <c r="AG41" s="507"/>
      <c r="AH41" s="508" t="s">
        <v>1059</v>
      </c>
      <c r="AI41" s="509">
        <v>1.2999999999999999E-2</v>
      </c>
      <c r="AJ41" s="509">
        <v>20</v>
      </c>
      <c r="AK41" s="509"/>
      <c r="AL41" s="509"/>
      <c r="AM41" s="510"/>
      <c r="AN41" s="509">
        <v>0.35</v>
      </c>
      <c r="AO41" s="509"/>
      <c r="AP41" s="208">
        <v>0.67</v>
      </c>
      <c r="AQ41" s="214">
        <v>0.5</v>
      </c>
      <c r="AR41" s="527">
        <v>0.1</v>
      </c>
      <c r="AS41" s="528">
        <v>1.4</v>
      </c>
      <c r="AT41" s="464"/>
      <c r="AU41" s="509"/>
      <c r="AV41" s="214"/>
      <c r="AW41" s="462">
        <f>ROUND(TableAG[[#This Row],[Удельная номинальная токовая нагрузка на погонный метр изделия (Iаз.н, А/м)]],3)</f>
        <v>0.1</v>
      </c>
      <c r="AX41" s="214"/>
      <c r="AY41" s="384"/>
      <c r="AZ41" s="214"/>
      <c r="BA41" s="214"/>
      <c r="BB41" s="214"/>
      <c r="BC41" s="212"/>
      <c r="BD41" s="244"/>
    </row>
    <row r="42" spans="1:61" s="68" customFormat="1">
      <c r="Z42"/>
      <c r="AA42"/>
      <c r="AB42"/>
      <c r="AC42"/>
      <c r="AD42"/>
      <c r="AE42"/>
      <c r="AF42"/>
      <c r="AG42"/>
      <c r="AH42"/>
      <c r="AI42"/>
      <c r="AJ42"/>
      <c r="AK42"/>
      <c r="AL42"/>
      <c r="AM42"/>
      <c r="AN42"/>
      <c r="AO42"/>
      <c r="AP42"/>
      <c r="AQ42"/>
      <c r="AR42"/>
      <c r="AS42"/>
      <c r="AU42"/>
      <c r="AX42"/>
      <c r="AZ42" s="515"/>
      <c r="BA42"/>
      <c r="BB42"/>
      <c r="BE42"/>
      <c r="BF42"/>
      <c r="BG42"/>
      <c r="BH42"/>
      <c r="BI42" s="242"/>
    </row>
    <row r="43" spans="1:61" s="68" customFormat="1">
      <c r="Z43"/>
      <c r="AA43"/>
      <c r="AB43"/>
      <c r="AC43"/>
      <c r="AD43"/>
      <c r="AE43"/>
      <c r="AF43"/>
      <c r="AG43"/>
      <c r="AH43"/>
      <c r="AI43"/>
      <c r="AJ43"/>
      <c r="AK43"/>
      <c r="AL43"/>
      <c r="AM43"/>
      <c r="AN43"/>
      <c r="AO43"/>
      <c r="AP43"/>
      <c r="AQ43"/>
      <c r="AR43"/>
      <c r="AS43"/>
      <c r="AU43"/>
      <c r="AX43"/>
      <c r="AZ43" s="515"/>
      <c r="BA43"/>
      <c r="BB43"/>
      <c r="BE43"/>
      <c r="BF43"/>
      <c r="BG43"/>
      <c r="BH43"/>
      <c r="BI43" s="242"/>
    </row>
    <row r="44" spans="1:61" s="68" customFormat="1">
      <c r="Z44"/>
      <c r="AA44"/>
      <c r="AB44"/>
      <c r="AC44"/>
      <c r="AD44"/>
      <c r="AE44"/>
      <c r="AF44"/>
      <c r="AG44"/>
      <c r="AH44"/>
      <c r="AI44"/>
      <c r="AJ44"/>
      <c r="AK44"/>
      <c r="AL44"/>
      <c r="AM44"/>
      <c r="AN44"/>
      <c r="AO44"/>
      <c r="AP44"/>
      <c r="AQ44"/>
      <c r="AR44"/>
      <c r="AS44"/>
      <c r="AU44"/>
      <c r="AX44"/>
      <c r="AZ44" s="515"/>
      <c r="BA44"/>
      <c r="BB44"/>
      <c r="BE44"/>
      <c r="BF44"/>
      <c r="BG44"/>
      <c r="BH44"/>
      <c r="BI44" s="242"/>
    </row>
    <row r="45" spans="1:61" s="68" customFormat="1">
      <c r="Z45"/>
      <c r="AA45"/>
      <c r="AB45"/>
      <c r="AC45"/>
      <c r="AD45"/>
      <c r="AE45"/>
      <c r="AF45"/>
      <c r="AG45"/>
      <c r="AH45"/>
      <c r="AI45"/>
      <c r="AJ45"/>
      <c r="AK45"/>
      <c r="AL45"/>
      <c r="AM45"/>
      <c r="AN45"/>
      <c r="AO45"/>
      <c r="AP45"/>
      <c r="AQ45"/>
      <c r="AR45"/>
      <c r="AS45"/>
      <c r="AU45"/>
      <c r="AX45"/>
      <c r="AZ45" s="515"/>
      <c r="BA45"/>
      <c r="BB45"/>
      <c r="BE45"/>
      <c r="BF45"/>
      <c r="BG45"/>
      <c r="BH45"/>
      <c r="BI45" s="242"/>
    </row>
    <row r="46" spans="1:61" s="68" customFormat="1">
      <c r="Z46"/>
      <c r="AA46"/>
      <c r="AB46"/>
      <c r="AC46"/>
      <c r="AD46"/>
      <c r="AE46"/>
      <c r="AF46"/>
      <c r="AG46"/>
      <c r="AH46"/>
      <c r="AI46"/>
      <c r="AJ46"/>
      <c r="AK46"/>
      <c r="AL46"/>
      <c r="AM46"/>
      <c r="AN46"/>
      <c r="AO46"/>
      <c r="AP46"/>
      <c r="AQ46"/>
      <c r="AR46"/>
      <c r="AS46"/>
      <c r="AU46"/>
      <c r="AX46"/>
      <c r="AZ46" s="515"/>
      <c r="BA46"/>
      <c r="BB46"/>
      <c r="BE46"/>
      <c r="BF46"/>
      <c r="BG46"/>
      <c r="BH46"/>
      <c r="BI46" s="242"/>
    </row>
    <row r="47" spans="1:61" s="68" customFormat="1" ht="16" customHeight="1">
      <c r="Z47"/>
      <c r="AA47"/>
      <c r="AB47"/>
      <c r="AC47"/>
      <c r="AD47"/>
      <c r="AE47"/>
      <c r="AF47"/>
      <c r="AG47"/>
      <c r="AH47"/>
      <c r="AI47"/>
      <c r="AJ47"/>
      <c r="AK47"/>
      <c r="AL47"/>
      <c r="AM47"/>
      <c r="AN47"/>
      <c r="AO47"/>
      <c r="AP47"/>
      <c r="AQ47"/>
      <c r="AR47"/>
      <c r="AS47"/>
      <c r="AU47"/>
      <c r="AX47"/>
      <c r="AZ47" s="515"/>
      <c r="BA47"/>
      <c r="BB47"/>
      <c r="BE47"/>
      <c r="BF47"/>
      <c r="BG47"/>
      <c r="BH47"/>
      <c r="BI47" s="242"/>
    </row>
    <row r="48" spans="1:61" s="68" customFormat="1">
      <c r="Z48"/>
      <c r="AA48"/>
      <c r="AB48"/>
      <c r="AC48"/>
      <c r="AD48"/>
      <c r="AE48"/>
      <c r="AF48"/>
      <c r="AG48"/>
      <c r="AH48"/>
      <c r="AI48"/>
      <c r="AJ48"/>
      <c r="AK48"/>
      <c r="AL48"/>
      <c r="AM48"/>
      <c r="AN48"/>
      <c r="AO48"/>
      <c r="AP48"/>
      <c r="AQ48"/>
      <c r="AR48"/>
      <c r="AS48"/>
      <c r="AU48"/>
      <c r="AX48"/>
      <c r="AZ48" s="515"/>
      <c r="BA48"/>
      <c r="BB48"/>
      <c r="BE48"/>
      <c r="BF48"/>
      <c r="BG48"/>
      <c r="BH48"/>
      <c r="BI48" s="242"/>
    </row>
    <row r="49" spans="1:61" s="68" customFormat="1">
      <c r="Z49"/>
      <c r="AA49"/>
      <c r="AB49"/>
      <c r="AC49"/>
      <c r="AD49"/>
      <c r="AE49"/>
      <c r="AF49"/>
      <c r="AG49"/>
      <c r="AH49"/>
      <c r="AI49"/>
      <c r="AJ49"/>
      <c r="AK49"/>
      <c r="AL49"/>
      <c r="AM49"/>
      <c r="AN49"/>
      <c r="AO49"/>
      <c r="AP49"/>
      <c r="AQ49"/>
      <c r="AR49"/>
      <c r="AS49"/>
      <c r="AU49"/>
      <c r="AX49"/>
      <c r="AZ49" s="515"/>
      <c r="BA49"/>
      <c r="BB49"/>
      <c r="BE49"/>
      <c r="BF49"/>
      <c r="BG49"/>
      <c r="BH49"/>
      <c r="BI49" s="242"/>
    </row>
    <row r="50" spans="1:61" s="68" customFormat="1">
      <c r="Z50"/>
      <c r="AA50"/>
      <c r="AB50"/>
      <c r="AC50"/>
      <c r="AD50"/>
      <c r="AE50"/>
      <c r="AF50"/>
      <c r="AG50"/>
      <c r="AH50"/>
      <c r="AI50"/>
      <c r="AJ50"/>
      <c r="AK50"/>
      <c r="AL50"/>
      <c r="AM50"/>
      <c r="AN50"/>
      <c r="AO50"/>
      <c r="AP50"/>
      <c r="AQ50"/>
      <c r="AR50"/>
      <c r="AS50"/>
      <c r="AU50"/>
      <c r="AX50"/>
      <c r="AZ50" s="515"/>
      <c r="BA50"/>
      <c r="BB50"/>
      <c r="BE50"/>
      <c r="BF50"/>
      <c r="BG50"/>
      <c r="BH50"/>
      <c r="BI50" s="242"/>
    </row>
    <row r="51" spans="1:61" s="68" customFormat="1">
      <c r="Z51"/>
      <c r="AA51"/>
      <c r="AB51"/>
      <c r="AC51"/>
      <c r="AD51"/>
      <c r="AE51"/>
      <c r="AF51"/>
      <c r="AG51"/>
      <c r="AH51"/>
      <c r="AI51"/>
      <c r="AJ51"/>
      <c r="AK51"/>
      <c r="AL51"/>
      <c r="AM51"/>
      <c r="AN51"/>
      <c r="AO51"/>
      <c r="AP51"/>
      <c r="AQ51"/>
      <c r="AR51"/>
      <c r="AS51"/>
      <c r="AU51"/>
      <c r="AX51"/>
      <c r="AZ51" s="515"/>
      <c r="BA51"/>
      <c r="BB51"/>
      <c r="BE51"/>
      <c r="BF51"/>
      <c r="BG51"/>
      <c r="BH51"/>
      <c r="BI51" s="242"/>
    </row>
    <row r="52" spans="1:61" s="68" customFormat="1">
      <c r="Z52"/>
      <c r="AA52"/>
      <c r="AB52"/>
      <c r="AC52"/>
      <c r="AD52"/>
      <c r="AE52"/>
      <c r="AF52"/>
      <c r="AG52"/>
      <c r="AH52"/>
      <c r="AI52"/>
      <c r="AJ52"/>
      <c r="AK52"/>
      <c r="AL52"/>
      <c r="AM52"/>
      <c r="AN52"/>
      <c r="AO52"/>
      <c r="AP52"/>
      <c r="AQ52"/>
      <c r="AR52"/>
      <c r="AS52"/>
      <c r="AU52"/>
      <c r="AX52"/>
      <c r="AZ52" s="515"/>
      <c r="BA52"/>
      <c r="BB52"/>
      <c r="BE52"/>
      <c r="BF52"/>
      <c r="BG52"/>
      <c r="BH52"/>
      <c r="BI52" s="242"/>
    </row>
    <row r="53" spans="1:61" s="68" customFormat="1" ht="16" customHeight="1">
      <c r="Z53"/>
      <c r="AA53"/>
      <c r="AB53"/>
      <c r="AC53"/>
      <c r="AD53"/>
      <c r="AE53"/>
      <c r="AF53"/>
      <c r="AG53"/>
      <c r="AH53"/>
      <c r="AI53"/>
      <c r="AJ53"/>
      <c r="AK53"/>
      <c r="AL53"/>
      <c r="AM53"/>
      <c r="AN53"/>
      <c r="AO53"/>
      <c r="AP53"/>
      <c r="AQ53"/>
      <c r="AR53"/>
      <c r="AS53"/>
      <c r="AU53"/>
      <c r="AX53"/>
      <c r="AZ53" s="515"/>
      <c r="BA53"/>
      <c r="BB53"/>
      <c r="BE53"/>
      <c r="BF53"/>
      <c r="BG53"/>
      <c r="BH53"/>
      <c r="BI53" s="242"/>
    </row>
    <row r="54" spans="1:61" s="68" customFormat="1">
      <c r="Z54"/>
      <c r="AA54"/>
      <c r="AB54"/>
      <c r="AC54"/>
      <c r="AD54"/>
      <c r="AE54"/>
      <c r="AF54"/>
      <c r="AG54"/>
      <c r="AH54"/>
      <c r="AI54"/>
      <c r="AJ54"/>
      <c r="AK54"/>
      <c r="AL54"/>
      <c r="AM54"/>
      <c r="AN54"/>
      <c r="AO54"/>
      <c r="AP54"/>
      <c r="AQ54"/>
      <c r="AR54"/>
      <c r="AS54"/>
      <c r="AU54"/>
      <c r="AX54"/>
      <c r="AZ54" s="515"/>
      <c r="BA54"/>
      <c r="BB54"/>
      <c r="BE54"/>
      <c r="BF54"/>
      <c r="BG54"/>
      <c r="BH54"/>
      <c r="BI54" s="242"/>
    </row>
    <row r="55" spans="1:61" s="68" customFormat="1">
      <c r="Z55"/>
      <c r="AA55"/>
      <c r="AB55"/>
      <c r="AC55"/>
      <c r="AD55"/>
      <c r="AE55"/>
      <c r="AF55"/>
      <c r="AG55"/>
      <c r="AH55"/>
      <c r="AI55"/>
      <c r="AJ55"/>
      <c r="AK55"/>
      <c r="AL55"/>
      <c r="AM55"/>
      <c r="AN55"/>
      <c r="AO55"/>
      <c r="AP55"/>
      <c r="AQ55"/>
      <c r="AR55"/>
      <c r="AS55"/>
      <c r="AU55"/>
      <c r="AX55"/>
      <c r="AZ55" s="515"/>
      <c r="BA55"/>
      <c r="BB55"/>
      <c r="BE55"/>
      <c r="BF55"/>
      <c r="BG55"/>
      <c r="BH55"/>
      <c r="BI55" s="242"/>
    </row>
    <row r="56" spans="1:61" s="68" customFormat="1" ht="16" customHeight="1">
      <c r="Z56"/>
      <c r="AA56"/>
      <c r="AB56"/>
      <c r="AC56"/>
      <c r="AD56"/>
      <c r="AE56"/>
      <c r="AF56"/>
      <c r="AG56"/>
      <c r="AH56"/>
      <c r="AI56"/>
      <c r="AJ56"/>
      <c r="AK56"/>
      <c r="AL56"/>
      <c r="AM56"/>
      <c r="AN56"/>
      <c r="AO56"/>
      <c r="AP56"/>
      <c r="AQ56"/>
      <c r="AR56"/>
      <c r="AS56"/>
      <c r="AU56"/>
      <c r="AX56"/>
      <c r="AZ56" s="515"/>
      <c r="BA56"/>
      <c r="BB56"/>
      <c r="BE56"/>
      <c r="BF56"/>
      <c r="BG56"/>
      <c r="BH56"/>
      <c r="BI56" s="242"/>
    </row>
    <row r="57" spans="1:61" s="68" customFormat="1">
      <c r="Z57"/>
      <c r="AA57"/>
      <c r="AB57"/>
      <c r="AC57"/>
      <c r="AD57"/>
      <c r="AE57"/>
      <c r="AF57"/>
      <c r="AG57"/>
      <c r="AH57"/>
      <c r="AI57"/>
      <c r="AJ57"/>
      <c r="AK57"/>
      <c r="AL57"/>
      <c r="AM57"/>
      <c r="AN57"/>
      <c r="AO57"/>
      <c r="AP57"/>
      <c r="AQ57"/>
      <c r="AR57"/>
      <c r="AS57"/>
      <c r="AU57"/>
      <c r="AX57"/>
      <c r="AZ57" s="515"/>
      <c r="BA57"/>
      <c r="BB57"/>
      <c r="BE57"/>
      <c r="BF57"/>
      <c r="BG57"/>
      <c r="BH57"/>
      <c r="BI57" s="242"/>
    </row>
    <row r="58" spans="1:61" s="68" customFormat="1">
      <c r="Z58"/>
      <c r="AA58"/>
      <c r="AB58"/>
      <c r="AC58"/>
      <c r="AD58"/>
      <c r="AE58"/>
      <c r="AF58"/>
      <c r="AG58"/>
      <c r="AH58"/>
      <c r="AI58"/>
      <c r="AJ58"/>
      <c r="AK58"/>
      <c r="AL58"/>
      <c r="AM58"/>
      <c r="AN58"/>
      <c r="AO58"/>
      <c r="AP58"/>
      <c r="AQ58"/>
      <c r="AR58"/>
      <c r="AS58"/>
      <c r="AU58"/>
      <c r="AX58"/>
      <c r="AZ58" s="515"/>
      <c r="BA58"/>
      <c r="BB58"/>
      <c r="BE58"/>
      <c r="BF58"/>
      <c r="BG58"/>
      <c r="BH58"/>
      <c r="BI58" s="242"/>
    </row>
    <row r="59" spans="1:61" s="68" customFormat="1" ht="16" customHeight="1">
      <c r="Z59"/>
      <c r="AA59"/>
      <c r="AB59"/>
      <c r="AC59"/>
      <c r="AD59"/>
      <c r="AE59"/>
      <c r="AF59"/>
      <c r="AG59"/>
      <c r="AH59"/>
      <c r="AI59"/>
      <c r="AJ59"/>
      <c r="AK59"/>
      <c r="AL59"/>
      <c r="AM59"/>
      <c r="AN59"/>
      <c r="AO59"/>
      <c r="AP59"/>
      <c r="AQ59"/>
      <c r="AR59"/>
      <c r="AS59"/>
      <c r="AU59"/>
      <c r="AX59"/>
      <c r="AZ59" s="515"/>
      <c r="BA59"/>
      <c r="BB59"/>
      <c r="BE59"/>
      <c r="BF59"/>
      <c r="BG59"/>
      <c r="BH59"/>
      <c r="BI59" s="242"/>
    </row>
    <row r="60" spans="1:61" s="68" customFormat="1">
      <c r="Z60"/>
      <c r="AA60"/>
      <c r="AB60"/>
      <c r="AC60"/>
      <c r="AD60"/>
      <c r="AE60"/>
      <c r="AF60"/>
      <c r="AG60"/>
      <c r="AH60"/>
      <c r="AI60"/>
      <c r="AJ60"/>
      <c r="AK60"/>
      <c r="AL60"/>
      <c r="AM60"/>
      <c r="AN60"/>
      <c r="AO60"/>
      <c r="AP60"/>
      <c r="AQ60"/>
      <c r="AR60"/>
      <c r="AS60"/>
      <c r="AU60"/>
      <c r="AX60"/>
      <c r="AZ60" s="515"/>
      <c r="BA60"/>
      <c r="BB60"/>
      <c r="BE60"/>
      <c r="BF60"/>
      <c r="BG60"/>
      <c r="BH60"/>
      <c r="BI60" s="242"/>
    </row>
    <row r="61" spans="1:61" s="68" customFormat="1">
      <c r="Z61"/>
      <c r="AA61"/>
      <c r="AB61"/>
      <c r="AC61"/>
      <c r="AD61"/>
      <c r="AE61"/>
      <c r="AF61"/>
      <c r="AG61"/>
      <c r="AH61"/>
      <c r="AI61"/>
      <c r="AJ61"/>
      <c r="AK61"/>
      <c r="AL61"/>
      <c r="AM61"/>
      <c r="AN61"/>
      <c r="AO61"/>
      <c r="AP61"/>
      <c r="AQ61"/>
      <c r="AR61"/>
      <c r="AS61"/>
      <c r="AU61"/>
      <c r="AX61"/>
      <c r="AZ61" s="515"/>
      <c r="BA61"/>
      <c r="BB61"/>
      <c r="BE61"/>
      <c r="BF61"/>
      <c r="BG61"/>
      <c r="BH61"/>
      <c r="BI61" s="242"/>
    </row>
    <row r="62" spans="1:61" s="68" customFormat="1">
      <c r="A62"/>
      <c r="C62"/>
      <c r="D62"/>
      <c r="E62"/>
      <c r="F62"/>
      <c r="G62"/>
      <c r="H62"/>
      <c r="I62"/>
      <c r="N62" s="97"/>
      <c r="P62" s="91"/>
      <c r="Z62"/>
      <c r="AA62"/>
      <c r="AB62"/>
      <c r="AC62"/>
      <c r="AD62"/>
      <c r="AE62"/>
      <c r="AF62"/>
      <c r="AG62"/>
      <c r="AH62"/>
      <c r="AI62"/>
      <c r="AJ62"/>
      <c r="AK62"/>
      <c r="AL62"/>
      <c r="AM62"/>
      <c r="AN62"/>
      <c r="AO62"/>
      <c r="AP62"/>
      <c r="AQ62"/>
      <c r="AR62"/>
      <c r="AS62"/>
      <c r="AU62"/>
      <c r="AX62"/>
      <c r="AZ62" s="515"/>
      <c r="BA62"/>
      <c r="BB62"/>
      <c r="BE62"/>
      <c r="BF62"/>
      <c r="BG62"/>
      <c r="BH62"/>
      <c r="BI62" s="242"/>
    </row>
    <row r="63" spans="1:61" s="68" customFormat="1" ht="16" customHeight="1">
      <c r="A63"/>
      <c r="C63"/>
      <c r="D63"/>
      <c r="F63"/>
      <c r="G63"/>
      <c r="H63"/>
      <c r="I63"/>
      <c r="N63" s="97"/>
      <c r="P63" s="91"/>
      <c r="Z63"/>
      <c r="AA63"/>
      <c r="AB63"/>
      <c r="AC63"/>
      <c r="AD63"/>
      <c r="AE63"/>
      <c r="AF63"/>
      <c r="AG63"/>
      <c r="AH63"/>
      <c r="AI63"/>
      <c r="AJ63"/>
      <c r="AK63"/>
      <c r="AL63"/>
      <c r="AM63"/>
      <c r="AN63"/>
      <c r="AO63"/>
      <c r="AP63"/>
      <c r="AQ63"/>
      <c r="AR63"/>
      <c r="AS63"/>
      <c r="AU63"/>
      <c r="AX63"/>
      <c r="AZ63" s="515"/>
      <c r="BA63"/>
      <c r="BB63"/>
      <c r="BE63"/>
      <c r="BF63"/>
      <c r="BG63"/>
      <c r="BH63"/>
      <c r="BI63" s="242"/>
    </row>
    <row r="64" spans="1:61" s="68" customFormat="1">
      <c r="A64"/>
      <c r="C64"/>
      <c r="D64"/>
      <c r="E64"/>
      <c r="F64"/>
      <c r="G64"/>
      <c r="H64"/>
      <c r="I64"/>
      <c r="J64"/>
      <c r="K64"/>
      <c r="L64"/>
      <c r="M64"/>
      <c r="N64"/>
      <c r="O64"/>
      <c r="P64"/>
      <c r="Q64" s="91"/>
      <c r="R64" s="91"/>
      <c r="S64" s="91"/>
      <c r="T64" s="91"/>
      <c r="U64" s="91"/>
      <c r="Z64"/>
      <c r="AA64"/>
      <c r="AB64"/>
      <c r="AC64"/>
      <c r="AD64"/>
      <c r="AE64"/>
      <c r="AF64"/>
      <c r="AG64"/>
      <c r="AH64"/>
      <c r="AI64"/>
      <c r="AJ64"/>
      <c r="AK64"/>
      <c r="AL64"/>
      <c r="AM64"/>
      <c r="AN64"/>
      <c r="AO64"/>
      <c r="AP64"/>
      <c r="AQ64"/>
      <c r="AR64"/>
      <c r="AS64"/>
      <c r="AU64"/>
      <c r="AX64"/>
      <c r="AZ64" s="515"/>
      <c r="BA64"/>
      <c r="BB64"/>
      <c r="BE64"/>
      <c r="BF64"/>
      <c r="BG64"/>
      <c r="BH64"/>
      <c r="BI64" s="242"/>
    </row>
    <row r="65" spans="1:61" s="68" customFormat="1">
      <c r="A65"/>
      <c r="C65"/>
      <c r="D65"/>
      <c r="E65"/>
      <c r="F65"/>
      <c r="G65"/>
      <c r="H65"/>
      <c r="I65"/>
      <c r="J65"/>
      <c r="K65"/>
      <c r="L65"/>
      <c r="M65"/>
      <c r="N65"/>
      <c r="O65"/>
      <c r="P65"/>
      <c r="Q65" s="91"/>
      <c r="R65" s="91"/>
      <c r="S65" s="91"/>
      <c r="T65" s="91"/>
      <c r="U65" s="91"/>
      <c r="Z65"/>
      <c r="AA65"/>
      <c r="AB65"/>
      <c r="AC65"/>
      <c r="AD65"/>
      <c r="AE65"/>
      <c r="AF65"/>
      <c r="AG65"/>
      <c r="AH65"/>
      <c r="AI65"/>
      <c r="AJ65"/>
      <c r="AK65"/>
      <c r="AL65"/>
      <c r="AM65"/>
      <c r="AN65"/>
      <c r="AO65"/>
      <c r="AP65"/>
      <c r="AQ65"/>
      <c r="AR65"/>
      <c r="AS65"/>
      <c r="AU65"/>
      <c r="AX65"/>
      <c r="AZ65" s="515"/>
      <c r="BA65"/>
      <c r="BB65"/>
      <c r="BE65"/>
      <c r="BF65"/>
      <c r="BG65"/>
      <c r="BH65"/>
      <c r="BI65" s="242"/>
    </row>
    <row r="66" spans="1:61">
      <c r="B66" s="68"/>
    </row>
    <row r="67" spans="1:61">
      <c r="B67" s="68"/>
    </row>
    <row r="68" spans="1:61">
      <c r="B68" s="68"/>
    </row>
    <row r="69" spans="1:61">
      <c r="B69" s="68"/>
    </row>
    <row r="70" spans="1:61">
      <c r="B70" s="68"/>
    </row>
    <row r="71" spans="1:61">
      <c r="B71" s="68"/>
    </row>
    <row r="72" spans="1:61">
      <c r="B72" s="68"/>
    </row>
    <row r="73" spans="1:61">
      <c r="B73" s="68"/>
    </row>
    <row r="74" spans="1:61">
      <c r="B74" s="68"/>
    </row>
    <row r="75" spans="1:61">
      <c r="B75" s="68"/>
    </row>
    <row r="76" spans="1:61">
      <c r="B76" s="68"/>
    </row>
    <row r="77" spans="1:61">
      <c r="B77" s="68"/>
    </row>
    <row r="78" spans="1:61">
      <c r="B78" s="68"/>
    </row>
    <row r="79" spans="1:61">
      <c r="B79" s="68"/>
    </row>
    <row r="80" spans="1:61">
      <c r="B80" s="68"/>
    </row>
    <row r="81" spans="2:2">
      <c r="B81" s="68"/>
    </row>
    <row r="82" spans="2:2">
      <c r="B82" s="68"/>
    </row>
    <row r="83" spans="2:2">
      <c r="B83" s="68"/>
    </row>
    <row r="84" spans="2:2">
      <c r="B84" s="68"/>
    </row>
    <row r="85" spans="2:2">
      <c r="B85" s="68"/>
    </row>
    <row r="86" spans="2:2">
      <c r="B86" s="68"/>
    </row>
    <row r="87" spans="2:2">
      <c r="B87" s="68"/>
    </row>
    <row r="88" spans="2:2">
      <c r="B88" s="68"/>
    </row>
    <row r="89" spans="2:2">
      <c r="B89" s="68"/>
    </row>
    <row r="90" spans="2:2">
      <c r="B90" s="68"/>
    </row>
    <row r="91" spans="2:2">
      <c r="B91" s="68"/>
    </row>
    <row r="92" spans="2:2">
      <c r="B92" s="68"/>
    </row>
    <row r="93" spans="2:2">
      <c r="B93" s="68"/>
    </row>
    <row r="94" spans="2:2">
      <c r="B94" s="68"/>
    </row>
    <row r="95" spans="2:2">
      <c r="B95" s="68"/>
    </row>
    <row r="96" spans="2:2">
      <c r="B96" s="68"/>
    </row>
    <row r="97" spans="2:2">
      <c r="B97" s="68"/>
    </row>
    <row r="98" spans="2:2">
      <c r="B98" s="68" t="str" cm="1">
        <f t="array" ref="B98">_xlfn.XLOOKUP(B43,TableAG[Материал анода],TableAG[[Комплектация]:[Описание]],"",0,1)</f>
        <v/>
      </c>
    </row>
    <row r="99" spans="2:2">
      <c r="B99" s="68" t="str" cm="1">
        <f t="array" ref="B99">_xlfn.XLOOKUP(B44,TableAG[Материал анода],TableAG[[Комплектация]:[Описание]],"",0,1)</f>
        <v/>
      </c>
    </row>
    <row r="100" spans="2:2">
      <c r="B100" s="68" t="str" cm="1">
        <f t="array" ref="B100">_xlfn.XLOOKUP(B45,TableAG[Материал анода],TableAG[[Комплектация]:[Описание]],"",0,1)</f>
        <v/>
      </c>
    </row>
    <row r="101" spans="2:2">
      <c r="B101" s="68" t="str" cm="1">
        <f t="array" ref="B101">_xlfn.XLOOKUP(B46,TableAG[Материал анода],TableAG[[Комплектация]:[Описание]],"",0,1)</f>
        <v/>
      </c>
    </row>
    <row r="102" spans="2:2">
      <c r="B102" s="68"/>
    </row>
    <row r="103" spans="2:2">
      <c r="B103" s="68"/>
    </row>
    <row r="104" spans="2:2">
      <c r="B104" s="68"/>
    </row>
    <row r="105" spans="2:2">
      <c r="B105" s="68"/>
    </row>
    <row r="106" spans="2:2">
      <c r="B106" s="68"/>
    </row>
    <row r="107" spans="2:2">
      <c r="B107" s="68"/>
    </row>
    <row r="108" spans="2:2">
      <c r="B108" s="68" t="str" cm="1">
        <f t="array" ref="B108">_xlfn.XLOOKUP(B48,TableAG[Материал анода],TableAG[[Комплектация]:[Описание]],"",0,1)</f>
        <v/>
      </c>
    </row>
    <row r="109" spans="2:2">
      <c r="B109" s="68" t="str" cm="1">
        <f t="array" ref="B109">_xlfn.XLOOKUP(B49,TableAG[Материал анода],TableAG[[Комплектация]:[Описание]],"",0,1)</f>
        <v/>
      </c>
    </row>
    <row r="110" spans="2:2">
      <c r="B110" s="68" t="str" cm="1">
        <f t="array" ref="B110">_xlfn.XLOOKUP(B50,TableAG[Материал анода],TableAG[[Комплектация]:[Описание]],"",0,1)</f>
        <v/>
      </c>
    </row>
    <row r="111" spans="2:2">
      <c r="B111" s="68" t="str" cm="1">
        <f t="array" ref="B111">_xlfn.XLOOKUP(B51,TableAG[Материал анода],TableAG[[Комплектация]:[Описание]],"",0,1)</f>
        <v/>
      </c>
    </row>
  </sheetData>
  <dataConsolidate/>
  <mergeCells count="1">
    <mergeCell ref="E1:N1"/>
  </mergeCells>
  <phoneticPr fontId="5" type="noConversion"/>
  <conditionalFormatting sqref="E2:N2">
    <cfRule type="duplicateValues" dxfId="45" priority="30"/>
  </conditionalFormatting>
  <conditionalFormatting sqref="E3:N3">
    <cfRule type="duplicateValues" dxfId="44" priority="29"/>
  </conditionalFormatting>
  <conditionalFormatting sqref="E4:N4">
    <cfRule type="duplicateValues" dxfId="43" priority="28"/>
  </conditionalFormatting>
  <conditionalFormatting sqref="E5:H7 J5:N7">
    <cfRule type="duplicateValues" dxfId="42" priority="27"/>
  </conditionalFormatting>
  <conditionalFormatting sqref="AH3:AH34 AH36">
    <cfRule type="duplicateValues" dxfId="41" priority="1804"/>
  </conditionalFormatting>
  <conditionalFormatting sqref="EN2">
    <cfRule type="duplicateValues" dxfId="40" priority="13"/>
  </conditionalFormatting>
  <conditionalFormatting sqref="AH35">
    <cfRule type="duplicateValues" dxfId="39" priority="12"/>
  </conditionalFormatting>
  <conditionalFormatting sqref="AW2">
    <cfRule type="duplicateValues" dxfId="38" priority="4"/>
  </conditionalFormatting>
  <conditionalFormatting sqref="AW2">
    <cfRule type="duplicateValues" dxfId="37" priority="5"/>
  </conditionalFormatting>
  <conditionalFormatting sqref="AI2:AS2">
    <cfRule type="duplicateValues" dxfId="36" priority="3"/>
  </conditionalFormatting>
  <dataValidations disablePrompts="1" count="1">
    <dataValidation type="list" allowBlank="1" showInputMessage="1" showErrorMessage="1" sqref="BD3:BD10" xr:uid="{BE77D7C0-4443-1144-88FA-F65F137F9D3D}">
      <formula1>$B$4:$B$10</formula1>
    </dataValidation>
  </dataValidations>
  <pageMargins left="0.7" right="0.7" top="0.75" bottom="0.75" header="0.3" footer="0.3"/>
  <pageSetup paperSize="9" orientation="portrait" horizontalDpi="0" verticalDpi="0"/>
  <legacy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1390B-71D7-DB4E-AB2E-E2028FB0A846}">
  <sheetPr codeName="Лист6" filterMode="1"/>
  <dimension ref="A1:E117"/>
  <sheetViews>
    <sheetView topLeftCell="B99" workbookViewId="0">
      <selection activeCell="B10" sqref="B10"/>
    </sheetView>
  </sheetViews>
  <sheetFormatPr baseColWidth="10" defaultRowHeight="16"/>
  <cols>
    <col min="1" max="1" width="51.1640625" bestFit="1" customWidth="1"/>
    <col min="2" max="3" width="14.6640625" bestFit="1" customWidth="1"/>
    <col min="4" max="4" width="14" bestFit="1" customWidth="1"/>
    <col min="5" max="5" width="53" bestFit="1" customWidth="1"/>
  </cols>
  <sheetData>
    <row r="1" spans="1:5">
      <c r="A1" s="48" t="s">
        <v>1196</v>
      </c>
      <c r="B1" s="48" t="s">
        <v>1197</v>
      </c>
      <c r="C1" s="48" t="s">
        <v>1198</v>
      </c>
      <c r="D1" s="48" t="s">
        <v>577</v>
      </c>
      <c r="E1" s="48" t="s">
        <v>1199</v>
      </c>
    </row>
    <row r="2" spans="1:5" hidden="1">
      <c r="A2" s="745" t="s">
        <v>1200</v>
      </c>
      <c r="B2" t="s">
        <v>1201</v>
      </c>
      <c r="E2" t="e">
        <f>'Pipe calculation'!#REF!</f>
        <v>#REF!</v>
      </c>
    </row>
    <row r="3" spans="1:5" hidden="1">
      <c r="A3" t="s">
        <v>1202</v>
      </c>
      <c r="B3" t="s">
        <v>1203</v>
      </c>
      <c r="E3" t="e">
        <f>#NAME?</f>
        <v>#NAME?</v>
      </c>
    </row>
    <row r="4" spans="1:5" hidden="1">
      <c r="A4" t="s">
        <v>1204</v>
      </c>
      <c r="B4" t="s">
        <v>1203</v>
      </c>
      <c r="E4" t="e">
        <f>#NAME?</f>
        <v>#NAME?</v>
      </c>
    </row>
    <row r="5" spans="1:5" hidden="1">
      <c r="A5" t="s">
        <v>1205</v>
      </c>
      <c r="B5" t="s">
        <v>1203</v>
      </c>
      <c r="E5" t="e">
        <f>#NAME?</f>
        <v>#NAME?</v>
      </c>
    </row>
    <row r="6" spans="1:5" hidden="1">
      <c r="A6" t="s">
        <v>1206</v>
      </c>
      <c r="B6" t="s">
        <v>1203</v>
      </c>
      <c r="E6" t="e">
        <f>#NAME?</f>
        <v>#NAME?</v>
      </c>
    </row>
    <row r="7" spans="1:5" hidden="1">
      <c r="A7" t="s">
        <v>1207</v>
      </c>
      <c r="B7" t="s">
        <v>1203</v>
      </c>
      <c r="E7" t="e">
        <f>#NAME?</f>
        <v>#NAME?</v>
      </c>
    </row>
    <row r="8" spans="1:5" hidden="1">
      <c r="A8" t="s">
        <v>1208</v>
      </c>
      <c r="B8" t="s">
        <v>1203</v>
      </c>
      <c r="E8" t="e">
        <f>#NAME?</f>
        <v>#NAME?</v>
      </c>
    </row>
    <row r="9" spans="1:5">
      <c r="A9" s="745" t="s">
        <v>1209</v>
      </c>
      <c r="B9" t="s">
        <v>1210</v>
      </c>
      <c r="C9" t="s">
        <v>1210</v>
      </c>
      <c r="D9" t="s">
        <v>1211</v>
      </c>
      <c r="E9">
        <f>'Anod calculation'!$D$41:$M$41</f>
        <v>0.16</v>
      </c>
    </row>
    <row r="10" spans="1:5">
      <c r="A10" s="745" t="s">
        <v>1212</v>
      </c>
      <c r="B10" t="s">
        <v>1210</v>
      </c>
      <c r="C10" t="s">
        <v>1210</v>
      </c>
      <c r="D10" t="s">
        <v>1213</v>
      </c>
      <c r="E10">
        <f>'Anod calculation'!$D$42:$M$42</f>
        <v>1.5</v>
      </c>
    </row>
    <row r="11" spans="1:5">
      <c r="A11" s="745" t="s">
        <v>1214</v>
      </c>
      <c r="B11" t="s">
        <v>1210</v>
      </c>
      <c r="C11" t="s">
        <v>1210</v>
      </c>
      <c r="D11" t="s">
        <v>1215</v>
      </c>
      <c r="E11">
        <f>'Anod calculation'!$D$47:$M$47</f>
        <v>0.5</v>
      </c>
    </row>
    <row r="12" spans="1:5">
      <c r="A12" s="745" t="s">
        <v>1216</v>
      </c>
      <c r="B12" t="s">
        <v>1210</v>
      </c>
      <c r="C12" t="s">
        <v>1210</v>
      </c>
      <c r="D12" t="s">
        <v>1217</v>
      </c>
      <c r="E12">
        <f>'Anod calculation'!$D$25:$M$25</f>
        <v>0</v>
      </c>
    </row>
    <row r="13" spans="1:5">
      <c r="A13" s="745" t="s">
        <v>1218</v>
      </c>
      <c r="B13" t="s">
        <v>1210</v>
      </c>
      <c r="C13" t="s">
        <v>1210</v>
      </c>
      <c r="D13" t="s">
        <v>1219</v>
      </c>
      <c r="E13" t="e">
        <f>'Anod calculation'!$D$110:$D$118</f>
        <v>#VALUE!</v>
      </c>
    </row>
    <row r="14" spans="1:5">
      <c r="A14" s="745" t="s">
        <v>1220</v>
      </c>
      <c r="B14" t="s">
        <v>1210</v>
      </c>
      <c r="C14" t="s">
        <v>1210</v>
      </c>
      <c r="D14" t="s">
        <v>1221</v>
      </c>
      <c r="E14">
        <f>'Anod calculation'!$D$20:$M$20</f>
        <v>0</v>
      </c>
    </row>
    <row r="15" spans="1:5">
      <c r="A15" s="745" t="s">
        <v>1222</v>
      </c>
      <c r="B15" t="s">
        <v>1210</v>
      </c>
      <c r="C15" t="s">
        <v>1210</v>
      </c>
      <c r="D15" t="s">
        <v>1223</v>
      </c>
      <c r="E15">
        <f>'Anod calculation'!$D$21:$M$21</f>
        <v>0</v>
      </c>
    </row>
    <row r="16" spans="1:5">
      <c r="A16" s="745" t="s">
        <v>1224</v>
      </c>
      <c r="B16" t="s">
        <v>1210</v>
      </c>
      <c r="C16" t="s">
        <v>1210</v>
      </c>
      <c r="D16" t="s">
        <v>1225</v>
      </c>
      <c r="E16">
        <f>'Anod calculation'!$D$51:$M$51</f>
        <v>1.6</v>
      </c>
    </row>
    <row r="17" spans="1:5">
      <c r="A17" s="745" t="s">
        <v>1226</v>
      </c>
      <c r="B17" t="s">
        <v>1210</v>
      </c>
      <c r="C17" t="s">
        <v>1210</v>
      </c>
      <c r="D17" t="s">
        <v>1227</v>
      </c>
      <c r="E17">
        <f>'Anod calculation'!$D$39:$M$39</f>
        <v>0.05</v>
      </c>
    </row>
    <row r="18" spans="1:5">
      <c r="A18" s="745" t="s">
        <v>1228</v>
      </c>
      <c r="B18" t="s">
        <v>1210</v>
      </c>
      <c r="C18" t="s">
        <v>1210</v>
      </c>
      <c r="D18" t="s">
        <v>1229</v>
      </c>
      <c r="E18">
        <f>'Anod calculation'!$D$44:$M$44</f>
        <v>0.01</v>
      </c>
    </row>
    <row r="19" spans="1:5">
      <c r="A19" s="745" t="s">
        <v>1230</v>
      </c>
      <c r="B19" t="s">
        <v>1210</v>
      </c>
      <c r="C19" t="s">
        <v>1210</v>
      </c>
      <c r="D19" t="s">
        <v>1231</v>
      </c>
      <c r="E19">
        <f>'Anod calculation'!$D$11:$M$11</f>
        <v>1.5999999999999999E-5</v>
      </c>
    </row>
    <row r="20" spans="1:5">
      <c r="A20" s="745" t="s">
        <v>1232</v>
      </c>
      <c r="B20" t="s">
        <v>1210</v>
      </c>
      <c r="C20" t="s">
        <v>1210</v>
      </c>
      <c r="D20" t="s">
        <v>1233</v>
      </c>
      <c r="E20">
        <f>'Anod calculation'!$D$9:$M$9</f>
        <v>1</v>
      </c>
    </row>
    <row r="21" spans="1:5">
      <c r="A21" s="745" t="s">
        <v>1234</v>
      </c>
      <c r="B21" t="s">
        <v>1210</v>
      </c>
      <c r="C21" t="s">
        <v>1210</v>
      </c>
      <c r="D21" t="s">
        <v>1235</v>
      </c>
      <c r="E21">
        <f>'Anod calculation'!$D$6</f>
        <v>1</v>
      </c>
    </row>
    <row r="22" spans="1:5" hidden="1">
      <c r="A22" s="745" t="s">
        <v>1236</v>
      </c>
      <c r="B22" t="s">
        <v>1201</v>
      </c>
      <c r="C22" t="s">
        <v>1201</v>
      </c>
      <c r="D22" t="s">
        <v>1237</v>
      </c>
      <c r="E22">
        <f ca="1">'Pipe calculation'!$D$24:$M$24</f>
        <v>1.6997387829765478E-5</v>
      </c>
    </row>
    <row r="23" spans="1:5" hidden="1">
      <c r="A23" s="745" t="s">
        <v>1238</v>
      </c>
      <c r="B23" t="s">
        <v>1201</v>
      </c>
      <c r="C23" t="s">
        <v>1201</v>
      </c>
      <c r="D23" t="s">
        <v>1217</v>
      </c>
      <c r="E23">
        <f ca="1">'Pipe calculation'!$D$25:$M$25</f>
        <v>7.7520233930594069E-5</v>
      </c>
    </row>
    <row r="24" spans="1:5">
      <c r="A24" s="745" t="s">
        <v>1239</v>
      </c>
      <c r="B24" t="s">
        <v>1210</v>
      </c>
      <c r="C24" t="s">
        <v>1210</v>
      </c>
      <c r="D24" t="s">
        <v>1240</v>
      </c>
      <c r="E24">
        <f>'Anod calculation'!$D$54:$M$54</f>
        <v>1</v>
      </c>
    </row>
    <row r="25" spans="1:5" hidden="1">
      <c r="A25" s="745" t="s">
        <v>1241</v>
      </c>
      <c r="B25" t="s">
        <v>1242</v>
      </c>
      <c r="C25" t="s">
        <v>1242</v>
      </c>
      <c r="D25" t="s">
        <v>1243</v>
      </c>
      <c r="E25" t="e">
        <f>'Research data'!$DT$1:$EC$1</f>
        <v>#VALUE!</v>
      </c>
    </row>
    <row r="26" spans="1:5">
      <c r="A26" s="745" t="s">
        <v>1244</v>
      </c>
      <c r="B26" t="s">
        <v>1210</v>
      </c>
      <c r="C26" t="s">
        <v>1210</v>
      </c>
      <c r="D26" t="s">
        <v>1245</v>
      </c>
      <c r="E26">
        <f>'Anod calculation'!$D$55:$M$55</f>
        <v>0.77</v>
      </c>
    </row>
    <row r="27" spans="1:5">
      <c r="A27" s="745" t="s">
        <v>1246</v>
      </c>
      <c r="B27" t="s">
        <v>1210</v>
      </c>
      <c r="C27" t="s">
        <v>1210</v>
      </c>
      <c r="D27" t="s">
        <v>1247</v>
      </c>
      <c r="E27">
        <f>'Anod calculation'!$D$56:$M$56</f>
        <v>0.7</v>
      </c>
    </row>
    <row r="28" spans="1:5">
      <c r="A28" s="745" t="s">
        <v>1248</v>
      </c>
      <c r="B28" t="s">
        <v>1210</v>
      </c>
      <c r="C28" t="s">
        <v>1210</v>
      </c>
      <c r="D28" t="s">
        <v>1249</v>
      </c>
      <c r="E28" s="96" t="str">
        <f>'Anod calculation'!$D$26:$M$26</f>
        <v>МПН-ОПЕ-М14-1/С4-1/0,6-1/12,5-48-У1-А485</v>
      </c>
    </row>
    <row r="29" spans="1:5">
      <c r="A29" s="745" t="s">
        <v>1250</v>
      </c>
      <c r="B29" t="s">
        <v>1210</v>
      </c>
      <c r="C29" t="s">
        <v>1210</v>
      </c>
      <c r="D29" t="s">
        <v>1251</v>
      </c>
      <c r="E29">
        <f>'Anod calculation'!$D$40:$M$40</f>
        <v>1</v>
      </c>
    </row>
    <row r="30" spans="1:5">
      <c r="A30" s="745" t="s">
        <v>1252</v>
      </c>
      <c r="B30" t="s">
        <v>1210</v>
      </c>
      <c r="C30" t="s">
        <v>1210</v>
      </c>
      <c r="D30" t="s">
        <v>1253</v>
      </c>
      <c r="E30">
        <f ca="1">'Anod calculation'!$D$18</f>
        <v>5388.4885818572993</v>
      </c>
    </row>
    <row r="31" spans="1:5">
      <c r="A31" s="745" t="s">
        <v>1254</v>
      </c>
      <c r="B31" t="s">
        <v>1210</v>
      </c>
      <c r="C31" t="s">
        <v>1210</v>
      </c>
      <c r="D31" t="s">
        <v>1255</v>
      </c>
      <c r="E31">
        <f>'Anod calculation'!$D$13:$M$13</f>
        <v>90</v>
      </c>
    </row>
    <row r="32" spans="1:5">
      <c r="A32" s="745" t="s">
        <v>1256</v>
      </c>
      <c r="B32" t="s">
        <v>1210</v>
      </c>
      <c r="C32" t="s">
        <v>1210</v>
      </c>
      <c r="D32" t="s">
        <v>1257</v>
      </c>
      <c r="E32">
        <f>'Anod calculation'!$D$12:$M$12</f>
        <v>90</v>
      </c>
    </row>
    <row r="33" spans="1:5">
      <c r="A33" s="745" t="s">
        <v>1258</v>
      </c>
      <c r="B33" t="s">
        <v>1210</v>
      </c>
      <c r="C33" t="s">
        <v>1210</v>
      </c>
      <c r="D33" t="s">
        <v>1259</v>
      </c>
      <c r="E33" t="str">
        <f>'Anod calculation'!$D$59:$M$59</f>
        <v/>
      </c>
    </row>
    <row r="34" spans="1:5">
      <c r="A34" s="745" t="s">
        <v>1260</v>
      </c>
      <c r="B34" t="s">
        <v>1210</v>
      </c>
      <c r="C34" t="s">
        <v>1210</v>
      </c>
      <c r="D34" t="s">
        <v>1261</v>
      </c>
      <c r="E34">
        <f>'Anod calculation'!$D$43:$M$43</f>
        <v>5.5</v>
      </c>
    </row>
    <row r="35" spans="1:5">
      <c r="A35" s="745" t="s">
        <v>1262</v>
      </c>
      <c r="B35" t="s">
        <v>1210</v>
      </c>
      <c r="C35" t="s">
        <v>1210</v>
      </c>
      <c r="D35" t="s">
        <v>1263</v>
      </c>
      <c r="E35">
        <f>'Anod calculation'!$D$4</f>
        <v>-1.1499999999999999</v>
      </c>
    </row>
    <row r="36" spans="1:5">
      <c r="A36" s="745" t="s">
        <v>1264</v>
      </c>
      <c r="B36" t="s">
        <v>1210</v>
      </c>
      <c r="C36" t="s">
        <v>1210</v>
      </c>
      <c r="D36" t="s">
        <v>1265</v>
      </c>
      <c r="E36">
        <f>'Anod calculation'!$D$50:$M$50</f>
        <v>200</v>
      </c>
    </row>
    <row r="37" spans="1:5">
      <c r="A37" s="745" t="s">
        <v>1266</v>
      </c>
      <c r="B37" t="s">
        <v>1210</v>
      </c>
      <c r="C37" t="s">
        <v>1210</v>
      </c>
      <c r="D37" t="s">
        <v>1267</v>
      </c>
      <c r="E37">
        <f>'Anod calculation'!$D$3</f>
        <v>-0.85</v>
      </c>
    </row>
    <row r="38" spans="1:5">
      <c r="A38" s="745" t="s">
        <v>1268</v>
      </c>
      <c r="B38" t="s">
        <v>1210</v>
      </c>
      <c r="C38" t="s">
        <v>1210</v>
      </c>
      <c r="D38" t="s">
        <v>1269</v>
      </c>
      <c r="E38">
        <f>'Anod calculation'!$D$5</f>
        <v>-0.55000000000000004</v>
      </c>
    </row>
    <row r="39" spans="1:5">
      <c r="A39" s="745" t="s">
        <v>1270</v>
      </c>
      <c r="B39" t="s">
        <v>1210</v>
      </c>
      <c r="C39" t="s">
        <v>1210</v>
      </c>
      <c r="D39" t="s">
        <v>1271</v>
      </c>
      <c r="E39">
        <f>'Anod calculation'!$D$29:$M$29</f>
        <v>12.5</v>
      </c>
    </row>
    <row r="40" spans="1:5">
      <c r="A40" s="745" t="s">
        <v>1272</v>
      </c>
      <c r="B40" t="s">
        <v>1210</v>
      </c>
      <c r="C40" t="s">
        <v>1210</v>
      </c>
      <c r="D40" t="s">
        <v>1273</v>
      </c>
      <c r="E40">
        <f>'Anod calculation'!$D$31:$M$31</f>
        <v>600</v>
      </c>
    </row>
    <row r="41" spans="1:5">
      <c r="A41" s="745" t="s">
        <v>1274</v>
      </c>
      <c r="B41" t="s">
        <v>1210</v>
      </c>
      <c r="C41" t="s">
        <v>1210</v>
      </c>
      <c r="D41" t="s">
        <v>1275</v>
      </c>
      <c r="E41">
        <f>'Anod calculation'!$D$30:$M$30</f>
        <v>48</v>
      </c>
    </row>
    <row r="42" spans="1:5">
      <c r="A42" s="745" t="s">
        <v>1276</v>
      </c>
      <c r="B42" t="s">
        <v>1210</v>
      </c>
      <c r="C42" t="s">
        <v>1210</v>
      </c>
      <c r="D42" t="s">
        <v>1277</v>
      </c>
      <c r="E42" t="e">
        <f>'Anod calculation'!$D$70:$M$79</f>
        <v>#VALUE!</v>
      </c>
    </row>
    <row r="43" spans="1:5">
      <c r="A43" s="745" t="s">
        <v>1278</v>
      </c>
      <c r="B43" t="s">
        <v>1210</v>
      </c>
      <c r="C43" t="s">
        <v>1210</v>
      </c>
      <c r="D43" t="s">
        <v>1279</v>
      </c>
      <c r="E43" t="e">
        <f>'Anod calculation'!$D$60:$M$69</f>
        <v>#VALUE!</v>
      </c>
    </row>
    <row r="44" spans="1:5" hidden="1">
      <c r="A44" s="745" t="s">
        <v>1280</v>
      </c>
      <c r="B44" t="s">
        <v>1201</v>
      </c>
      <c r="C44" t="s">
        <v>1201</v>
      </c>
      <c r="D44" t="s">
        <v>1281</v>
      </c>
      <c r="E44">
        <f>'Pipe calculation'!$D$17:$M$17</f>
        <v>3.8133060542285804E-6</v>
      </c>
    </row>
    <row r="45" spans="1:5">
      <c r="A45" s="745" t="s">
        <v>1282</v>
      </c>
      <c r="B45" t="s">
        <v>1210</v>
      </c>
      <c r="C45" t="s">
        <v>1210</v>
      </c>
      <c r="D45" t="s">
        <v>1283</v>
      </c>
      <c r="E45">
        <f>'Anod calculation'!$D$19</f>
        <v>1</v>
      </c>
    </row>
    <row r="46" spans="1:5">
      <c r="A46" s="745" t="s">
        <v>1284</v>
      </c>
      <c r="B46" t="s">
        <v>1210</v>
      </c>
      <c r="C46" t="s">
        <v>1210</v>
      </c>
      <c r="D46" t="s">
        <v>1285</v>
      </c>
      <c r="E46">
        <f>'Anod calculation'!$D$7:$M$7</f>
        <v>0</v>
      </c>
    </row>
    <row r="47" spans="1:5" hidden="1">
      <c r="A47" s="745" t="s">
        <v>1286</v>
      </c>
      <c r="B47" t="s">
        <v>1201</v>
      </c>
      <c r="C47" t="s">
        <v>1201</v>
      </c>
      <c r="D47" t="s">
        <v>1285</v>
      </c>
      <c r="E47">
        <f>'Pipe calculation'!$D$7:$M$7</f>
        <v>1.22</v>
      </c>
    </row>
    <row r="48" spans="1:5">
      <c r="A48" s="745" t="s">
        <v>1287</v>
      </c>
      <c r="B48" t="s">
        <v>1210</v>
      </c>
      <c r="C48" t="s">
        <v>1210</v>
      </c>
      <c r="D48" t="s">
        <v>1267</v>
      </c>
      <c r="E48">
        <f>'Anod calculation'!$D$3</f>
        <v>-0.85</v>
      </c>
    </row>
    <row r="49" spans="1:5" hidden="1">
      <c r="A49" s="745" t="s">
        <v>1288</v>
      </c>
      <c r="B49" t="s">
        <v>1201</v>
      </c>
      <c r="C49" t="s">
        <v>1201</v>
      </c>
      <c r="D49" t="s">
        <v>1267</v>
      </c>
      <c r="E49" s="746">
        <f>'Pipe calculation'!$D$3</f>
        <v>1</v>
      </c>
    </row>
    <row r="50" spans="1:5" hidden="1">
      <c r="A50" s="745" t="s">
        <v>1289</v>
      </c>
      <c r="B50" t="s">
        <v>1201</v>
      </c>
      <c r="C50" t="s">
        <v>1201</v>
      </c>
      <c r="D50" t="s">
        <v>1249</v>
      </c>
      <c r="E50">
        <f ca="1">'Pipe calculation'!$D$26:$M$26</f>
        <v>0.22434659327775039</v>
      </c>
    </row>
    <row r="51" spans="1:5" hidden="1">
      <c r="A51" s="745" t="s">
        <v>1290</v>
      </c>
      <c r="B51" t="s">
        <v>1201</v>
      </c>
      <c r="C51" t="s">
        <v>1201</v>
      </c>
      <c r="D51" t="s">
        <v>1291</v>
      </c>
      <c r="E51">
        <f ca="1">'Pipe calculation'!$D$27:$M$27</f>
        <v>4.9191106126469319E-2</v>
      </c>
    </row>
    <row r="52" spans="1:5" hidden="1">
      <c r="A52" s="745" t="s">
        <v>1292</v>
      </c>
      <c r="B52" t="s">
        <v>1201</v>
      </c>
      <c r="C52" t="s">
        <v>1201</v>
      </c>
      <c r="D52" t="s">
        <v>1293</v>
      </c>
      <c r="E52">
        <f>'Pipe calculation'!$D$28</f>
        <v>0.35213253609762507</v>
      </c>
    </row>
    <row r="53" spans="1:5" hidden="1">
      <c r="A53" s="745" t="s">
        <v>1294</v>
      </c>
      <c r="B53" t="s">
        <v>1201</v>
      </c>
      <c r="C53" t="s">
        <v>1201</v>
      </c>
      <c r="D53" t="s">
        <v>1295</v>
      </c>
      <c r="E53">
        <f>'Pipe calculation'!$D$29</f>
        <v>0.1583746938794699</v>
      </c>
    </row>
    <row r="54" spans="1:5" hidden="1">
      <c r="A54" s="745" t="s">
        <v>1296</v>
      </c>
      <c r="B54" t="s">
        <v>1201</v>
      </c>
      <c r="C54" t="s">
        <v>1201</v>
      </c>
      <c r="D54" t="s">
        <v>1223</v>
      </c>
      <c r="E54">
        <f>'Pipe calculation'!$D$21:$M$21</f>
        <v>13045.487138679946</v>
      </c>
    </row>
    <row r="55" spans="1:5" hidden="1">
      <c r="A55" s="745" t="s">
        <v>1297</v>
      </c>
      <c r="B55" t="s">
        <v>1201</v>
      </c>
      <c r="C55" t="s">
        <v>1201</v>
      </c>
      <c r="D55" t="s">
        <v>1233</v>
      </c>
      <c r="E55">
        <f>'Pipe calculation'!$D$9:$M$9</f>
        <v>50000</v>
      </c>
    </row>
    <row r="56" spans="1:5" hidden="1">
      <c r="A56" s="745" t="s">
        <v>1298</v>
      </c>
      <c r="B56" t="s">
        <v>1201</v>
      </c>
      <c r="C56" t="s">
        <v>1201</v>
      </c>
      <c r="D56" t="s">
        <v>1299</v>
      </c>
      <c r="E56">
        <f>'Pipe calculation'!$D$10:$M$10</f>
        <v>1.6</v>
      </c>
    </row>
    <row r="57" spans="1:5">
      <c r="A57" s="745" t="s">
        <v>1300</v>
      </c>
      <c r="B57" t="s">
        <v>1210</v>
      </c>
      <c r="C57" t="s">
        <v>1210</v>
      </c>
      <c r="D57" t="s">
        <v>1301</v>
      </c>
      <c r="E57">
        <f>'Anod calculation'!$D$7</f>
        <v>2115</v>
      </c>
    </row>
    <row r="58" spans="1:5">
      <c r="A58" s="745" t="s">
        <v>1302</v>
      </c>
      <c r="B58" t="s">
        <v>1210</v>
      </c>
      <c r="C58" t="s">
        <v>1210</v>
      </c>
      <c r="D58" t="s">
        <v>1303</v>
      </c>
      <c r="E58">
        <f>'Anod calculation'!$D$8:$M$8</f>
        <v>0</v>
      </c>
    </row>
    <row r="59" spans="1:5" hidden="1">
      <c r="A59" s="745" t="s">
        <v>1304</v>
      </c>
      <c r="B59" t="s">
        <v>1201</v>
      </c>
      <c r="C59" t="s">
        <v>1201</v>
      </c>
      <c r="D59" t="s">
        <v>1255</v>
      </c>
      <c r="E59">
        <f>'Pipe calculation'!$D$13:$M$13</f>
        <v>0.11</v>
      </c>
    </row>
    <row r="60" spans="1:5">
      <c r="A60" s="745" t="s">
        <v>1305</v>
      </c>
      <c r="B60" t="s">
        <v>1210</v>
      </c>
      <c r="C60" t="s">
        <v>1210</v>
      </c>
      <c r="D60" t="s">
        <v>1306</v>
      </c>
      <c r="E60">
        <f>'Anod calculation'!$D$16</f>
        <v>0.29999999999999993</v>
      </c>
    </row>
    <row r="61" spans="1:5">
      <c r="A61" s="745" t="s">
        <v>1307</v>
      </c>
      <c r="B61" t="s">
        <v>1210</v>
      </c>
      <c r="C61" t="s">
        <v>1210</v>
      </c>
      <c r="D61" t="s">
        <v>1308</v>
      </c>
      <c r="E61">
        <f>'Anod calculation'!$D$17</f>
        <v>0.59999999999999987</v>
      </c>
    </row>
    <row r="62" spans="1:5" hidden="1">
      <c r="A62" s="745" t="s">
        <v>1309</v>
      </c>
      <c r="B62" t="s">
        <v>1201</v>
      </c>
      <c r="E62" t="e">
        <f>'Pipe calculation'!#REF!</f>
        <v>#REF!</v>
      </c>
    </row>
    <row r="63" spans="1:5" hidden="1">
      <c r="A63" s="745" t="s">
        <v>1310</v>
      </c>
      <c r="B63" t="s">
        <v>1201</v>
      </c>
      <c r="E63" t="e">
        <f>'Pipe calculation'!#REF!</f>
        <v>#REF!</v>
      </c>
    </row>
    <row r="64" spans="1:5" hidden="1">
      <c r="A64" s="745" t="s">
        <v>1311</v>
      </c>
      <c r="B64" t="s">
        <v>1201</v>
      </c>
      <c r="C64" t="s">
        <v>1201</v>
      </c>
      <c r="D64" t="s">
        <v>1312</v>
      </c>
      <c r="E64">
        <f>'Pipe calculation'!$D$6:$M$6</f>
        <v>2.4499999999999998E-7</v>
      </c>
    </row>
    <row r="65" spans="1:5" hidden="1">
      <c r="A65" s="745" t="s">
        <v>1313</v>
      </c>
      <c r="B65" t="s">
        <v>1201</v>
      </c>
      <c r="C65" t="s">
        <v>1201</v>
      </c>
      <c r="D65" t="s">
        <v>1314</v>
      </c>
      <c r="E65">
        <f ca="1">'Pipe calculation'!$D$22:$M$22</f>
        <v>13198.886530369049</v>
      </c>
    </row>
    <row r="66" spans="1:5" hidden="1">
      <c r="A66" s="745" t="s">
        <v>1315</v>
      </c>
      <c r="B66" t="s">
        <v>1201</v>
      </c>
      <c r="C66" t="s">
        <v>1201</v>
      </c>
      <c r="D66" t="s">
        <v>1316</v>
      </c>
      <c r="E66">
        <f ca="1">'Pipe calculation'!$D$23:$M$23</f>
        <v>634.5582776557593</v>
      </c>
    </row>
    <row r="67" spans="1:5" hidden="1">
      <c r="A67" s="745" t="s">
        <v>1317</v>
      </c>
      <c r="B67" t="s">
        <v>1201</v>
      </c>
      <c r="C67" t="s">
        <v>1201</v>
      </c>
      <c r="D67" t="s">
        <v>1303</v>
      </c>
      <c r="E67">
        <f>'Pipe calculation'!$D$8:$M$8</f>
        <v>1.7000000000000001E-2</v>
      </c>
    </row>
    <row r="68" spans="1:5" hidden="1">
      <c r="A68" s="745" t="s">
        <v>1318</v>
      </c>
      <c r="B68" t="s">
        <v>1201</v>
      </c>
      <c r="C68" t="s">
        <v>1242</v>
      </c>
      <c r="D68" t="s">
        <v>1319</v>
      </c>
      <c r="E68">
        <f>'Research data'!$BW$3</f>
        <v>8.7410714285714296E-3</v>
      </c>
    </row>
    <row r="69" spans="1:5" hidden="1">
      <c r="A69" s="745" t="s">
        <v>1320</v>
      </c>
      <c r="B69" t="s">
        <v>1201</v>
      </c>
      <c r="C69" t="s">
        <v>1242</v>
      </c>
      <c r="D69" t="s">
        <v>1321</v>
      </c>
      <c r="E69">
        <f>'Research data'!$DG$3</f>
        <v>1.1091772151898736E-2</v>
      </c>
    </row>
    <row r="70" spans="1:5" hidden="1">
      <c r="A70" s="745" t="s">
        <v>1322</v>
      </c>
      <c r="B70" t="s">
        <v>1201</v>
      </c>
      <c r="C70" t="s">
        <v>1242</v>
      </c>
      <c r="D70" t="s">
        <v>1323</v>
      </c>
      <c r="E70">
        <f>'Research data'!$CA$3</f>
        <v>1.1091772151898736E-2</v>
      </c>
    </row>
    <row r="71" spans="1:5" hidden="1">
      <c r="A71" s="745" t="s">
        <v>1324</v>
      </c>
      <c r="B71" t="s">
        <v>1201</v>
      </c>
      <c r="C71" t="s">
        <v>1242</v>
      </c>
      <c r="D71" t="s">
        <v>1325</v>
      </c>
      <c r="E71">
        <f>'Research data'!$CE$3</f>
        <v>1.0910714285714284E-2</v>
      </c>
    </row>
    <row r="72" spans="1:5" hidden="1">
      <c r="A72" s="745" t="s">
        <v>1326</v>
      </c>
      <c r="B72" t="s">
        <v>1201</v>
      </c>
      <c r="C72" t="s">
        <v>1242</v>
      </c>
      <c r="D72" t="s">
        <v>1327</v>
      </c>
      <c r="E72">
        <f>'Research data'!$CI$3</f>
        <v>1.1091772151898736E-2</v>
      </c>
    </row>
    <row r="73" spans="1:5" hidden="1">
      <c r="A73" s="745" t="s">
        <v>1328</v>
      </c>
      <c r="B73" t="s">
        <v>1201</v>
      </c>
      <c r="C73" t="s">
        <v>1242</v>
      </c>
      <c r="D73" t="s">
        <v>1329</v>
      </c>
      <c r="E73">
        <f>'Research data'!$CM$3</f>
        <v>1.0910714285714284E-2</v>
      </c>
    </row>
    <row r="74" spans="1:5" hidden="1">
      <c r="A74" s="745" t="s">
        <v>1330</v>
      </c>
      <c r="B74" t="s">
        <v>1201</v>
      </c>
      <c r="C74" t="s">
        <v>1242</v>
      </c>
      <c r="D74" t="s">
        <v>1331</v>
      </c>
      <c r="E74">
        <f>'Research data'!$CQ$3</f>
        <v>1.1091772151898736E-2</v>
      </c>
    </row>
    <row r="75" spans="1:5" hidden="1">
      <c r="A75" s="745" t="s">
        <v>1332</v>
      </c>
      <c r="B75" t="s">
        <v>1201</v>
      </c>
      <c r="C75" t="s">
        <v>1242</v>
      </c>
      <c r="D75" t="s">
        <v>1333</v>
      </c>
      <c r="E75">
        <f>'Research data'!$CU$3</f>
        <v>1.0910714285714284E-2</v>
      </c>
    </row>
    <row r="76" spans="1:5" hidden="1">
      <c r="A76" s="745" t="s">
        <v>1334</v>
      </c>
      <c r="B76" t="s">
        <v>1201</v>
      </c>
      <c r="C76" t="s">
        <v>1242</v>
      </c>
      <c r="D76" t="s">
        <v>1335</v>
      </c>
      <c r="E76">
        <f>'Research data'!$CY$3</f>
        <v>1.1091772151898736E-2</v>
      </c>
    </row>
    <row r="77" spans="1:5" hidden="1">
      <c r="A77" s="745" t="s">
        <v>1336</v>
      </c>
      <c r="B77" t="s">
        <v>1201</v>
      </c>
      <c r="C77" t="s">
        <v>1242</v>
      </c>
      <c r="D77" t="s">
        <v>1337</v>
      </c>
      <c r="E77">
        <f>'Research data'!$DC$3</f>
        <v>1.0910714285714284E-2</v>
      </c>
    </row>
    <row r="78" spans="1:5">
      <c r="A78" s="745" t="s">
        <v>1338</v>
      </c>
      <c r="B78" t="s">
        <v>1210</v>
      </c>
      <c r="C78" t="s">
        <v>1210</v>
      </c>
      <c r="D78" t="s">
        <v>1237</v>
      </c>
      <c r="E78" t="e">
        <f>'Anod calculation'!$D$24:$M$24</f>
        <v>#VALUE!</v>
      </c>
    </row>
    <row r="79" spans="1:5">
      <c r="A79" s="745" t="s">
        <v>1339</v>
      </c>
      <c r="B79" t="s">
        <v>1210</v>
      </c>
      <c r="C79" t="s">
        <v>1210</v>
      </c>
      <c r="D79" t="s">
        <v>1340</v>
      </c>
      <c r="E79">
        <f>'Anod calculation'!$D$45:$M$45</f>
        <v>8</v>
      </c>
    </row>
    <row r="80" spans="1:5">
      <c r="A80" s="745" t="s">
        <v>1341</v>
      </c>
      <c r="B80" t="s">
        <v>1210</v>
      </c>
      <c r="C80" t="s">
        <v>1210</v>
      </c>
      <c r="D80" t="s">
        <v>1342</v>
      </c>
      <c r="E80" t="str">
        <f>'Anod calculation'!$D$58:$M$58</f>
        <v/>
      </c>
    </row>
    <row r="81" spans="1:5">
      <c r="A81" s="745" t="s">
        <v>1343</v>
      </c>
      <c r="B81" t="s">
        <v>1210</v>
      </c>
      <c r="C81" t="s">
        <v>1210</v>
      </c>
      <c r="D81" t="s">
        <v>1344</v>
      </c>
      <c r="E81">
        <f>'Anod calculation'!$D$53:$M$53</f>
        <v>50</v>
      </c>
    </row>
    <row r="82" spans="1:5" hidden="1">
      <c r="A82" s="745" t="s">
        <v>1345</v>
      </c>
      <c r="B82" t="s">
        <v>1242</v>
      </c>
      <c r="C82" t="s">
        <v>1242</v>
      </c>
      <c r="D82" t="s">
        <v>1346</v>
      </c>
      <c r="E82" s="747" t="e">
        <f>'Research data'!$DT$3:$EC$3</f>
        <v>#VALUE!</v>
      </c>
    </row>
    <row r="83" spans="1:5">
      <c r="A83" s="745" t="s">
        <v>1347</v>
      </c>
      <c r="B83" t="s">
        <v>1210</v>
      </c>
      <c r="C83" t="s">
        <v>1210</v>
      </c>
      <c r="D83" t="s">
        <v>1348</v>
      </c>
      <c r="E83">
        <f>'Anod calculation'!$D$46:$M$46</f>
        <v>4.8511100000000001E-7</v>
      </c>
    </row>
    <row r="84" spans="1:5">
      <c r="A84" s="745" t="s">
        <v>1349</v>
      </c>
      <c r="B84" t="s">
        <v>1210</v>
      </c>
      <c r="C84" t="s">
        <v>1210</v>
      </c>
      <c r="D84" t="s">
        <v>1350</v>
      </c>
      <c r="E84">
        <f>'Anod calculation'!$D$52:$M$52</f>
        <v>0</v>
      </c>
    </row>
    <row r="85" spans="1:5">
      <c r="A85" s="745" t="s">
        <v>1351</v>
      </c>
      <c r="B85" t="s">
        <v>1210</v>
      </c>
      <c r="C85" t="s">
        <v>1210</v>
      </c>
      <c r="D85" t="s">
        <v>1352</v>
      </c>
      <c r="E85" t="e">
        <f>'Anod calculation'!$D$90:$M$99</f>
        <v>#VALUE!</v>
      </c>
    </row>
    <row r="86" spans="1:5" hidden="1">
      <c r="A86" s="745" t="s">
        <v>1353</v>
      </c>
      <c r="B86" t="s">
        <v>1201</v>
      </c>
      <c r="C86" t="s">
        <v>1201</v>
      </c>
      <c r="D86" t="s">
        <v>1257</v>
      </c>
      <c r="E86">
        <f>'Pipe calculation'!$D$12:$M$12</f>
        <v>30</v>
      </c>
    </row>
    <row r="87" spans="1:5">
      <c r="A87" s="745" t="s">
        <v>1354</v>
      </c>
      <c r="B87" t="s">
        <v>1210</v>
      </c>
      <c r="C87" t="s">
        <v>1210</v>
      </c>
      <c r="D87" t="s">
        <v>1355</v>
      </c>
      <c r="E87" t="e">
        <f>'Anod calculation'!$D$100:$D$107</f>
        <v>#VALUE!</v>
      </c>
    </row>
    <row r="88" spans="1:5" hidden="1">
      <c r="A88" s="745" t="s">
        <v>1356</v>
      </c>
      <c r="B88" t="s">
        <v>1201</v>
      </c>
      <c r="C88" t="s">
        <v>1242</v>
      </c>
      <c r="D88" t="s">
        <v>1357</v>
      </c>
      <c r="E88">
        <f>'Research data'!$I$3</f>
        <v>59.989256728017203</v>
      </c>
    </row>
    <row r="89" spans="1:5" hidden="1">
      <c r="A89" s="745" t="s">
        <v>1358</v>
      </c>
      <c r="B89" t="s">
        <v>1201</v>
      </c>
      <c r="C89" t="s">
        <v>1242</v>
      </c>
      <c r="D89" t="s">
        <v>1359</v>
      </c>
      <c r="E89">
        <f>'Research data'!$BK$3</f>
        <v>40.731451366126258</v>
      </c>
    </row>
    <row r="90" spans="1:5" hidden="1">
      <c r="A90" s="745" t="s">
        <v>1360</v>
      </c>
      <c r="B90" t="s">
        <v>1201</v>
      </c>
      <c r="C90" t="s">
        <v>1242</v>
      </c>
      <c r="D90" t="s">
        <v>1361</v>
      </c>
      <c r="E90">
        <f>'Research data'!$O$3</f>
        <v>56.464963555652218</v>
      </c>
    </row>
    <row r="91" spans="1:5" hidden="1">
      <c r="A91" s="745" t="s">
        <v>1362</v>
      </c>
      <c r="B91" t="s">
        <v>1201</v>
      </c>
      <c r="C91" t="s">
        <v>1242</v>
      </c>
      <c r="D91" t="s">
        <v>1363</v>
      </c>
      <c r="E91">
        <f>'Research data'!$U$3</f>
        <v>54.885903197209117</v>
      </c>
    </row>
    <row r="92" spans="1:5" hidden="1">
      <c r="A92" s="745" t="s">
        <v>1364</v>
      </c>
      <c r="B92" t="s">
        <v>1201</v>
      </c>
      <c r="C92" t="s">
        <v>1242</v>
      </c>
      <c r="D92" t="s">
        <v>1365</v>
      </c>
      <c r="E92">
        <f>'Research data'!$AA$3</f>
        <v>61.533827331690013</v>
      </c>
    </row>
    <row r="93" spans="1:5" hidden="1">
      <c r="A93" s="745" t="s">
        <v>1366</v>
      </c>
      <c r="B93" t="s">
        <v>1201</v>
      </c>
      <c r="C93" t="s">
        <v>1242</v>
      </c>
      <c r="D93" t="s">
        <v>1367</v>
      </c>
      <c r="E93">
        <f>'Research data'!$AG$3</f>
        <v>50.538434697648007</v>
      </c>
    </row>
    <row r="94" spans="1:5" hidden="1">
      <c r="A94" s="745" t="s">
        <v>1368</v>
      </c>
      <c r="B94" t="s">
        <v>1201</v>
      </c>
      <c r="C94" t="s">
        <v>1242</v>
      </c>
      <c r="D94" t="s">
        <v>1369</v>
      </c>
      <c r="E94">
        <f>'Research data'!$AM$3</f>
        <v>46.857974530453646</v>
      </c>
    </row>
    <row r="95" spans="1:5" hidden="1">
      <c r="A95" s="745" t="s">
        <v>1370</v>
      </c>
      <c r="B95" t="s">
        <v>1201</v>
      </c>
      <c r="C95" t="s">
        <v>1242</v>
      </c>
      <c r="D95" t="s">
        <v>1371</v>
      </c>
      <c r="E95">
        <f>'Research data'!$AS$3</f>
        <v>30.540229871921333</v>
      </c>
    </row>
    <row r="96" spans="1:5" hidden="1">
      <c r="A96" s="745" t="s">
        <v>1372</v>
      </c>
      <c r="B96" t="s">
        <v>1201</v>
      </c>
      <c r="C96" t="s">
        <v>1242</v>
      </c>
      <c r="D96" t="s">
        <v>1373</v>
      </c>
      <c r="E96">
        <f>'Research data'!$AY$3</f>
        <v>96.671326192859411</v>
      </c>
    </row>
    <row r="97" spans="1:5" hidden="1">
      <c r="A97" s="745" t="s">
        <v>1374</v>
      </c>
      <c r="B97" t="s">
        <v>1201</v>
      </c>
      <c r="C97" t="s">
        <v>1242</v>
      </c>
      <c r="D97" t="s">
        <v>1375</v>
      </c>
      <c r="E97">
        <f>'Research data'!$BE$3</f>
        <v>121.51849959851226</v>
      </c>
    </row>
    <row r="98" spans="1:5" hidden="1">
      <c r="A98" s="745" t="s">
        <v>1376</v>
      </c>
      <c r="B98" t="s">
        <v>1201</v>
      </c>
      <c r="C98" t="s">
        <v>1201</v>
      </c>
      <c r="D98" t="s">
        <v>1377</v>
      </c>
      <c r="E98">
        <f ca="1">'Pipe calculation'!$D$18:$M$18</f>
        <v>587.94045043466849</v>
      </c>
    </row>
    <row r="99" spans="1:5">
      <c r="A99" s="745" t="s">
        <v>1378</v>
      </c>
      <c r="B99" t="s">
        <v>1210</v>
      </c>
      <c r="C99" t="s">
        <v>1210</v>
      </c>
      <c r="D99" t="s">
        <v>1350</v>
      </c>
      <c r="E99">
        <f>'Anod calculation'!$D$52:$M$52</f>
        <v>0</v>
      </c>
    </row>
    <row r="100" spans="1:5" hidden="1">
      <c r="A100" s="745" t="s">
        <v>1379</v>
      </c>
      <c r="B100" t="s">
        <v>1201</v>
      </c>
      <c r="C100" t="s">
        <v>1201</v>
      </c>
      <c r="D100" t="s">
        <v>1221</v>
      </c>
      <c r="E100">
        <f ca="1">'Pipe calculation'!$D$20:$M$20</f>
        <v>153.39939168910323</v>
      </c>
    </row>
    <row r="101" spans="1:5" hidden="1">
      <c r="A101" s="745" t="s">
        <v>1380</v>
      </c>
      <c r="B101" t="s">
        <v>1201</v>
      </c>
      <c r="C101" t="s">
        <v>1201</v>
      </c>
      <c r="D101" t="s">
        <v>1231</v>
      </c>
      <c r="E101">
        <f>'Pipe calculation'!$D$11:$M$11</f>
        <v>56.464963555652218</v>
      </c>
    </row>
    <row r="102" spans="1:5">
      <c r="A102" s="745" t="s">
        <v>1381</v>
      </c>
      <c r="B102" t="s">
        <v>1210</v>
      </c>
      <c r="C102" t="s">
        <v>1210</v>
      </c>
      <c r="D102" t="s">
        <v>1382</v>
      </c>
      <c r="E102">
        <f>'Anod calculation'!$D$49:$M$49</f>
        <v>0</v>
      </c>
    </row>
    <row r="103" spans="1:5">
      <c r="A103" t="s">
        <v>1195</v>
      </c>
      <c r="B103" t="s">
        <v>1203</v>
      </c>
      <c r="C103" t="s">
        <v>1210</v>
      </c>
      <c r="D103" t="s">
        <v>1382</v>
      </c>
      <c r="E103">
        <f>'Anod calculation'!$D$49:$M$49</f>
        <v>0</v>
      </c>
    </row>
    <row r="104" spans="1:5">
      <c r="A104" s="745" t="s">
        <v>1383</v>
      </c>
      <c r="B104" t="s">
        <v>1210</v>
      </c>
      <c r="C104" t="s">
        <v>1210</v>
      </c>
      <c r="D104" t="s">
        <v>1384</v>
      </c>
      <c r="E104">
        <f>'Anod calculation'!$D$48:$M$48</f>
        <v>0</v>
      </c>
    </row>
    <row r="105" spans="1:5" hidden="1">
      <c r="A105" s="745" t="s">
        <v>1385</v>
      </c>
      <c r="B105" t="s">
        <v>1201</v>
      </c>
      <c r="C105" t="s">
        <v>1201</v>
      </c>
      <c r="D105" t="s">
        <v>1386</v>
      </c>
      <c r="E105" t="str">
        <f>'Pipe calculation'!$D$5:$M$5</f>
        <v>Данные о марке стали отсутствуют</v>
      </c>
    </row>
    <row r="106" spans="1:5" hidden="1">
      <c r="A106" s="745" t="s">
        <v>1387</v>
      </c>
      <c r="B106" t="s">
        <v>1201</v>
      </c>
      <c r="C106" t="s">
        <v>1201</v>
      </c>
      <c r="D106" t="s">
        <v>1388</v>
      </c>
      <c r="E106">
        <f>'Pipe calculation'!$D$12:$E$12</f>
        <v>30</v>
      </c>
    </row>
    <row r="107" spans="1:5">
      <c r="A107" s="745" t="s">
        <v>1389</v>
      </c>
      <c r="B107" t="s">
        <v>1210</v>
      </c>
      <c r="C107" t="s">
        <v>1210</v>
      </c>
      <c r="D107" t="s">
        <v>1390</v>
      </c>
      <c r="E107" t="str">
        <f>'Anod calculation'!$D$38:$M$38</f>
        <v>ГАЗ.ПТМ.Т.К</v>
      </c>
    </row>
    <row r="108" spans="1:5">
      <c r="A108" s="745" t="s">
        <v>1391</v>
      </c>
      <c r="B108" t="s">
        <v>1210</v>
      </c>
      <c r="C108" t="s">
        <v>1210</v>
      </c>
      <c r="D108" t="s">
        <v>1249</v>
      </c>
      <c r="E108" s="96" t="str">
        <f>'Anod calculation'!$D$26:$M$26</f>
        <v>МПН-ОПЕ-М14-1/С4-1/0,6-1/12,5-48-У1-А485</v>
      </c>
    </row>
    <row r="109" spans="1:5">
      <c r="A109" s="745" t="s">
        <v>1392</v>
      </c>
      <c r="B109" t="s">
        <v>1210</v>
      </c>
      <c r="C109" t="s">
        <v>1210</v>
      </c>
      <c r="D109" t="s">
        <v>1393</v>
      </c>
      <c r="E109" t="str">
        <f>'Anod calculation'!$D$37:$M$37</f>
        <v>комплектный</v>
      </c>
    </row>
    <row r="110" spans="1:5">
      <c r="A110" s="745" t="s">
        <v>1394</v>
      </c>
      <c r="B110" t="s">
        <v>1210</v>
      </c>
      <c r="C110" t="s">
        <v>1210</v>
      </c>
      <c r="D110" t="s">
        <v>1395</v>
      </c>
      <c r="E110" t="str">
        <f>'Anod calculation'!$D$36:$M$36</f>
        <v>глубинный с выходом торца на поверхность с активатором</v>
      </c>
    </row>
    <row r="111" spans="1:5">
      <c r="A111" s="745" t="s">
        <v>1396</v>
      </c>
      <c r="B111" t="s">
        <v>1210</v>
      </c>
      <c r="C111" t="s">
        <v>1210</v>
      </c>
      <c r="D111" t="s">
        <v>1397</v>
      </c>
      <c r="E111" t="str">
        <f>'Anod calculation'!$D$34:$M$34</f>
        <v>Титан</v>
      </c>
    </row>
    <row r="112" spans="1:5" hidden="1">
      <c r="A112" s="745" t="s">
        <v>1398</v>
      </c>
      <c r="B112" t="s">
        <v>1210</v>
      </c>
      <c r="E112" t="e">
        <f>'Anod calculation'!#REF!</f>
        <v>#REF!</v>
      </c>
    </row>
    <row r="113" spans="1:5">
      <c r="A113" s="745" t="s">
        <v>1399</v>
      </c>
      <c r="B113" t="s">
        <v>1210</v>
      </c>
      <c r="C113" t="s">
        <v>1210</v>
      </c>
      <c r="D113" t="s">
        <v>1314</v>
      </c>
      <c r="E113" t="e">
        <f>'Anod calculation'!$D$22:$M$22</f>
        <v>#VALUE!</v>
      </c>
    </row>
    <row r="114" spans="1:5">
      <c r="A114" s="745" t="s">
        <v>1400</v>
      </c>
      <c r="B114" t="s">
        <v>1210</v>
      </c>
      <c r="C114" t="s">
        <v>1210</v>
      </c>
      <c r="D114" t="s">
        <v>1291</v>
      </c>
      <c r="E114" t="str">
        <f>'Anod calculation'!$D$27:$M$27</f>
        <v>https://www.energomera.ru/ru/products/ehz/mpn-ope-m14</v>
      </c>
    </row>
    <row r="115" spans="1:5">
      <c r="A115" s="745" t="s">
        <v>1401</v>
      </c>
      <c r="B115" t="s">
        <v>1210</v>
      </c>
      <c r="C115" t="s">
        <v>1210</v>
      </c>
      <c r="D115" t="s">
        <v>1402</v>
      </c>
      <c r="E115" t="e">
        <f>'Anod calculation'!$D$80:$M$89</f>
        <v>#VALUE!</v>
      </c>
    </row>
    <row r="116" spans="1:5">
      <c r="A116" s="745" t="s">
        <v>1403</v>
      </c>
      <c r="B116" t="s">
        <v>1210</v>
      </c>
      <c r="C116" t="s">
        <v>1210</v>
      </c>
      <c r="D116" t="s">
        <v>1299</v>
      </c>
      <c r="E116">
        <f>'Anod calculation'!$D$10:$M$10</f>
        <v>1.7999999999999999E-8</v>
      </c>
    </row>
    <row r="117" spans="1:5">
      <c r="A117" s="745" t="s">
        <v>1404</v>
      </c>
      <c r="B117" t="s">
        <v>1210</v>
      </c>
      <c r="C117" t="s">
        <v>1210</v>
      </c>
      <c r="D117" t="s">
        <v>1316</v>
      </c>
      <c r="E117">
        <f>'Anod calculation'!$D$23:$M$23</f>
        <v>0.20250000000000001</v>
      </c>
    </row>
  </sheetData>
  <autoFilter ref="A1:E117" xr:uid="{E2E1390B-71D7-DB4E-AB2E-E2028FB0A846}">
    <filterColumn colId="2">
      <filters>
        <filter val="Anod calculation"/>
      </filters>
    </filterColumn>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E136E-5056-3E42-BC89-D03F134364DE}">
  <sheetPr codeName="Лист7"/>
  <dimension ref="A1:L59"/>
  <sheetViews>
    <sheetView workbookViewId="0">
      <selection activeCell="E20" sqref="E20"/>
    </sheetView>
  </sheetViews>
  <sheetFormatPr baseColWidth="10" defaultRowHeight="16"/>
  <cols>
    <col min="1" max="1" width="3.33203125" bestFit="1" customWidth="1"/>
    <col min="2" max="2" width="42.83203125" bestFit="1" customWidth="1"/>
    <col min="3" max="3" width="16.6640625" bestFit="1" customWidth="1"/>
    <col min="4" max="4" width="14.6640625" bestFit="1" customWidth="1"/>
    <col min="5" max="5" width="50.83203125" customWidth="1"/>
    <col min="6" max="6" width="10.33203125" bestFit="1" customWidth="1"/>
    <col min="7" max="7" width="25.83203125" customWidth="1"/>
    <col min="8" max="8" width="10.33203125" bestFit="1" customWidth="1"/>
    <col min="9" max="9" width="12.83203125" customWidth="1"/>
    <col min="12" max="12" width="17.83203125" bestFit="1" customWidth="1"/>
  </cols>
  <sheetData>
    <row r="1" spans="1:12" ht="19">
      <c r="A1" s="748" t="s">
        <v>556</v>
      </c>
      <c r="B1" s="748" t="s">
        <v>1196</v>
      </c>
      <c r="C1" s="748" t="s">
        <v>1405</v>
      </c>
      <c r="D1" s="748" t="s">
        <v>1198</v>
      </c>
      <c r="E1" s="748" t="s">
        <v>577</v>
      </c>
      <c r="F1" s="748" t="s">
        <v>1406</v>
      </c>
      <c r="G1" s="748" t="s">
        <v>1199</v>
      </c>
      <c r="H1" s="748" t="s">
        <v>1407</v>
      </c>
      <c r="I1" s="748" t="s">
        <v>1408</v>
      </c>
      <c r="K1" s="755" t="s">
        <v>1419</v>
      </c>
    </row>
    <row r="2" spans="1:12">
      <c r="A2" s="73">
        <v>1</v>
      </c>
      <c r="B2" s="749" t="s">
        <v>1429</v>
      </c>
      <c r="C2" s="750" t="s">
        <v>1409</v>
      </c>
      <c r="D2" s="73" t="s">
        <v>1430</v>
      </c>
      <c r="E2" s="73" t="e">
        <f>[1]Anod!#REF!</f>
        <v>#REF!</v>
      </c>
      <c r="F2" s="73" t="s">
        <v>1408</v>
      </c>
      <c r="G2" s="73" t="s">
        <v>1408</v>
      </c>
      <c r="H2" s="73" t="s">
        <v>1410</v>
      </c>
      <c r="I2" s="751" t="s">
        <v>1411</v>
      </c>
    </row>
    <row r="3" spans="1:12">
      <c r="A3" s="73">
        <v>2</v>
      </c>
      <c r="B3" s="752" t="s">
        <v>1431</v>
      </c>
      <c r="C3" s="750" t="s">
        <v>1409</v>
      </c>
      <c r="D3" s="73" t="s">
        <v>1430</v>
      </c>
      <c r="E3" s="73" t="e">
        <f>[1]Anod!$D$25:$M$25</f>
        <v>#REF!</v>
      </c>
      <c r="F3" s="73" t="s">
        <v>1412</v>
      </c>
      <c r="G3" s="73" t="s">
        <v>1413</v>
      </c>
      <c r="H3" s="73" t="s">
        <v>1410</v>
      </c>
      <c r="I3" s="753" t="s">
        <v>1414</v>
      </c>
      <c r="K3" t="s">
        <v>1420</v>
      </c>
      <c r="L3" s="756">
        <v>109</v>
      </c>
    </row>
    <row r="4" spans="1:12">
      <c r="A4" s="73">
        <v>3</v>
      </c>
      <c r="B4" s="752" t="s">
        <v>1218</v>
      </c>
      <c r="C4" s="750" t="s">
        <v>1409</v>
      </c>
      <c r="D4" s="73" t="s">
        <v>1210</v>
      </c>
      <c r="E4" s="73" t="e">
        <f>'Anod calculation'!$D$110:$D$118</f>
        <v>#VALUE!</v>
      </c>
      <c r="F4" s="73" t="s">
        <v>1412</v>
      </c>
      <c r="G4" s="73" t="s">
        <v>1415</v>
      </c>
      <c r="H4" s="73" t="s">
        <v>1410</v>
      </c>
      <c r="I4" s="753" t="s">
        <v>1414</v>
      </c>
      <c r="K4" t="s">
        <v>1421</v>
      </c>
      <c r="L4" s="757">
        <v>0</v>
      </c>
    </row>
    <row r="5" spans="1:12">
      <c r="A5" s="73">
        <v>4</v>
      </c>
      <c r="B5" s="752" t="s">
        <v>1220</v>
      </c>
      <c r="C5" s="750" t="s">
        <v>1409</v>
      </c>
      <c r="D5" s="73" t="s">
        <v>1210</v>
      </c>
      <c r="E5" s="73">
        <f>'Anod calculation'!$D$20:$M$20</f>
        <v>0</v>
      </c>
      <c r="F5" s="73" t="s">
        <v>1412</v>
      </c>
      <c r="G5" s="73" t="s">
        <v>1413</v>
      </c>
      <c r="H5" s="73" t="s">
        <v>1410</v>
      </c>
      <c r="I5" s="753" t="s">
        <v>1414</v>
      </c>
      <c r="K5" t="s">
        <v>1422</v>
      </c>
      <c r="L5" s="758">
        <v>58</v>
      </c>
    </row>
    <row r="6" spans="1:12">
      <c r="A6" s="73">
        <v>5</v>
      </c>
      <c r="B6" s="752" t="s">
        <v>1222</v>
      </c>
      <c r="C6" s="750" t="s">
        <v>1409</v>
      </c>
      <c r="D6" s="73" t="s">
        <v>1210</v>
      </c>
      <c r="E6" s="73">
        <f>'Anod calculation'!$D$21:$M$21</f>
        <v>0</v>
      </c>
      <c r="F6" s="73" t="s">
        <v>1412</v>
      </c>
      <c r="G6" s="73" t="s">
        <v>1413</v>
      </c>
      <c r="H6" s="73" t="s">
        <v>1410</v>
      </c>
      <c r="I6" s="753" t="s">
        <v>1414</v>
      </c>
      <c r="K6" t="s">
        <v>1423</v>
      </c>
      <c r="L6" s="759">
        <v>58</v>
      </c>
    </row>
    <row r="7" spans="1:12">
      <c r="A7" s="73">
        <v>6</v>
      </c>
      <c r="B7" s="752" t="s">
        <v>1224</v>
      </c>
      <c r="C7" s="750" t="s">
        <v>1409</v>
      </c>
      <c r="D7" s="73" t="s">
        <v>1210</v>
      </c>
      <c r="E7" s="73">
        <f>'Anod calculation'!$D$51:$M$51</f>
        <v>1.6</v>
      </c>
      <c r="F7" s="73" t="s">
        <v>1412</v>
      </c>
      <c r="G7" s="73" t="s">
        <v>1413</v>
      </c>
      <c r="H7" s="73" t="s">
        <v>1410</v>
      </c>
      <c r="I7" s="753" t="s">
        <v>1414</v>
      </c>
    </row>
    <row r="8" spans="1:12">
      <c r="A8" s="73">
        <v>7</v>
      </c>
      <c r="B8" s="752" t="s">
        <v>1226</v>
      </c>
      <c r="C8" s="750" t="s">
        <v>1409</v>
      </c>
      <c r="D8" s="73" t="s">
        <v>1210</v>
      </c>
      <c r="E8" s="73">
        <f>'Anod calculation'!$D$39:$M$39</f>
        <v>0.05</v>
      </c>
      <c r="F8" s="73" t="s">
        <v>1412</v>
      </c>
      <c r="G8" s="73" t="s">
        <v>1413</v>
      </c>
      <c r="H8" s="73" t="s">
        <v>1410</v>
      </c>
      <c r="I8" s="753" t="s">
        <v>1414</v>
      </c>
      <c r="K8" t="s">
        <v>930</v>
      </c>
      <c r="L8" s="48" t="s">
        <v>1210</v>
      </c>
    </row>
    <row r="9" spans="1:12">
      <c r="A9" s="73">
        <v>8</v>
      </c>
      <c r="B9" s="752" t="s">
        <v>1228</v>
      </c>
      <c r="C9" s="750" t="s">
        <v>1409</v>
      </c>
      <c r="D9" s="73" t="s">
        <v>1210</v>
      </c>
      <c r="E9" s="73">
        <f>'Anod calculation'!$D$44:$M$44</f>
        <v>0.01</v>
      </c>
      <c r="F9" s="73" t="s">
        <v>1412</v>
      </c>
      <c r="G9" s="73" t="s">
        <v>1413</v>
      </c>
      <c r="H9" s="73" t="s">
        <v>1410</v>
      </c>
      <c r="I9" s="753" t="s">
        <v>1414</v>
      </c>
      <c r="K9" t="s">
        <v>1424</v>
      </c>
      <c r="L9" s="48" t="s">
        <v>1425</v>
      </c>
    </row>
    <row r="10" spans="1:12">
      <c r="A10" s="73">
        <v>9</v>
      </c>
      <c r="B10" s="752" t="s">
        <v>1230</v>
      </c>
      <c r="C10" s="750" t="s">
        <v>1409</v>
      </c>
      <c r="D10" s="73" t="s">
        <v>1210</v>
      </c>
      <c r="E10" s="73">
        <f>'Anod calculation'!$D$11:$M$11</f>
        <v>1.5999999999999999E-5</v>
      </c>
      <c r="F10" s="73" t="s">
        <v>1412</v>
      </c>
      <c r="G10" s="73" t="s">
        <v>1413</v>
      </c>
      <c r="H10" s="73" t="s">
        <v>1410</v>
      </c>
      <c r="I10" s="753" t="s">
        <v>1414</v>
      </c>
    </row>
    <row r="11" spans="1:12">
      <c r="A11" s="73">
        <v>10</v>
      </c>
      <c r="B11" s="752" t="s">
        <v>1232</v>
      </c>
      <c r="C11" s="750" t="s">
        <v>1409</v>
      </c>
      <c r="D11" s="73" t="s">
        <v>1210</v>
      </c>
      <c r="E11" s="73">
        <f>'Anod calculation'!$D$9:$M$9</f>
        <v>1</v>
      </c>
      <c r="F11" s="73" t="s">
        <v>1412</v>
      </c>
      <c r="G11" s="73" t="s">
        <v>1413</v>
      </c>
      <c r="H11" s="73" t="s">
        <v>1410</v>
      </c>
      <c r="I11" s="753" t="s">
        <v>1414</v>
      </c>
      <c r="K11" t="s">
        <v>1426</v>
      </c>
      <c r="L11" s="575" t="s">
        <v>1427</v>
      </c>
    </row>
    <row r="12" spans="1:12">
      <c r="A12" s="73">
        <v>11</v>
      </c>
      <c r="B12" s="752" t="s">
        <v>1234</v>
      </c>
      <c r="C12" s="750" t="s">
        <v>1409</v>
      </c>
      <c r="D12" s="73" t="s">
        <v>1210</v>
      </c>
      <c r="E12" s="73">
        <f>'Anod calculation'!$D$6</f>
        <v>1</v>
      </c>
      <c r="F12" s="73" t="s">
        <v>1416</v>
      </c>
      <c r="G12" s="73">
        <v>0.5</v>
      </c>
      <c r="H12" s="73" t="s">
        <v>1410</v>
      </c>
      <c r="I12" s="753" t="s">
        <v>1414</v>
      </c>
      <c r="K12" t="s">
        <v>1428</v>
      </c>
      <c r="L12" s="760">
        <v>46234.415439814817</v>
      </c>
    </row>
    <row r="13" spans="1:12">
      <c r="A13" s="73">
        <v>12</v>
      </c>
      <c r="B13" s="752" t="s">
        <v>1244</v>
      </c>
      <c r="C13" s="750" t="s">
        <v>1409</v>
      </c>
      <c r="D13" s="73" t="s">
        <v>1210</v>
      </c>
      <c r="E13" s="73">
        <f>'Anod calculation'!$D$55:$M$55</f>
        <v>0.77</v>
      </c>
      <c r="F13" s="73" t="s">
        <v>1412</v>
      </c>
      <c r="G13" s="73" t="s">
        <v>1413</v>
      </c>
      <c r="H13" s="73" t="s">
        <v>1410</v>
      </c>
      <c r="I13" s="753" t="s">
        <v>1414</v>
      </c>
    </row>
    <row r="14" spans="1:12">
      <c r="A14" s="73">
        <v>13</v>
      </c>
      <c r="B14" s="752" t="s">
        <v>1246</v>
      </c>
      <c r="C14" s="750" t="s">
        <v>1409</v>
      </c>
      <c r="D14" s="73" t="s">
        <v>1210</v>
      </c>
      <c r="E14" s="73">
        <f>'Anod calculation'!$D$56:$M$56</f>
        <v>0.7</v>
      </c>
      <c r="F14" s="73" t="s">
        <v>1412</v>
      </c>
      <c r="G14" s="73" t="s">
        <v>1413</v>
      </c>
      <c r="H14" s="73" t="s">
        <v>1410</v>
      </c>
      <c r="I14" s="753" t="s">
        <v>1414</v>
      </c>
    </row>
    <row r="15" spans="1:12">
      <c r="A15" s="73">
        <v>14</v>
      </c>
      <c r="B15" s="752" t="s">
        <v>1248</v>
      </c>
      <c r="C15" s="750" t="s">
        <v>1409</v>
      </c>
      <c r="D15" s="73" t="s">
        <v>1210</v>
      </c>
      <c r="E15" s="754" t="str">
        <f>'Anod calculation'!$D$26:$M$26</f>
        <v>МПН-ОПЕ-М14-1/С4-1/0,6-1/12,5-48-У1-А485</v>
      </c>
      <c r="F15" s="73" t="s">
        <v>1412</v>
      </c>
      <c r="G15" s="73" t="s">
        <v>1413</v>
      </c>
      <c r="H15" s="73" t="s">
        <v>1410</v>
      </c>
      <c r="I15" s="753" t="s">
        <v>1414</v>
      </c>
    </row>
    <row r="16" spans="1:12">
      <c r="A16" s="73">
        <v>15</v>
      </c>
      <c r="B16" s="752" t="s">
        <v>1250</v>
      </c>
      <c r="C16" s="750" t="s">
        <v>1409</v>
      </c>
      <c r="D16" s="73" t="s">
        <v>1210</v>
      </c>
      <c r="E16" s="73">
        <f>'Anod calculation'!$D$40:$M$40</f>
        <v>1</v>
      </c>
      <c r="F16" s="73" t="s">
        <v>1412</v>
      </c>
      <c r="G16" s="73" t="s">
        <v>1413</v>
      </c>
      <c r="H16" s="73" t="s">
        <v>1410</v>
      </c>
      <c r="I16" s="753" t="s">
        <v>1414</v>
      </c>
    </row>
    <row r="17" spans="1:9">
      <c r="A17" s="73">
        <v>16</v>
      </c>
      <c r="B17" s="752" t="s">
        <v>1252</v>
      </c>
      <c r="C17" s="750" t="s">
        <v>1409</v>
      </c>
      <c r="D17" s="73" t="s">
        <v>1210</v>
      </c>
      <c r="E17" s="73">
        <f ca="1">'Anod calculation'!$D$18</f>
        <v>5388.4885818572993</v>
      </c>
      <c r="F17" s="73" t="s">
        <v>1416</v>
      </c>
      <c r="G17" s="73">
        <v>33637.706083421268</v>
      </c>
      <c r="H17" s="73" t="s">
        <v>1410</v>
      </c>
      <c r="I17" s="753" t="s">
        <v>1414</v>
      </c>
    </row>
    <row r="18" spans="1:9">
      <c r="A18" s="73">
        <v>17</v>
      </c>
      <c r="B18" s="752" t="s">
        <v>1254</v>
      </c>
      <c r="C18" s="750" t="s">
        <v>1409</v>
      </c>
      <c r="D18" s="73" t="s">
        <v>1210</v>
      </c>
      <c r="E18" s="73">
        <f>'Anod calculation'!$D$13:$M$13</f>
        <v>90</v>
      </c>
      <c r="F18" s="73" t="s">
        <v>1412</v>
      </c>
      <c r="G18" s="73" t="s">
        <v>1413</v>
      </c>
      <c r="H18" s="73" t="s">
        <v>1410</v>
      </c>
      <c r="I18" s="753" t="s">
        <v>1414</v>
      </c>
    </row>
    <row r="19" spans="1:9">
      <c r="A19" s="73">
        <v>18</v>
      </c>
      <c r="B19" s="752" t="s">
        <v>1256</v>
      </c>
      <c r="C19" s="750" t="s">
        <v>1409</v>
      </c>
      <c r="D19" s="73" t="s">
        <v>1210</v>
      </c>
      <c r="E19" s="73">
        <f>'Anod calculation'!$D$12:$M$12</f>
        <v>90</v>
      </c>
      <c r="F19" s="73" t="s">
        <v>1412</v>
      </c>
      <c r="G19" s="73" t="s">
        <v>1413</v>
      </c>
      <c r="H19" s="73" t="s">
        <v>1410</v>
      </c>
      <c r="I19" s="753" t="s">
        <v>1414</v>
      </c>
    </row>
    <row r="20" spans="1:9">
      <c r="A20" s="73">
        <v>19</v>
      </c>
      <c r="B20" s="752" t="s">
        <v>1258</v>
      </c>
      <c r="C20" s="750" t="s">
        <v>1409</v>
      </c>
      <c r="D20" s="73" t="s">
        <v>1210</v>
      </c>
      <c r="E20" s="73" t="str">
        <f>'Anod calculation'!$D$59:$M$59</f>
        <v/>
      </c>
      <c r="F20" s="73" t="s">
        <v>1412</v>
      </c>
      <c r="G20" s="73" t="s">
        <v>1413</v>
      </c>
      <c r="H20" s="73" t="s">
        <v>1410</v>
      </c>
      <c r="I20" s="753" t="s">
        <v>1414</v>
      </c>
    </row>
    <row r="21" spans="1:9">
      <c r="A21" s="73">
        <v>20</v>
      </c>
      <c r="B21" s="752" t="s">
        <v>1260</v>
      </c>
      <c r="C21" s="750" t="s">
        <v>1409</v>
      </c>
      <c r="D21" s="73" t="s">
        <v>1210</v>
      </c>
      <c r="E21" s="73">
        <f>'Anod calculation'!$D$43:$M$43</f>
        <v>5.5</v>
      </c>
      <c r="F21" s="73" t="s">
        <v>1412</v>
      </c>
      <c r="G21" s="73" t="s">
        <v>1413</v>
      </c>
      <c r="H21" s="73" t="s">
        <v>1410</v>
      </c>
      <c r="I21" s="753" t="s">
        <v>1414</v>
      </c>
    </row>
    <row r="22" spans="1:9">
      <c r="A22" s="73">
        <v>21</v>
      </c>
      <c r="B22" s="752" t="s">
        <v>1262</v>
      </c>
      <c r="C22" s="750" t="s">
        <v>1409</v>
      </c>
      <c r="D22" s="73" t="s">
        <v>1210</v>
      </c>
      <c r="E22" s="73">
        <f>'Anod calculation'!$D$4</f>
        <v>-1.1499999999999999</v>
      </c>
      <c r="F22" s="73" t="s">
        <v>1416</v>
      </c>
      <c r="G22" s="73">
        <v>-1.1499999999999999</v>
      </c>
      <c r="H22" s="73" t="s">
        <v>1410</v>
      </c>
      <c r="I22" s="753" t="s">
        <v>1414</v>
      </c>
    </row>
    <row r="23" spans="1:9">
      <c r="A23" s="73">
        <v>22</v>
      </c>
      <c r="B23" s="752" t="s">
        <v>1264</v>
      </c>
      <c r="C23" s="750" t="s">
        <v>1409</v>
      </c>
      <c r="D23" s="73" t="s">
        <v>1210</v>
      </c>
      <c r="E23" s="73">
        <f>'Anod calculation'!$D$50:$M$50</f>
        <v>200</v>
      </c>
      <c r="F23" s="73" t="s">
        <v>1412</v>
      </c>
      <c r="G23" s="73" t="s">
        <v>1413</v>
      </c>
      <c r="H23" s="73" t="s">
        <v>1410</v>
      </c>
      <c r="I23" s="753" t="s">
        <v>1414</v>
      </c>
    </row>
    <row r="24" spans="1:9">
      <c r="A24" s="73">
        <v>23</v>
      </c>
      <c r="B24" s="752" t="s">
        <v>1266</v>
      </c>
      <c r="C24" s="750" t="s">
        <v>1409</v>
      </c>
      <c r="D24" s="73" t="s">
        <v>1210</v>
      </c>
      <c r="E24" s="73">
        <f>'Anod calculation'!$D$3</f>
        <v>-0.85</v>
      </c>
      <c r="F24" s="73" t="s">
        <v>1416</v>
      </c>
      <c r="G24" s="73">
        <v>-0.85</v>
      </c>
      <c r="H24" s="73" t="s">
        <v>1410</v>
      </c>
      <c r="I24" s="753" t="s">
        <v>1414</v>
      </c>
    </row>
    <row r="25" spans="1:9">
      <c r="A25" s="73">
        <v>24</v>
      </c>
      <c r="B25" s="752" t="s">
        <v>1268</v>
      </c>
      <c r="C25" s="750" t="s">
        <v>1409</v>
      </c>
      <c r="D25" s="73" t="s">
        <v>1210</v>
      </c>
      <c r="E25" s="73">
        <f>'Anod calculation'!$D$5</f>
        <v>-0.55000000000000004</v>
      </c>
      <c r="F25" s="73" t="s">
        <v>1416</v>
      </c>
      <c r="G25" s="73">
        <v>-0.55000000000000004</v>
      </c>
      <c r="H25" s="73" t="s">
        <v>1410</v>
      </c>
      <c r="I25" s="753" t="s">
        <v>1414</v>
      </c>
    </row>
    <row r="26" spans="1:9">
      <c r="A26" s="73">
        <v>25</v>
      </c>
      <c r="B26" s="752" t="s">
        <v>1270</v>
      </c>
      <c r="C26" s="750" t="s">
        <v>1409</v>
      </c>
      <c r="D26" s="73" t="s">
        <v>1210</v>
      </c>
      <c r="E26" s="73">
        <f>'Anod calculation'!$D$29:$M$29</f>
        <v>12.5</v>
      </c>
      <c r="F26" s="73" t="s">
        <v>1412</v>
      </c>
      <c r="G26" s="73" t="s">
        <v>1413</v>
      </c>
      <c r="H26" s="73" t="s">
        <v>1410</v>
      </c>
      <c r="I26" s="753" t="s">
        <v>1414</v>
      </c>
    </row>
    <row r="27" spans="1:9">
      <c r="A27" s="73">
        <v>26</v>
      </c>
      <c r="B27" s="752" t="s">
        <v>1272</v>
      </c>
      <c r="C27" s="750" t="s">
        <v>1409</v>
      </c>
      <c r="D27" s="73" t="s">
        <v>1210</v>
      </c>
      <c r="E27" s="73">
        <f>'Anod calculation'!$D$31:$M$31</f>
        <v>600</v>
      </c>
      <c r="F27" s="73" t="s">
        <v>1412</v>
      </c>
      <c r="G27" s="73" t="s">
        <v>1413</v>
      </c>
      <c r="H27" s="73" t="s">
        <v>1410</v>
      </c>
      <c r="I27" s="753" t="s">
        <v>1414</v>
      </c>
    </row>
    <row r="28" spans="1:9">
      <c r="A28" s="73">
        <v>27</v>
      </c>
      <c r="B28" s="752" t="s">
        <v>1274</v>
      </c>
      <c r="C28" s="750" t="s">
        <v>1409</v>
      </c>
      <c r="D28" s="73" t="s">
        <v>1210</v>
      </c>
      <c r="E28" s="73">
        <f>'Anod calculation'!$D$30:$M$30</f>
        <v>48</v>
      </c>
      <c r="F28" s="73" t="s">
        <v>1412</v>
      </c>
      <c r="G28" s="73" t="s">
        <v>1413</v>
      </c>
      <c r="H28" s="73" t="s">
        <v>1410</v>
      </c>
      <c r="I28" s="753" t="s">
        <v>1414</v>
      </c>
    </row>
    <row r="29" spans="1:9">
      <c r="A29" s="73">
        <v>28</v>
      </c>
      <c r="B29" s="752" t="s">
        <v>1276</v>
      </c>
      <c r="C29" s="750" t="s">
        <v>1409</v>
      </c>
      <c r="D29" s="73" t="s">
        <v>1210</v>
      </c>
      <c r="E29" s="73" t="e">
        <f>'Anod calculation'!$D$70:$M$79</f>
        <v>#VALUE!</v>
      </c>
      <c r="F29" s="73" t="s">
        <v>1412</v>
      </c>
      <c r="G29" s="73" t="s">
        <v>1417</v>
      </c>
      <c r="H29" s="73" t="s">
        <v>1410</v>
      </c>
      <c r="I29" s="753" t="s">
        <v>1414</v>
      </c>
    </row>
    <row r="30" spans="1:9">
      <c r="A30" s="73">
        <v>29</v>
      </c>
      <c r="B30" s="752" t="s">
        <v>1278</v>
      </c>
      <c r="C30" s="750" t="s">
        <v>1409</v>
      </c>
      <c r="D30" s="73" t="s">
        <v>1210</v>
      </c>
      <c r="E30" s="73" t="e">
        <f>'Anod calculation'!$D$60:$M$69</f>
        <v>#VALUE!</v>
      </c>
      <c r="F30" s="73" t="s">
        <v>1412</v>
      </c>
      <c r="G30" s="73" t="s">
        <v>1417</v>
      </c>
      <c r="H30" s="73" t="s">
        <v>1410</v>
      </c>
      <c r="I30" s="753" t="s">
        <v>1414</v>
      </c>
    </row>
    <row r="31" spans="1:9">
      <c r="A31" s="73">
        <v>30</v>
      </c>
      <c r="B31" s="752" t="s">
        <v>1282</v>
      </c>
      <c r="C31" s="750" t="s">
        <v>1409</v>
      </c>
      <c r="D31" s="73" t="s">
        <v>1210</v>
      </c>
      <c r="E31" s="73">
        <f>'Anod calculation'!$D$19</f>
        <v>1</v>
      </c>
      <c r="F31" s="73" t="s">
        <v>1416</v>
      </c>
      <c r="G31" s="73">
        <v>1</v>
      </c>
      <c r="H31" s="73" t="s">
        <v>1410</v>
      </c>
      <c r="I31" s="753" t="s">
        <v>1414</v>
      </c>
    </row>
    <row r="32" spans="1:9">
      <c r="A32" s="73">
        <v>31</v>
      </c>
      <c r="B32" s="752" t="s">
        <v>1300</v>
      </c>
      <c r="C32" s="750" t="s">
        <v>1409</v>
      </c>
      <c r="D32" s="73" t="s">
        <v>1210</v>
      </c>
      <c r="E32" s="73">
        <f>'Anod calculation'!$D$7</f>
        <v>2115</v>
      </c>
      <c r="F32" s="73" t="s">
        <v>1416</v>
      </c>
      <c r="G32" s="73">
        <v>350000</v>
      </c>
      <c r="H32" s="73" t="s">
        <v>1410</v>
      </c>
      <c r="I32" s="753" t="s">
        <v>1414</v>
      </c>
    </row>
    <row r="33" spans="1:9">
      <c r="A33" s="73">
        <v>32</v>
      </c>
      <c r="B33" s="752" t="s">
        <v>1302</v>
      </c>
      <c r="C33" s="750" t="s">
        <v>1409</v>
      </c>
      <c r="D33" s="73" t="s">
        <v>1210</v>
      </c>
      <c r="E33" s="73">
        <f>'Anod calculation'!$D$8:$M$8</f>
        <v>0</v>
      </c>
      <c r="F33" s="73" t="s">
        <v>1412</v>
      </c>
      <c r="G33" s="73" t="s">
        <v>1413</v>
      </c>
      <c r="H33" s="73" t="s">
        <v>1410</v>
      </c>
      <c r="I33" s="753" t="s">
        <v>1414</v>
      </c>
    </row>
    <row r="34" spans="1:9">
      <c r="A34" s="73">
        <v>33</v>
      </c>
      <c r="B34" s="752" t="s">
        <v>1305</v>
      </c>
      <c r="C34" s="750" t="s">
        <v>1409</v>
      </c>
      <c r="D34" s="73" t="s">
        <v>1210</v>
      </c>
      <c r="E34" s="73">
        <f>'Anod calculation'!$D$16</f>
        <v>0.29999999999999993</v>
      </c>
      <c r="F34" s="73" t="s">
        <v>1416</v>
      </c>
      <c r="G34" s="73">
        <v>0.29999999999999993</v>
      </c>
      <c r="H34" s="73" t="s">
        <v>1410</v>
      </c>
      <c r="I34" s="753" t="s">
        <v>1414</v>
      </c>
    </row>
    <row r="35" spans="1:9">
      <c r="A35" s="73">
        <v>34</v>
      </c>
      <c r="B35" s="752" t="s">
        <v>1307</v>
      </c>
      <c r="C35" s="750" t="s">
        <v>1409</v>
      </c>
      <c r="D35" s="73" t="s">
        <v>1210</v>
      </c>
      <c r="E35" s="73">
        <f>'Anod calculation'!$D$17</f>
        <v>0.59999999999999987</v>
      </c>
      <c r="F35" s="73" t="s">
        <v>1416</v>
      </c>
      <c r="G35" s="73">
        <v>0.59999999999999987</v>
      </c>
      <c r="H35" s="73" t="s">
        <v>1410</v>
      </c>
      <c r="I35" s="753" t="s">
        <v>1414</v>
      </c>
    </row>
    <row r="36" spans="1:9">
      <c r="A36" s="73">
        <v>35</v>
      </c>
      <c r="B36" s="752" t="s">
        <v>1338</v>
      </c>
      <c r="C36" s="750" t="s">
        <v>1409</v>
      </c>
      <c r="D36" s="73" t="s">
        <v>1210</v>
      </c>
      <c r="E36" s="73" t="e">
        <f>'Anod calculation'!$D$24:$M$24</f>
        <v>#VALUE!</v>
      </c>
      <c r="F36" s="73" t="s">
        <v>1412</v>
      </c>
      <c r="G36" s="73" t="s">
        <v>1413</v>
      </c>
      <c r="H36" s="73" t="s">
        <v>1410</v>
      </c>
      <c r="I36" s="753" t="s">
        <v>1414</v>
      </c>
    </row>
    <row r="37" spans="1:9">
      <c r="A37" s="73">
        <v>36</v>
      </c>
      <c r="B37" s="752" t="s">
        <v>1339</v>
      </c>
      <c r="C37" s="750" t="s">
        <v>1409</v>
      </c>
      <c r="D37" s="73" t="s">
        <v>1210</v>
      </c>
      <c r="E37" s="73">
        <f>'Anod calculation'!$D$45:$M$45</f>
        <v>8</v>
      </c>
      <c r="F37" s="73" t="s">
        <v>1412</v>
      </c>
      <c r="G37" s="73" t="s">
        <v>1413</v>
      </c>
      <c r="H37" s="73" t="s">
        <v>1410</v>
      </c>
      <c r="I37" s="753" t="s">
        <v>1414</v>
      </c>
    </row>
    <row r="38" spans="1:9">
      <c r="A38" s="73">
        <v>37</v>
      </c>
      <c r="B38" s="752" t="s">
        <v>1341</v>
      </c>
      <c r="C38" s="750" t="s">
        <v>1409</v>
      </c>
      <c r="D38" s="73" t="s">
        <v>1210</v>
      </c>
      <c r="E38" s="73" t="str">
        <f>'Anod calculation'!$D$58:$M$58</f>
        <v/>
      </c>
      <c r="F38" s="73" t="s">
        <v>1412</v>
      </c>
      <c r="G38" s="73" t="s">
        <v>1413</v>
      </c>
      <c r="H38" s="73" t="s">
        <v>1410</v>
      </c>
      <c r="I38" s="753" t="s">
        <v>1414</v>
      </c>
    </row>
    <row r="39" spans="1:9">
      <c r="A39" s="73">
        <v>38</v>
      </c>
      <c r="B39" s="752" t="s">
        <v>1343</v>
      </c>
      <c r="C39" s="750" t="s">
        <v>1409</v>
      </c>
      <c r="D39" s="73" t="s">
        <v>1210</v>
      </c>
      <c r="E39" s="73">
        <f>'Anod calculation'!$D$53:$M$53</f>
        <v>50</v>
      </c>
      <c r="F39" s="73" t="s">
        <v>1412</v>
      </c>
      <c r="G39" s="73" t="s">
        <v>1413</v>
      </c>
      <c r="H39" s="73" t="s">
        <v>1410</v>
      </c>
      <c r="I39" s="753" t="s">
        <v>1414</v>
      </c>
    </row>
    <row r="40" spans="1:9">
      <c r="A40" s="73">
        <v>39</v>
      </c>
      <c r="B40" s="752" t="s">
        <v>1347</v>
      </c>
      <c r="C40" s="750" t="s">
        <v>1409</v>
      </c>
      <c r="D40" s="73" t="s">
        <v>1210</v>
      </c>
      <c r="E40" s="73">
        <f>'Anod calculation'!$D$46:$M$46</f>
        <v>4.8511100000000001E-7</v>
      </c>
      <c r="F40" s="73" t="s">
        <v>1412</v>
      </c>
      <c r="G40" s="73" t="s">
        <v>1413</v>
      </c>
      <c r="H40" s="73" t="s">
        <v>1410</v>
      </c>
      <c r="I40" s="753" t="s">
        <v>1414</v>
      </c>
    </row>
    <row r="41" spans="1:9">
      <c r="A41" s="73">
        <v>40</v>
      </c>
      <c r="B41" s="752" t="s">
        <v>1349</v>
      </c>
      <c r="C41" s="750" t="s">
        <v>1409</v>
      </c>
      <c r="D41" s="73" t="s">
        <v>1210</v>
      </c>
      <c r="E41" s="73">
        <f>'Anod calculation'!$D$52:$M$52</f>
        <v>0</v>
      </c>
      <c r="F41" s="73" t="s">
        <v>1412</v>
      </c>
      <c r="G41" s="73" t="s">
        <v>1413</v>
      </c>
      <c r="H41" s="73" t="s">
        <v>1410</v>
      </c>
      <c r="I41" s="753" t="s">
        <v>1414</v>
      </c>
    </row>
    <row r="42" spans="1:9">
      <c r="A42" s="73">
        <v>41</v>
      </c>
      <c r="B42" s="752" t="s">
        <v>1351</v>
      </c>
      <c r="C42" s="750" t="s">
        <v>1409</v>
      </c>
      <c r="D42" s="73" t="s">
        <v>1210</v>
      </c>
      <c r="E42" s="73" t="e">
        <f>'Anod calculation'!$D$90:$M$99</f>
        <v>#VALUE!</v>
      </c>
      <c r="F42" s="73" t="s">
        <v>1412</v>
      </c>
      <c r="G42" s="73" t="s">
        <v>1417</v>
      </c>
      <c r="H42" s="73" t="s">
        <v>1410</v>
      </c>
      <c r="I42" s="753" t="s">
        <v>1414</v>
      </c>
    </row>
    <row r="43" spans="1:9">
      <c r="A43" s="73">
        <v>42</v>
      </c>
      <c r="B43" s="752" t="s">
        <v>1354</v>
      </c>
      <c r="C43" s="750" t="s">
        <v>1409</v>
      </c>
      <c r="D43" s="73" t="s">
        <v>1210</v>
      </c>
      <c r="E43" s="73" t="e">
        <f>'Anod calculation'!$D$100:$D$107</f>
        <v>#VALUE!</v>
      </c>
      <c r="F43" s="73" t="s">
        <v>1412</v>
      </c>
      <c r="G43" s="73" t="s">
        <v>1418</v>
      </c>
      <c r="H43" s="73" t="s">
        <v>1410</v>
      </c>
      <c r="I43" s="753" t="s">
        <v>1414</v>
      </c>
    </row>
    <row r="44" spans="1:9">
      <c r="A44" s="73">
        <v>43</v>
      </c>
      <c r="B44" s="752" t="s">
        <v>1378</v>
      </c>
      <c r="C44" s="750" t="s">
        <v>1409</v>
      </c>
      <c r="D44" s="73" t="s">
        <v>1210</v>
      </c>
      <c r="E44" s="73">
        <f>'Anod calculation'!$D$52:$M$52</f>
        <v>0</v>
      </c>
      <c r="F44" s="73" t="s">
        <v>1412</v>
      </c>
      <c r="G44" s="73" t="s">
        <v>1413</v>
      </c>
      <c r="H44" s="73" t="s">
        <v>1410</v>
      </c>
      <c r="I44" s="753" t="s">
        <v>1414</v>
      </c>
    </row>
    <row r="45" spans="1:9">
      <c r="A45" s="73">
        <v>44</v>
      </c>
      <c r="B45" s="752" t="s">
        <v>1381</v>
      </c>
      <c r="C45" s="750" t="s">
        <v>1409</v>
      </c>
      <c r="D45" s="73" t="s">
        <v>1210</v>
      </c>
      <c r="E45" s="73">
        <f>'Anod calculation'!$D$49:$M$49</f>
        <v>0</v>
      </c>
      <c r="F45" s="73" t="s">
        <v>1412</v>
      </c>
      <c r="G45" s="73" t="s">
        <v>1413</v>
      </c>
      <c r="H45" s="73" t="s">
        <v>1410</v>
      </c>
      <c r="I45" s="753" t="s">
        <v>1414</v>
      </c>
    </row>
    <row r="46" spans="1:9">
      <c r="A46" s="73">
        <v>45</v>
      </c>
      <c r="B46" s="752" t="s">
        <v>1383</v>
      </c>
      <c r="C46" s="750" t="s">
        <v>1409</v>
      </c>
      <c r="D46" s="73" t="s">
        <v>1210</v>
      </c>
      <c r="E46" s="73">
        <f>'Anod calculation'!$D$48:$M$48</f>
        <v>0</v>
      </c>
      <c r="F46" s="73" t="s">
        <v>1412</v>
      </c>
      <c r="G46" s="73" t="s">
        <v>1413</v>
      </c>
      <c r="H46" s="73" t="s">
        <v>1410</v>
      </c>
      <c r="I46" s="753" t="s">
        <v>1414</v>
      </c>
    </row>
    <row r="47" spans="1:9">
      <c r="A47" s="73">
        <v>46</v>
      </c>
      <c r="B47" s="752" t="s">
        <v>1389</v>
      </c>
      <c r="C47" s="750" t="s">
        <v>1409</v>
      </c>
      <c r="D47" s="73" t="s">
        <v>1210</v>
      </c>
      <c r="E47" s="73" t="str">
        <f>'Anod calculation'!$D$38:$M$38</f>
        <v>ГАЗ.ПТМ.Т.К</v>
      </c>
      <c r="F47" s="73" t="s">
        <v>1412</v>
      </c>
      <c r="G47" s="73" t="s">
        <v>1413</v>
      </c>
      <c r="H47" s="73" t="s">
        <v>1410</v>
      </c>
      <c r="I47" s="753" t="s">
        <v>1414</v>
      </c>
    </row>
    <row r="48" spans="1:9">
      <c r="A48" s="73">
        <v>47</v>
      </c>
      <c r="B48" s="752" t="s">
        <v>1391</v>
      </c>
      <c r="C48" s="750" t="s">
        <v>1409</v>
      </c>
      <c r="D48" s="73" t="s">
        <v>1210</v>
      </c>
      <c r="E48" s="754" t="str">
        <f>'Anod calculation'!$D$26:$M$26</f>
        <v>МПН-ОПЕ-М14-1/С4-1/0,6-1/12,5-48-У1-А485</v>
      </c>
      <c r="F48" s="73" t="s">
        <v>1412</v>
      </c>
      <c r="G48" s="73" t="s">
        <v>1413</v>
      </c>
      <c r="H48" s="73" t="s">
        <v>1410</v>
      </c>
      <c r="I48" s="753" t="s">
        <v>1414</v>
      </c>
    </row>
    <row r="49" spans="1:9">
      <c r="A49" s="73">
        <v>48</v>
      </c>
      <c r="B49" s="752" t="s">
        <v>1392</v>
      </c>
      <c r="C49" s="750" t="s">
        <v>1409</v>
      </c>
      <c r="D49" s="73" t="s">
        <v>1210</v>
      </c>
      <c r="E49" s="73" t="str">
        <f>'Anod calculation'!$D$37:$M$37</f>
        <v>комплектный</v>
      </c>
      <c r="F49" s="73" t="s">
        <v>1412</v>
      </c>
      <c r="G49" s="73" t="s">
        <v>1413</v>
      </c>
      <c r="H49" s="73" t="s">
        <v>1410</v>
      </c>
      <c r="I49" s="753" t="s">
        <v>1414</v>
      </c>
    </row>
    <row r="50" spans="1:9">
      <c r="A50" s="73">
        <v>49</v>
      </c>
      <c r="B50" s="752" t="s">
        <v>1394</v>
      </c>
      <c r="C50" s="750" t="s">
        <v>1409</v>
      </c>
      <c r="D50" s="73" t="s">
        <v>1210</v>
      </c>
      <c r="E50" s="73" t="str">
        <f>'Anod calculation'!$D$36:$M$36</f>
        <v>глубинный с выходом торца на поверхность с активатором</v>
      </c>
      <c r="F50" s="73" t="s">
        <v>1412</v>
      </c>
      <c r="G50" s="73" t="s">
        <v>1413</v>
      </c>
      <c r="H50" s="73" t="s">
        <v>1410</v>
      </c>
      <c r="I50" s="753" t="s">
        <v>1414</v>
      </c>
    </row>
    <row r="51" spans="1:9">
      <c r="A51" s="73">
        <v>50</v>
      </c>
      <c r="B51" s="752" t="s">
        <v>1396</v>
      </c>
      <c r="C51" s="750" t="s">
        <v>1409</v>
      </c>
      <c r="D51" s="73" t="s">
        <v>1210</v>
      </c>
      <c r="E51" s="73" t="str">
        <f>'Anod calculation'!$D$34:$M$34</f>
        <v>Титан</v>
      </c>
      <c r="F51" s="73" t="s">
        <v>1412</v>
      </c>
      <c r="G51" s="73" t="s">
        <v>1413</v>
      </c>
      <c r="H51" s="73" t="s">
        <v>1410</v>
      </c>
      <c r="I51" s="753" t="s">
        <v>1414</v>
      </c>
    </row>
    <row r="52" spans="1:9">
      <c r="A52" s="73">
        <v>51</v>
      </c>
      <c r="B52" s="752" t="s">
        <v>1399</v>
      </c>
      <c r="C52" s="750" t="s">
        <v>1409</v>
      </c>
      <c r="D52" s="73" t="s">
        <v>1210</v>
      </c>
      <c r="E52" s="73" t="e">
        <f>'Anod calculation'!$D$22:$M$22</f>
        <v>#VALUE!</v>
      </c>
      <c r="F52" s="73" t="s">
        <v>1412</v>
      </c>
      <c r="G52" s="73" t="s">
        <v>1413</v>
      </c>
      <c r="H52" s="73" t="s">
        <v>1410</v>
      </c>
      <c r="I52" s="753" t="s">
        <v>1414</v>
      </c>
    </row>
    <row r="53" spans="1:9">
      <c r="A53" s="73">
        <v>52</v>
      </c>
      <c r="B53" s="752" t="s">
        <v>1400</v>
      </c>
      <c r="C53" s="750" t="s">
        <v>1409</v>
      </c>
      <c r="D53" s="73" t="s">
        <v>1210</v>
      </c>
      <c r="E53" s="73" t="str">
        <f>'Anod calculation'!$D$27:$M$27</f>
        <v>https://www.energomera.ru/ru/products/ehz/mpn-ope-m14</v>
      </c>
      <c r="F53" s="73" t="s">
        <v>1412</v>
      </c>
      <c r="G53" s="73" t="s">
        <v>1413</v>
      </c>
      <c r="H53" s="73" t="s">
        <v>1410</v>
      </c>
      <c r="I53" s="753" t="s">
        <v>1414</v>
      </c>
    </row>
    <row r="54" spans="1:9">
      <c r="A54" s="73">
        <v>53</v>
      </c>
      <c r="B54" s="752" t="s">
        <v>1401</v>
      </c>
      <c r="C54" s="750" t="s">
        <v>1409</v>
      </c>
      <c r="D54" s="73" t="s">
        <v>1210</v>
      </c>
      <c r="E54" s="73" t="e">
        <f>'Anod calculation'!$D$80:$M$89</f>
        <v>#VALUE!</v>
      </c>
      <c r="F54" s="73" t="s">
        <v>1412</v>
      </c>
      <c r="G54" s="73" t="s">
        <v>1417</v>
      </c>
      <c r="H54" s="73" t="s">
        <v>1410</v>
      </c>
      <c r="I54" s="753" t="s">
        <v>1414</v>
      </c>
    </row>
    <row r="55" spans="1:9">
      <c r="A55" s="73">
        <v>54</v>
      </c>
      <c r="B55" s="752" t="s">
        <v>1403</v>
      </c>
      <c r="C55" s="750" t="s">
        <v>1409</v>
      </c>
      <c r="D55" s="73" t="s">
        <v>1210</v>
      </c>
      <c r="E55" s="73">
        <f>'Anod calculation'!$D$10:$M$10</f>
        <v>1.7999999999999999E-8</v>
      </c>
      <c r="F55" s="73" t="s">
        <v>1412</v>
      </c>
      <c r="G55" s="73" t="s">
        <v>1413</v>
      </c>
      <c r="H55" s="73" t="s">
        <v>1410</v>
      </c>
      <c r="I55" s="753" t="s">
        <v>1414</v>
      </c>
    </row>
    <row r="56" spans="1:9">
      <c r="A56" s="73">
        <v>55</v>
      </c>
      <c r="B56" s="752" t="s">
        <v>1404</v>
      </c>
      <c r="C56" s="750" t="s">
        <v>1409</v>
      </c>
      <c r="D56" s="73" t="s">
        <v>1210</v>
      </c>
      <c r="E56" s="73">
        <f>'Anod calculation'!$D$23:$M$23</f>
        <v>0.20250000000000001</v>
      </c>
      <c r="F56" s="73" t="s">
        <v>1412</v>
      </c>
      <c r="G56" s="73" t="s">
        <v>1413</v>
      </c>
      <c r="H56" s="73" t="s">
        <v>1410</v>
      </c>
      <c r="I56" s="753" t="s">
        <v>1414</v>
      </c>
    </row>
    <row r="57" spans="1:9">
      <c r="A57" s="73">
        <v>56</v>
      </c>
      <c r="B57" s="752" t="s">
        <v>1209</v>
      </c>
      <c r="C57" s="750" t="s">
        <v>1409</v>
      </c>
      <c r="D57" s="73" t="s">
        <v>1210</v>
      </c>
      <c r="E57" s="73">
        <f>'Anod calculation'!$D$41:$M$41</f>
        <v>0.16</v>
      </c>
      <c r="F57" s="73" t="s">
        <v>1412</v>
      </c>
      <c r="G57" s="73" t="s">
        <v>1413</v>
      </c>
      <c r="H57" s="73" t="s">
        <v>1410</v>
      </c>
      <c r="I57" s="753" t="s">
        <v>1414</v>
      </c>
    </row>
    <row r="58" spans="1:9">
      <c r="A58" s="73">
        <v>57</v>
      </c>
      <c r="B58" s="752" t="s">
        <v>1212</v>
      </c>
      <c r="C58" s="750" t="s">
        <v>1409</v>
      </c>
      <c r="D58" s="73" t="s">
        <v>1210</v>
      </c>
      <c r="E58" s="73">
        <f>'Anod calculation'!$D$42:$M$42</f>
        <v>1.5</v>
      </c>
      <c r="F58" s="73" t="s">
        <v>1412</v>
      </c>
      <c r="G58" s="73" t="s">
        <v>1413</v>
      </c>
      <c r="H58" s="73" t="s">
        <v>1410</v>
      </c>
      <c r="I58" s="753" t="s">
        <v>1414</v>
      </c>
    </row>
    <row r="59" spans="1:9">
      <c r="A59" s="73">
        <v>58</v>
      </c>
      <c r="B59" s="752" t="s">
        <v>1214</v>
      </c>
      <c r="C59" s="750" t="s">
        <v>1409</v>
      </c>
      <c r="D59" s="73" t="s">
        <v>1210</v>
      </c>
      <c r="E59" s="73">
        <f>'Anod calculation'!$D$47:$M$47</f>
        <v>0.5</v>
      </c>
      <c r="F59" s="73" t="s">
        <v>1412</v>
      </c>
      <c r="G59" s="73" t="s">
        <v>1413</v>
      </c>
      <c r="H59" s="73" t="s">
        <v>1410</v>
      </c>
      <c r="I59" s="753" t="s">
        <v>1414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Листы</vt:lpstr>
      </vt:variant>
      <vt:variant>
        <vt:i4>10</vt:i4>
      </vt:variant>
      <vt:variant>
        <vt:lpstr>Именованные диапазоны</vt:lpstr>
      </vt:variant>
      <vt:variant>
        <vt:i4>106</vt:i4>
      </vt:variant>
    </vt:vector>
  </HeadingPairs>
  <TitlesOfParts>
    <vt:vector size="116" baseType="lpstr">
      <vt:lpstr>Prototypes</vt:lpstr>
      <vt:lpstr>Data STO Gazprom 9.2-003-2020</vt:lpstr>
      <vt:lpstr>Research data</vt:lpstr>
      <vt:lpstr>Menu</vt:lpstr>
      <vt:lpstr>Pipe calculation</vt:lpstr>
      <vt:lpstr>Anod calculation</vt:lpstr>
      <vt:lpstr>List CP</vt:lpstr>
      <vt:lpstr>List AG</vt:lpstr>
      <vt:lpstr>Список_имен</vt:lpstr>
      <vt:lpstr>Реальные_имена_со_областью</vt:lpstr>
      <vt:lpstr>'Anod calculation'!сokeBreezeDiameterAG</vt:lpstr>
      <vt:lpstr>'Anod calculation'!сokeBreezelengthElectrodeAG</vt:lpstr>
      <vt:lpstr>'Anod calculation'!сokeBreezeResistivityAG</vt:lpstr>
      <vt:lpstr>'Anod calculation'!avgProtectionCurrentCPOverLife</vt:lpstr>
      <vt:lpstr>'Anod calculation'!correctResistanceAG</vt:lpstr>
      <vt:lpstr>'Anod calculation'!currentCP</vt:lpstr>
      <vt:lpstr>'Anod calculation'!currentEndLifeCP</vt:lpstr>
      <vt:lpstr>'Anod calculation'!depthToMidAG</vt:lpstr>
      <vt:lpstr>'Anod calculation'!diameterAG</vt:lpstr>
      <vt:lpstr>'Anod calculation'!dissolutionRateAG</vt:lpstr>
      <vt:lpstr>'Anod calculation'!drainWireCrossSection</vt:lpstr>
      <vt:lpstr>'Anod calculation'!factorCurrent</vt:lpstr>
      <vt:lpstr>'Anod calculation'!factorMutualInfluence</vt:lpstr>
      <vt:lpstr>'Pipe calculation'!factorPropagationCurrentAlongPipe</vt:lpstr>
      <vt:lpstr>'Pipe calculation'!factorPropagationCurrentAlongPipeEndLife</vt:lpstr>
      <vt:lpstr>'Anod calculation'!factorSoilHeterogeneity</vt:lpstr>
      <vt:lpstr>'Research data'!factorSoilHeterogeneity</vt:lpstr>
      <vt:lpstr>'Anod calculation'!factorUseMassAG</vt:lpstr>
      <vt:lpstr>'Anod calculation'!factorVoltageMarginCP</vt:lpstr>
      <vt:lpstr>'Anod calculation'!InstallCP</vt:lpstr>
      <vt:lpstr>'Anod calculation'!lengthElectrodeAG</vt:lpstr>
      <vt:lpstr>'Anod calculation'!lengthProtectiveZone</vt:lpstr>
      <vt:lpstr>'Anod calculation'!lengthWireAGtoPipe</vt:lpstr>
      <vt:lpstr>'Anod calculation'!lengthWireCPtoPipe</vt:lpstr>
      <vt:lpstr>'Anod calculation'!lengthWorkPartDeepAG</vt:lpstr>
      <vt:lpstr>'Anod calculation'!massOneElectrodeAG</vt:lpstr>
      <vt:lpstr>'Anod calculation'!maxProtectPotential</vt:lpstr>
      <vt:lpstr>'Anod calculation'!minDistancePipeToAG</vt:lpstr>
      <vt:lpstr>'Anod calculation'!minProtectPotential</vt:lpstr>
      <vt:lpstr>'Anod calculation'!naturalPotential</vt:lpstr>
      <vt:lpstr>'Anod calculation'!nominalOutputCurrenCP</vt:lpstr>
      <vt:lpstr>'Anod calculation'!nominalOutputPowerCP</vt:lpstr>
      <vt:lpstr>'Anod calculation'!nominalOutputVoltageCP</vt:lpstr>
      <vt:lpstr>'Anod calculation'!numElectrodesAG</vt:lpstr>
      <vt:lpstr>'Anod calculation'!oneElectrodeResistanceAG</vt:lpstr>
      <vt:lpstr>'Pipe calculation'!pipeAlongResistance</vt:lpstr>
      <vt:lpstr>'Anod calculation'!pipeCountCP</vt:lpstr>
      <vt:lpstr>'Anod calculation'!pipeDiameter</vt:lpstr>
      <vt:lpstr>'Pipe calculation'!pipeDiameter</vt:lpstr>
      <vt:lpstr>'Anod calculation'!pipeDifferentParametersNum</vt:lpstr>
      <vt:lpstr>'Pipe calculation'!pipeDifferentParametersNum</vt:lpstr>
      <vt:lpstr>'Pipe calculation'!pipeImpedance</vt:lpstr>
      <vt:lpstr>'Pipe calculation'!pipeImpedanceEndLife</vt:lpstr>
      <vt:lpstr>'Pipe calculation'!pipeInputResistance</vt:lpstr>
      <vt:lpstr>'Pipe calculation'!pipeInputResistanceEndLife</vt:lpstr>
      <vt:lpstr>'Pipe calculation'!pipeInsulationResistanceStartLife</vt:lpstr>
      <vt:lpstr>'Pipe calculation'!pipeInsulationResistivityStartLife</vt:lpstr>
      <vt:lpstr>'Pipe calculation'!pipeLayingDepth</vt:lpstr>
      <vt:lpstr>'Anod calculation'!pipeLength</vt:lpstr>
      <vt:lpstr>'Anod calculation'!pipeLengthCP</vt:lpstr>
      <vt:lpstr>'Pipe calculation'!pipeResistivityChangeFactor</vt:lpstr>
      <vt:lpstr>'Anod calculation'!pipeShiftPotentialMin</vt:lpstr>
      <vt:lpstr>'Anod calculation'!pipeShiftPotentialPoint</vt:lpstr>
      <vt:lpstr>'Pipe calculation'!pipeSteelResistivity</vt:lpstr>
      <vt:lpstr>'Pipe calculation'!pipeTransientResistance</vt:lpstr>
      <vt:lpstr>'Pipe calculation'!pipeTransientResistanceEndLife</vt:lpstr>
      <vt:lpstr>'Pipe calculation'!pipeWallThickness</vt:lpstr>
      <vt:lpstr>'Pipe calculation'!pipeWallThicknessAvg1</vt:lpstr>
      <vt:lpstr>'Pipe calculation'!pipeWallThicknessAvg10</vt:lpstr>
      <vt:lpstr>'Pipe calculation'!pipeWallThicknessAvg2</vt:lpstr>
      <vt:lpstr>'Pipe calculation'!pipeWallThicknessAvg3</vt:lpstr>
      <vt:lpstr>'Pipe calculation'!pipeWallThicknessAvg4</vt:lpstr>
      <vt:lpstr>'Pipe calculation'!pipeWallThicknessAvg5</vt:lpstr>
      <vt:lpstr>'Pipe calculation'!pipeWallThicknessAvg6</vt:lpstr>
      <vt:lpstr>'Pipe calculation'!pipeWallThicknessAvg7</vt:lpstr>
      <vt:lpstr>'Pipe calculation'!pipeWallThicknessAvg8</vt:lpstr>
      <vt:lpstr>'Pipe calculation'!pipeWallThicknessAvg9</vt:lpstr>
      <vt:lpstr>'Anod calculation'!powerEndLifeCP</vt:lpstr>
      <vt:lpstr>'Anod calculation'!ratedCurrent</vt:lpstr>
      <vt:lpstr>'Anod calculation'!resistanceEndLifeAG</vt:lpstr>
      <vt:lpstr>'Anod calculation'!resistivity_i_layerDeepAG</vt:lpstr>
      <vt:lpstr>'Research data'!resistivity_ilayerDeepAG</vt:lpstr>
      <vt:lpstr>'Anod calculation'!resistivityMaterialAG</vt:lpstr>
      <vt:lpstr>'Anod calculation'!resistivitySoilAG</vt:lpstr>
      <vt:lpstr>'Anod calculation'!serviceLifeAG</vt:lpstr>
      <vt:lpstr>'Pipe calculation'!serviceLifeDesigned</vt:lpstr>
      <vt:lpstr>'Anod calculation'!serviceLifeDeviation</vt:lpstr>
      <vt:lpstr>'Pipe calculation'!soilAvgResistivityAlongPipe1</vt:lpstr>
      <vt:lpstr>'Pipe calculation'!soilAvgResistivityAlongPipe10</vt:lpstr>
      <vt:lpstr>'Pipe calculation'!soilAvgResistivityAlongPipe2</vt:lpstr>
      <vt:lpstr>'Pipe calculation'!soilAvgResistivityAlongPipe3</vt:lpstr>
      <vt:lpstr>'Pipe calculation'!soilAvgResistivityAlongPipe4</vt:lpstr>
      <vt:lpstr>'Pipe calculation'!soilAvgResistivityAlongPipe5</vt:lpstr>
      <vt:lpstr>'Pipe calculation'!soilAvgResistivityAlongPipe6</vt:lpstr>
      <vt:lpstr>'Pipe calculation'!soilAvgResistivityAlongPipe7</vt:lpstr>
      <vt:lpstr>'Pipe calculation'!soilAvgResistivityAlongPipe8</vt:lpstr>
      <vt:lpstr>'Pipe calculation'!soilAvgResistivityAlongPipe9</vt:lpstr>
      <vt:lpstr>'Pipe calculation'!soilResistanceAroundPipe</vt:lpstr>
      <vt:lpstr>'Anod calculation'!soilResistivityAG</vt:lpstr>
      <vt:lpstr>'Pipe calculation'!soilResistivityAroundPipe</vt:lpstr>
      <vt:lpstr>'Pipe calculation'!soilResistivityAvg</vt:lpstr>
      <vt:lpstr>'Anod calculation'!specificMaccOneMetеrAG</vt:lpstr>
      <vt:lpstr>specificMassOneElectrodeAG</vt:lpstr>
      <vt:lpstr>'Anod calculation'!specificRatedCurrent</vt:lpstr>
      <vt:lpstr>'Pipe calculation'!steelGradePipe</vt:lpstr>
      <vt:lpstr>'Pipe calculation'!t</vt:lpstr>
      <vt:lpstr>'Anod calculation'!typeAG</vt:lpstr>
      <vt:lpstr>'Anod calculation'!typeCP</vt:lpstr>
      <vt:lpstr>'Anod calculation'!typeDeliveryAG</vt:lpstr>
      <vt:lpstr>'Anod calculation'!typeInstallationAG</vt:lpstr>
      <vt:lpstr>'Anod calculation'!typeMaterial</vt:lpstr>
      <vt:lpstr>'Anod calculation'!voltageEndLifeCP</vt:lpstr>
      <vt:lpstr>'Anod calculation'!webLinkCP</vt:lpstr>
      <vt:lpstr>'Anod calculation'!weightWithoutFillingAG</vt:lpstr>
      <vt:lpstr>'Anod calculation'!wireResistivity</vt:lpstr>
      <vt:lpstr>'Anod calculation'!wiresResistanceCPpipeAG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2025-03-09T09:52:08Z</dcterms:created>
  <dcterms:modified xsi:type="dcterms:W3CDTF">2026-09-17T14:52:09Z</dcterms:modified>
</cp:coreProperties>
</file>